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8315" windowHeight="11610"/>
  </bookViews>
  <sheets>
    <sheet name="2018-01" sheetId="2" r:id="rId1"/>
    <sheet name="2017-12" sheetId="1" r:id="rId2"/>
  </sheets>
  <definedNames>
    <definedName name="_xlnm._FilterDatabase" localSheetId="1" hidden="1">'2017-12'!$A$356:$IV$636</definedName>
    <definedName name="_xlnm._FilterDatabase" localSheetId="0" hidden="1">'2018-01'!$A$168:$GF$168</definedName>
    <definedName name="_xlnm.Print_Area" localSheetId="1">'2017-12'!$A$1:$N$795</definedName>
    <definedName name="_xlnm.Print_Area" localSheetId="0">'2018-01'!$A$1:$N$686</definedName>
    <definedName name="_xlnm.Print_Titles" localSheetId="1">'2017-12'!$1:$2</definedName>
    <definedName name="_xlnm.Print_Titles" localSheetId="0">'2018-01'!$1:$2</definedName>
  </definedNames>
  <calcPr calcId="144525"/>
</workbook>
</file>

<file path=xl/calcChain.xml><?xml version="1.0" encoding="utf-8"?>
<calcChain xmlns="http://schemas.openxmlformats.org/spreadsheetml/2006/main">
  <c r="N684" i="2" l="1"/>
  <c r="L673" i="2"/>
  <c r="I673" i="2"/>
  <c r="K657" i="2"/>
  <c r="M657" i="2" s="1"/>
  <c r="N657" i="2" s="1"/>
  <c r="N656" i="2"/>
  <c r="N655" i="2"/>
  <c r="N654" i="2"/>
  <c r="N653" i="2"/>
  <c r="N652" i="2"/>
  <c r="N651" i="2"/>
  <c r="N650" i="2"/>
  <c r="N649" i="2"/>
  <c r="N648" i="2"/>
  <c r="N647" i="2"/>
  <c r="N646" i="2"/>
  <c r="N645" i="2"/>
  <c r="N644" i="2"/>
  <c r="N643" i="2"/>
  <c r="N642" i="2"/>
  <c r="K641" i="2"/>
  <c r="N641" i="2" s="1"/>
  <c r="H641" i="2"/>
  <c r="J640" i="2"/>
  <c r="K640" i="2" s="1"/>
  <c r="K639" i="2"/>
  <c r="M639" i="2" s="1"/>
  <c r="H639" i="2"/>
  <c r="K638" i="2"/>
  <c r="H638" i="2"/>
  <c r="J637" i="2"/>
  <c r="K637" i="2" s="1"/>
  <c r="J636" i="2"/>
  <c r="K636" i="2" s="1"/>
  <c r="K635" i="2"/>
  <c r="M635" i="2" s="1"/>
  <c r="H635" i="2"/>
  <c r="K634" i="2"/>
  <c r="J633" i="2"/>
  <c r="K633" i="2" s="1"/>
  <c r="M633" i="2" s="1"/>
  <c r="N633" i="2" s="1"/>
  <c r="H632" i="2"/>
  <c r="J632" i="2" s="1"/>
  <c r="K632" i="2" s="1"/>
  <c r="K631" i="2"/>
  <c r="M631" i="2" s="1"/>
  <c r="H631" i="2"/>
  <c r="K629" i="2"/>
  <c r="N629" i="2" s="1"/>
  <c r="K628" i="2"/>
  <c r="N628" i="2" s="1"/>
  <c r="K627" i="2"/>
  <c r="N627" i="2" s="1"/>
  <c r="J626" i="2"/>
  <c r="K626" i="2" s="1"/>
  <c r="N626" i="2" s="1"/>
  <c r="K625" i="2"/>
  <c r="N625" i="2" s="1"/>
  <c r="M624" i="2"/>
  <c r="N624" i="2" s="1"/>
  <c r="M623" i="2"/>
  <c r="N623" i="2" s="1"/>
  <c r="K622" i="2"/>
  <c r="N622" i="2" s="1"/>
  <c r="M621" i="2"/>
  <c r="N621" i="2" s="1"/>
  <c r="M620" i="2"/>
  <c r="N620" i="2" s="1"/>
  <c r="K619" i="2"/>
  <c r="N619" i="2" s="1"/>
  <c r="K618" i="2"/>
  <c r="N618" i="2" s="1"/>
  <c r="K617" i="2"/>
  <c r="K616" i="2"/>
  <c r="N616" i="2" s="1"/>
  <c r="J615" i="2"/>
  <c r="K615" i="2" s="1"/>
  <c r="J614" i="2"/>
  <c r="K614" i="2" s="1"/>
  <c r="K613" i="2"/>
  <c r="N613" i="2" s="1"/>
  <c r="J612" i="2"/>
  <c r="K612" i="2" s="1"/>
  <c r="N612" i="2" s="1"/>
  <c r="K611" i="2"/>
  <c r="N611" i="2" s="1"/>
  <c r="K610" i="2"/>
  <c r="N610" i="2" s="1"/>
  <c r="J609" i="2"/>
  <c r="K609" i="2" s="1"/>
  <c r="N609" i="2" s="1"/>
  <c r="J608" i="2"/>
  <c r="K608" i="2" s="1"/>
  <c r="K607" i="2"/>
  <c r="N607" i="2" s="1"/>
  <c r="K602" i="2"/>
  <c r="N602" i="2" s="1"/>
  <c r="J601" i="2"/>
  <c r="K601" i="2" s="1"/>
  <c r="J600" i="2"/>
  <c r="K600" i="2" s="1"/>
  <c r="K598" i="2"/>
  <c r="N598" i="2" s="1"/>
  <c r="K597" i="2"/>
  <c r="N597" i="2" s="1"/>
  <c r="K595" i="2"/>
  <c r="N595" i="2" s="1"/>
  <c r="K594" i="2"/>
  <c r="M594" i="2" s="1"/>
  <c r="K593" i="2"/>
  <c r="M593" i="2" s="1"/>
  <c r="N593" i="2" s="1"/>
  <c r="J592" i="2"/>
  <c r="K592" i="2" s="1"/>
  <c r="J591" i="2"/>
  <c r="K591" i="2" s="1"/>
  <c r="J590" i="2"/>
  <c r="K590" i="2" s="1"/>
  <c r="N590" i="2" s="1"/>
  <c r="J589" i="2"/>
  <c r="K589" i="2" s="1"/>
  <c r="J588" i="2"/>
  <c r="K588" i="2" s="1"/>
  <c r="K587" i="2"/>
  <c r="K586" i="2"/>
  <c r="M586" i="2" s="1"/>
  <c r="K585" i="2"/>
  <c r="M585" i="2" s="1"/>
  <c r="N585" i="2" s="1"/>
  <c r="H585" i="2"/>
  <c r="K584" i="2"/>
  <c r="N584" i="2" s="1"/>
  <c r="K583" i="2"/>
  <c r="N583" i="2" s="1"/>
  <c r="K582" i="2"/>
  <c r="M582" i="2" s="1"/>
  <c r="N582" i="2" s="1"/>
  <c r="J581" i="2"/>
  <c r="K581" i="2" s="1"/>
  <c r="J580" i="2"/>
  <c r="K580" i="2" s="1"/>
  <c r="J579" i="2"/>
  <c r="K579" i="2" s="1"/>
  <c r="N579" i="2" s="1"/>
  <c r="J578" i="2"/>
  <c r="K578" i="2" s="1"/>
  <c r="N578" i="2" s="1"/>
  <c r="J577" i="2"/>
  <c r="K577" i="2" s="1"/>
  <c r="N577" i="2" s="1"/>
  <c r="H576" i="2"/>
  <c r="J576" i="2" s="1"/>
  <c r="K576" i="2" s="1"/>
  <c r="H575" i="2"/>
  <c r="J575" i="2" s="1"/>
  <c r="K575" i="2" s="1"/>
  <c r="H574" i="2"/>
  <c r="J574" i="2" s="1"/>
  <c r="K574" i="2" s="1"/>
  <c r="H573" i="2"/>
  <c r="J573" i="2" s="1"/>
  <c r="K573" i="2" s="1"/>
  <c r="K572" i="2"/>
  <c r="N572" i="2" s="1"/>
  <c r="J571" i="2"/>
  <c r="K571" i="2" s="1"/>
  <c r="K570" i="2"/>
  <c r="K569" i="2"/>
  <c r="M569" i="2" s="1"/>
  <c r="H569" i="2"/>
  <c r="K568" i="2"/>
  <c r="N568" i="2" s="1"/>
  <c r="K567" i="2"/>
  <c r="N567" i="2" s="1"/>
  <c r="H566" i="2"/>
  <c r="J566" i="2" s="1"/>
  <c r="K566" i="2" s="1"/>
  <c r="H565" i="2"/>
  <c r="J565" i="2" s="1"/>
  <c r="K565" i="2" s="1"/>
  <c r="H564" i="2"/>
  <c r="J564" i="2" s="1"/>
  <c r="K564" i="2" s="1"/>
  <c r="N564" i="2" s="1"/>
  <c r="J563" i="2"/>
  <c r="K563" i="2" s="1"/>
  <c r="J562" i="2"/>
  <c r="K562" i="2" s="1"/>
  <c r="M562" i="2" s="1"/>
  <c r="J561" i="2"/>
  <c r="K561" i="2" s="1"/>
  <c r="K559" i="2"/>
  <c r="N559" i="2" s="1"/>
  <c r="K558" i="2"/>
  <c r="N558" i="2" s="1"/>
  <c r="K555" i="2"/>
  <c r="N555" i="2" s="1"/>
  <c r="K554" i="2"/>
  <c r="N554" i="2" s="1"/>
  <c r="H553" i="2"/>
  <c r="J553" i="2" s="1"/>
  <c r="K553" i="2" s="1"/>
  <c r="M553" i="2" s="1"/>
  <c r="H552" i="2"/>
  <c r="J552" i="2" s="1"/>
  <c r="K552" i="2" s="1"/>
  <c r="M552" i="2" s="1"/>
  <c r="H551" i="2"/>
  <c r="J551" i="2" s="1"/>
  <c r="K551" i="2" s="1"/>
  <c r="K550" i="2"/>
  <c r="K549" i="2"/>
  <c r="M549" i="2" s="1"/>
  <c r="H548" i="2"/>
  <c r="J548" i="2" s="1"/>
  <c r="K548" i="2" s="1"/>
  <c r="M548" i="2" s="1"/>
  <c r="H547" i="2"/>
  <c r="J547" i="2" s="1"/>
  <c r="K543" i="2"/>
  <c r="N543" i="2" s="1"/>
  <c r="K542" i="2"/>
  <c r="N542" i="2" s="1"/>
  <c r="K539" i="2"/>
  <c r="N539" i="2" s="1"/>
  <c r="K538" i="2"/>
  <c r="N538" i="2" s="1"/>
  <c r="K537" i="2"/>
  <c r="N537" i="2" s="1"/>
  <c r="K536" i="2"/>
  <c r="N536" i="2" s="1"/>
  <c r="K535" i="2"/>
  <c r="N535" i="2" s="1"/>
  <c r="K534" i="2"/>
  <c r="N534" i="2" s="1"/>
  <c r="K533" i="2"/>
  <c r="N533" i="2" s="1"/>
  <c r="K532" i="2"/>
  <c r="N532" i="2" s="1"/>
  <c r="K531" i="2"/>
  <c r="N531" i="2" s="1"/>
  <c r="K530" i="2"/>
  <c r="N530" i="2" s="1"/>
  <c r="K529" i="2"/>
  <c r="N529" i="2" s="1"/>
  <c r="K528" i="2"/>
  <c r="N528" i="2" s="1"/>
  <c r="K524" i="2"/>
  <c r="N524" i="2" s="1"/>
  <c r="K521" i="2"/>
  <c r="N521" i="2" s="1"/>
  <c r="K519" i="2"/>
  <c r="N519" i="2" s="1"/>
  <c r="K518" i="2"/>
  <c r="N518" i="2" s="1"/>
  <c r="K517" i="2"/>
  <c r="N517" i="2" s="1"/>
  <c r="K515" i="2"/>
  <c r="N515" i="2" s="1"/>
  <c r="K514" i="2"/>
  <c r="N514" i="2" s="1"/>
  <c r="L502" i="2"/>
  <c r="I502" i="2"/>
  <c r="K501" i="2"/>
  <c r="M501" i="2" s="1"/>
  <c r="K500" i="2"/>
  <c r="M500" i="2" s="1"/>
  <c r="K499" i="2"/>
  <c r="K498" i="2"/>
  <c r="N498" i="2" s="1"/>
  <c r="K497" i="2"/>
  <c r="M497" i="2" s="1"/>
  <c r="K496" i="2"/>
  <c r="M496" i="2" s="1"/>
  <c r="K495" i="2"/>
  <c r="M495" i="2" s="1"/>
  <c r="K494" i="2"/>
  <c r="K493" i="2"/>
  <c r="M493" i="2" s="1"/>
  <c r="K492" i="2"/>
  <c r="N492" i="2" s="1"/>
  <c r="K491" i="2"/>
  <c r="N491" i="2" s="1"/>
  <c r="K490" i="2"/>
  <c r="N490" i="2" s="1"/>
  <c r="K489" i="2"/>
  <c r="N489" i="2" s="1"/>
  <c r="K488" i="2"/>
  <c r="N488" i="2" s="1"/>
  <c r="K487" i="2"/>
  <c r="N487" i="2" s="1"/>
  <c r="K486" i="2"/>
  <c r="N486" i="2" s="1"/>
  <c r="K485" i="2"/>
  <c r="N485" i="2" s="1"/>
  <c r="K484" i="2"/>
  <c r="M484" i="2" s="1"/>
  <c r="K483" i="2"/>
  <c r="K482" i="2"/>
  <c r="M482" i="2" s="1"/>
  <c r="K481" i="2"/>
  <c r="M481" i="2" s="1"/>
  <c r="K480" i="2"/>
  <c r="K479" i="2"/>
  <c r="M479" i="2" s="1"/>
  <c r="K478" i="2"/>
  <c r="M478" i="2" s="1"/>
  <c r="K477" i="2"/>
  <c r="N477" i="2" s="1"/>
  <c r="K476" i="2"/>
  <c r="N476" i="2" s="1"/>
  <c r="K475" i="2"/>
  <c r="N475" i="2" s="1"/>
  <c r="K474" i="2"/>
  <c r="M474" i="2" s="1"/>
  <c r="K473" i="2"/>
  <c r="K472" i="2"/>
  <c r="M472" i="2" s="1"/>
  <c r="K471" i="2"/>
  <c r="M471" i="2" s="1"/>
  <c r="K470" i="2"/>
  <c r="M470" i="2" s="1"/>
  <c r="K469" i="2"/>
  <c r="K468" i="2"/>
  <c r="N468" i="2" s="1"/>
  <c r="K467" i="2"/>
  <c r="M467" i="2" s="1"/>
  <c r="K466" i="2"/>
  <c r="M466" i="2" s="1"/>
  <c r="K465" i="2"/>
  <c r="K464" i="2"/>
  <c r="N464" i="2" s="1"/>
  <c r="K463" i="2"/>
  <c r="M463" i="2" s="1"/>
  <c r="K462" i="2"/>
  <c r="M462" i="2" s="1"/>
  <c r="K461" i="2"/>
  <c r="N461" i="2" s="1"/>
  <c r="K460" i="2"/>
  <c r="M460" i="2" s="1"/>
  <c r="N460" i="2" s="1"/>
  <c r="K459" i="2"/>
  <c r="M459" i="2" s="1"/>
  <c r="N459" i="2" s="1"/>
  <c r="H459" i="2"/>
  <c r="K458" i="2"/>
  <c r="M458" i="2" s="1"/>
  <c r="K457" i="2"/>
  <c r="M457" i="2" s="1"/>
  <c r="N457" i="2" s="1"/>
  <c r="K456" i="2"/>
  <c r="M456" i="2" s="1"/>
  <c r="K455" i="2"/>
  <c r="M455" i="2" s="1"/>
  <c r="N455" i="2" s="1"/>
  <c r="K454" i="2"/>
  <c r="M454" i="2" s="1"/>
  <c r="K453" i="2"/>
  <c r="M453" i="2" s="1"/>
  <c r="N453" i="2" s="1"/>
  <c r="K452" i="2"/>
  <c r="M452" i="2" s="1"/>
  <c r="K451" i="2"/>
  <c r="M451" i="2" s="1"/>
  <c r="N451" i="2" s="1"/>
  <c r="K450" i="2"/>
  <c r="M450" i="2" s="1"/>
  <c r="H450" i="2"/>
  <c r="K449" i="2"/>
  <c r="K448" i="2"/>
  <c r="H448" i="2"/>
  <c r="K447" i="2"/>
  <c r="H447" i="2"/>
  <c r="K446" i="2"/>
  <c r="M446" i="2" s="1"/>
  <c r="J445" i="2"/>
  <c r="K445" i="2" s="1"/>
  <c r="M445" i="2" s="1"/>
  <c r="K444" i="2"/>
  <c r="M444" i="2" s="1"/>
  <c r="K443" i="2"/>
  <c r="M443" i="2" s="1"/>
  <c r="J442" i="2"/>
  <c r="K442" i="2" s="1"/>
  <c r="M442" i="2" s="1"/>
  <c r="K441" i="2"/>
  <c r="K440" i="2"/>
  <c r="M440" i="2" s="1"/>
  <c r="H440" i="2"/>
  <c r="K439" i="2"/>
  <c r="J438" i="2"/>
  <c r="K438" i="2" s="1"/>
  <c r="J437" i="2"/>
  <c r="K437" i="2" s="1"/>
  <c r="J436" i="2"/>
  <c r="K436" i="2" s="1"/>
  <c r="M436" i="2" s="1"/>
  <c r="J435" i="2"/>
  <c r="K435" i="2" s="1"/>
  <c r="K434" i="2"/>
  <c r="H434" i="2"/>
  <c r="K433" i="2"/>
  <c r="M433" i="2" s="1"/>
  <c r="J432" i="2"/>
  <c r="K432" i="2" s="1"/>
  <c r="K431" i="2"/>
  <c r="M431" i="2" s="1"/>
  <c r="K430" i="2"/>
  <c r="M430" i="2" s="1"/>
  <c r="K429" i="2"/>
  <c r="M429" i="2" s="1"/>
  <c r="J428" i="2"/>
  <c r="K428" i="2" s="1"/>
  <c r="M428" i="2" s="1"/>
  <c r="J427" i="2"/>
  <c r="K427" i="2" s="1"/>
  <c r="J426" i="2"/>
  <c r="K426" i="2" s="1"/>
  <c r="J425" i="2"/>
  <c r="K425" i="2" s="1"/>
  <c r="J424" i="2"/>
  <c r="K424" i="2" s="1"/>
  <c r="M424" i="2" s="1"/>
  <c r="K423" i="2"/>
  <c r="M423" i="2" s="1"/>
  <c r="J422" i="2"/>
  <c r="K422" i="2" s="1"/>
  <c r="J421" i="2"/>
  <c r="K421" i="2" s="1"/>
  <c r="H420" i="2"/>
  <c r="J420" i="2" s="1"/>
  <c r="K420" i="2" s="1"/>
  <c r="H419" i="2"/>
  <c r="J419" i="2" s="1"/>
  <c r="K419" i="2" s="1"/>
  <c r="K418" i="2"/>
  <c r="M418" i="2" s="1"/>
  <c r="H418" i="2"/>
  <c r="K417" i="2"/>
  <c r="M417" i="2" s="1"/>
  <c r="H417" i="2"/>
  <c r="K416" i="2"/>
  <c r="M416" i="2" s="1"/>
  <c r="H416" i="2"/>
  <c r="J415" i="2"/>
  <c r="K415" i="2" s="1"/>
  <c r="K414" i="2"/>
  <c r="M414" i="2" s="1"/>
  <c r="N414" i="2" s="1"/>
  <c r="K413" i="2"/>
  <c r="M413" i="2" s="1"/>
  <c r="K412" i="2"/>
  <c r="H412" i="2"/>
  <c r="K411" i="2"/>
  <c r="M411" i="2" s="1"/>
  <c r="H410" i="2"/>
  <c r="J410" i="2" s="1"/>
  <c r="K410" i="2" s="1"/>
  <c r="K409" i="2"/>
  <c r="M409" i="2" s="1"/>
  <c r="H409" i="2"/>
  <c r="K408" i="2"/>
  <c r="K407" i="2"/>
  <c r="K406" i="2"/>
  <c r="M406" i="2" s="1"/>
  <c r="N406" i="2" s="1"/>
  <c r="H405" i="2"/>
  <c r="J405" i="2" s="1"/>
  <c r="K405" i="2" s="1"/>
  <c r="K404" i="2"/>
  <c r="K403" i="2"/>
  <c r="M403" i="2" s="1"/>
  <c r="H403" i="2"/>
  <c r="J402" i="2"/>
  <c r="K402" i="2" s="1"/>
  <c r="M402" i="2" s="1"/>
  <c r="J401" i="2"/>
  <c r="K401" i="2" s="1"/>
  <c r="M401" i="2" s="1"/>
  <c r="J400" i="2"/>
  <c r="K400" i="2" s="1"/>
  <c r="M400" i="2" s="1"/>
  <c r="K399" i="2"/>
  <c r="M399" i="2" s="1"/>
  <c r="K398" i="2"/>
  <c r="M398" i="2" s="1"/>
  <c r="H398" i="2"/>
  <c r="K397" i="2"/>
  <c r="M397" i="2" s="1"/>
  <c r="N397" i="2" s="1"/>
  <c r="K396" i="2"/>
  <c r="M396" i="2" s="1"/>
  <c r="H396" i="2"/>
  <c r="K395" i="2"/>
  <c r="K394" i="2"/>
  <c r="M394" i="2" s="1"/>
  <c r="N394" i="2" s="1"/>
  <c r="H394" i="2"/>
  <c r="K393" i="2"/>
  <c r="M393" i="2" s="1"/>
  <c r="H393" i="2"/>
  <c r="J392" i="2"/>
  <c r="K392" i="2" s="1"/>
  <c r="M392" i="2" s="1"/>
  <c r="K391" i="2"/>
  <c r="M391" i="2" s="1"/>
  <c r="K390" i="2"/>
  <c r="M390" i="2" s="1"/>
  <c r="K389" i="2"/>
  <c r="M389" i="2" s="1"/>
  <c r="K388" i="2"/>
  <c r="M388" i="2" s="1"/>
  <c r="K387" i="2"/>
  <c r="M387" i="2" s="1"/>
  <c r="K386" i="2"/>
  <c r="M386" i="2" s="1"/>
  <c r="J385" i="2"/>
  <c r="K385" i="2" s="1"/>
  <c r="M385" i="2" s="1"/>
  <c r="K384" i="2"/>
  <c r="M384" i="2" s="1"/>
  <c r="K383" i="2"/>
  <c r="M383" i="2" s="1"/>
  <c r="H383" i="2"/>
  <c r="K382" i="2"/>
  <c r="M382" i="2" s="1"/>
  <c r="H382" i="2"/>
  <c r="H381" i="2"/>
  <c r="J381" i="2" s="1"/>
  <c r="K381" i="2" s="1"/>
  <c r="K380" i="2"/>
  <c r="M380" i="2" s="1"/>
  <c r="H380" i="2"/>
  <c r="K379" i="2"/>
  <c r="M379" i="2" s="1"/>
  <c r="K378" i="2"/>
  <c r="M378" i="2" s="1"/>
  <c r="H378" i="2"/>
  <c r="K377" i="2"/>
  <c r="J376" i="2"/>
  <c r="K376" i="2" s="1"/>
  <c r="M376" i="2" s="1"/>
  <c r="K375" i="2"/>
  <c r="M375" i="2" s="1"/>
  <c r="K374" i="2"/>
  <c r="M374" i="2" s="1"/>
  <c r="J373" i="2"/>
  <c r="K373" i="2" s="1"/>
  <c r="M373" i="2" s="1"/>
  <c r="J372" i="2"/>
  <c r="K372" i="2" s="1"/>
  <c r="K371" i="2"/>
  <c r="M371" i="2" s="1"/>
  <c r="N371" i="2" s="1"/>
  <c r="J370" i="2"/>
  <c r="K370" i="2" s="1"/>
  <c r="M370" i="2" s="1"/>
  <c r="J369" i="2"/>
  <c r="K369" i="2" s="1"/>
  <c r="M369" i="2" s="1"/>
  <c r="J368" i="2"/>
  <c r="K368" i="2" s="1"/>
  <c r="K367" i="2"/>
  <c r="M367" i="2" s="1"/>
  <c r="H366" i="2"/>
  <c r="J366" i="2" s="1"/>
  <c r="K366" i="2" s="1"/>
  <c r="J365" i="2"/>
  <c r="K365" i="2" s="1"/>
  <c r="K364" i="2"/>
  <c r="M364" i="2" s="1"/>
  <c r="K363" i="2"/>
  <c r="M363" i="2" s="1"/>
  <c r="H362" i="2"/>
  <c r="J362" i="2" s="1"/>
  <c r="K362" i="2" s="1"/>
  <c r="H361" i="2"/>
  <c r="J361" i="2" s="1"/>
  <c r="K361" i="2" s="1"/>
  <c r="K360" i="2"/>
  <c r="H360" i="2"/>
  <c r="J359" i="2"/>
  <c r="K359" i="2" s="1"/>
  <c r="M359" i="2" s="1"/>
  <c r="J358" i="2"/>
  <c r="K358" i="2" s="1"/>
  <c r="J357" i="2"/>
  <c r="K357" i="2" s="1"/>
  <c r="M357" i="2" s="1"/>
  <c r="J356" i="2"/>
  <c r="K356" i="2" s="1"/>
  <c r="J355" i="2"/>
  <c r="K355" i="2" s="1"/>
  <c r="M355" i="2" s="1"/>
  <c r="J354" i="2"/>
  <c r="K354" i="2" s="1"/>
  <c r="K353" i="2"/>
  <c r="M353" i="2" s="1"/>
  <c r="K352" i="2"/>
  <c r="M352" i="2" s="1"/>
  <c r="N352" i="2" s="1"/>
  <c r="K351" i="2"/>
  <c r="M351" i="2" s="1"/>
  <c r="K350" i="2"/>
  <c r="K349" i="2"/>
  <c r="M349" i="2" s="1"/>
  <c r="K348" i="2"/>
  <c r="M348" i="2" s="1"/>
  <c r="K347" i="2"/>
  <c r="M347" i="2" s="1"/>
  <c r="K346" i="2"/>
  <c r="K345" i="2"/>
  <c r="M345" i="2" s="1"/>
  <c r="K344" i="2"/>
  <c r="M344" i="2" s="1"/>
  <c r="K343" i="2"/>
  <c r="M343" i="2" s="1"/>
  <c r="H342" i="2"/>
  <c r="J342" i="2" s="1"/>
  <c r="K342" i="2" s="1"/>
  <c r="K341" i="2"/>
  <c r="M341" i="2" s="1"/>
  <c r="K340" i="2"/>
  <c r="M340" i="2" s="1"/>
  <c r="J339" i="2"/>
  <c r="K339" i="2" s="1"/>
  <c r="M339" i="2" s="1"/>
  <c r="K338" i="2"/>
  <c r="M338" i="2" s="1"/>
  <c r="K337" i="2"/>
  <c r="M337" i="2" s="1"/>
  <c r="J336" i="2"/>
  <c r="K336" i="2" s="1"/>
  <c r="M336" i="2" s="1"/>
  <c r="K335" i="2"/>
  <c r="K334" i="2"/>
  <c r="M334" i="2" s="1"/>
  <c r="K333" i="2"/>
  <c r="M333" i="2" s="1"/>
  <c r="N333" i="2" s="1"/>
  <c r="H332" i="2"/>
  <c r="J332" i="2" s="1"/>
  <c r="K332" i="2" s="1"/>
  <c r="J331" i="2"/>
  <c r="K331" i="2" s="1"/>
  <c r="M331" i="2" s="1"/>
  <c r="J330" i="2"/>
  <c r="K330" i="2" s="1"/>
  <c r="K329" i="2"/>
  <c r="M329" i="2" s="1"/>
  <c r="H329" i="2"/>
  <c r="J328" i="2"/>
  <c r="K328" i="2" s="1"/>
  <c r="M328" i="2" s="1"/>
  <c r="K327" i="2"/>
  <c r="M327" i="2" s="1"/>
  <c r="K326" i="2"/>
  <c r="M326" i="2" s="1"/>
  <c r="J325" i="2"/>
  <c r="K325" i="2" s="1"/>
  <c r="M325" i="2" s="1"/>
  <c r="J324" i="2"/>
  <c r="K324" i="2" s="1"/>
  <c r="J323" i="2"/>
  <c r="K323" i="2" s="1"/>
  <c r="K322" i="2"/>
  <c r="M322" i="2" s="1"/>
  <c r="K321" i="2"/>
  <c r="M321" i="2" s="1"/>
  <c r="K320" i="2"/>
  <c r="M320" i="2" s="1"/>
  <c r="H320" i="2"/>
  <c r="K319" i="2"/>
  <c r="M319" i="2" s="1"/>
  <c r="H318" i="2"/>
  <c r="J318" i="2" s="1"/>
  <c r="K318" i="2" s="1"/>
  <c r="M318" i="2" s="1"/>
  <c r="K317" i="2"/>
  <c r="M317" i="2" s="1"/>
  <c r="H317" i="2"/>
  <c r="K316" i="2"/>
  <c r="M316" i="2" s="1"/>
  <c r="K315" i="2"/>
  <c r="M315" i="2" s="1"/>
  <c r="K314" i="2"/>
  <c r="M314" i="2" s="1"/>
  <c r="K313" i="2"/>
  <c r="M313" i="2" s="1"/>
  <c r="K312" i="2"/>
  <c r="M312" i="2" s="1"/>
  <c r="K311" i="2"/>
  <c r="M311" i="2" s="1"/>
  <c r="K310" i="2"/>
  <c r="M310" i="2" s="1"/>
  <c r="J309" i="2"/>
  <c r="K309" i="2" s="1"/>
  <c r="K308" i="2"/>
  <c r="K307" i="2"/>
  <c r="M307" i="2" s="1"/>
  <c r="K306" i="2"/>
  <c r="M306" i="2" s="1"/>
  <c r="K305" i="2"/>
  <c r="M305" i="2" s="1"/>
  <c r="J304" i="2"/>
  <c r="K304" i="2" s="1"/>
  <c r="M304" i="2" s="1"/>
  <c r="K303" i="2"/>
  <c r="M303" i="2" s="1"/>
  <c r="K302" i="2"/>
  <c r="M302" i="2" s="1"/>
  <c r="J301" i="2"/>
  <c r="K301" i="2" s="1"/>
  <c r="M301" i="2" s="1"/>
  <c r="K300" i="2"/>
  <c r="M300" i="2" s="1"/>
  <c r="K299" i="2"/>
  <c r="M299" i="2" s="1"/>
  <c r="K298" i="2"/>
  <c r="M298" i="2" s="1"/>
  <c r="N298" i="2" s="1"/>
  <c r="K297" i="2"/>
  <c r="M297" i="2" s="1"/>
  <c r="K296" i="2"/>
  <c r="M296" i="2" s="1"/>
  <c r="K295" i="2"/>
  <c r="M295" i="2" s="1"/>
  <c r="H295" i="2"/>
  <c r="K294" i="2"/>
  <c r="M294" i="2" s="1"/>
  <c r="K293" i="2"/>
  <c r="M293" i="2" s="1"/>
  <c r="K292" i="2"/>
  <c r="M292" i="2" s="1"/>
  <c r="K291" i="2"/>
  <c r="M291" i="2" s="1"/>
  <c r="K290" i="2"/>
  <c r="M290" i="2" s="1"/>
  <c r="K289" i="2"/>
  <c r="M289" i="2" s="1"/>
  <c r="K288" i="2"/>
  <c r="J287" i="2"/>
  <c r="K287" i="2" s="1"/>
  <c r="K286" i="2"/>
  <c r="M286" i="2" s="1"/>
  <c r="K285" i="2"/>
  <c r="M285" i="2" s="1"/>
  <c r="K284" i="2"/>
  <c r="M284" i="2" s="1"/>
  <c r="K283" i="2"/>
  <c r="M283" i="2" s="1"/>
  <c r="J282" i="2"/>
  <c r="K282" i="2" s="1"/>
  <c r="J281" i="2"/>
  <c r="K281" i="2" s="1"/>
  <c r="J280" i="2"/>
  <c r="K280" i="2" s="1"/>
  <c r="J279" i="2"/>
  <c r="K279" i="2" s="1"/>
  <c r="M279" i="2" s="1"/>
  <c r="J278" i="2"/>
  <c r="K278" i="2" s="1"/>
  <c r="K277" i="2"/>
  <c r="K276" i="2"/>
  <c r="M276" i="2" s="1"/>
  <c r="J275" i="2"/>
  <c r="K275" i="2" s="1"/>
  <c r="M275" i="2" s="1"/>
  <c r="J274" i="2"/>
  <c r="K274" i="2" s="1"/>
  <c r="H273" i="2"/>
  <c r="J273" i="2" s="1"/>
  <c r="K273" i="2" s="1"/>
  <c r="J272" i="2"/>
  <c r="K272" i="2" s="1"/>
  <c r="J271" i="2"/>
  <c r="K271" i="2" s="1"/>
  <c r="M271" i="2" s="1"/>
  <c r="K270" i="2"/>
  <c r="M270" i="2" s="1"/>
  <c r="H270" i="2"/>
  <c r="J269" i="2"/>
  <c r="K269" i="2" s="1"/>
  <c r="J268" i="2"/>
  <c r="K268" i="2" s="1"/>
  <c r="J267" i="2"/>
  <c r="K267" i="2" s="1"/>
  <c r="M267" i="2" s="1"/>
  <c r="J266" i="2"/>
  <c r="K266" i="2" s="1"/>
  <c r="J265" i="2"/>
  <c r="K265" i="2" s="1"/>
  <c r="J264" i="2"/>
  <c r="K264" i="2" s="1"/>
  <c r="J263" i="2"/>
  <c r="K263" i="2" s="1"/>
  <c r="M263" i="2" s="1"/>
  <c r="J262" i="2"/>
  <c r="K262" i="2" s="1"/>
  <c r="J261" i="2"/>
  <c r="K261" i="2" s="1"/>
  <c r="K260" i="2"/>
  <c r="M260" i="2" s="1"/>
  <c r="K259" i="2"/>
  <c r="M259" i="2" s="1"/>
  <c r="K258" i="2"/>
  <c r="M258" i="2" s="1"/>
  <c r="H258" i="2"/>
  <c r="K257" i="2"/>
  <c r="M257" i="2" s="1"/>
  <c r="K256" i="2"/>
  <c r="M256" i="2" s="1"/>
  <c r="K255" i="2"/>
  <c r="M255" i="2" s="1"/>
  <c r="K254" i="2"/>
  <c r="M254" i="2" s="1"/>
  <c r="N254" i="2" s="1"/>
  <c r="K253" i="2"/>
  <c r="M253" i="2" s="1"/>
  <c r="K252" i="2"/>
  <c r="M252" i="2" s="1"/>
  <c r="K251" i="2"/>
  <c r="M251" i="2" s="1"/>
  <c r="H251" i="2"/>
  <c r="K250" i="2"/>
  <c r="M250" i="2" s="1"/>
  <c r="H249" i="2"/>
  <c r="J249" i="2" s="1"/>
  <c r="K249" i="2" s="1"/>
  <c r="H248" i="2"/>
  <c r="J248" i="2" s="1"/>
  <c r="K248" i="2" s="1"/>
  <c r="M248" i="2" s="1"/>
  <c r="H247" i="2"/>
  <c r="J247" i="2" s="1"/>
  <c r="K247" i="2" s="1"/>
  <c r="H246" i="2"/>
  <c r="J246" i="2" s="1"/>
  <c r="K246" i="2" s="1"/>
  <c r="K245" i="2"/>
  <c r="M245" i="2" s="1"/>
  <c r="K244" i="2"/>
  <c r="M244" i="2" s="1"/>
  <c r="K243" i="2"/>
  <c r="M243" i="2" s="1"/>
  <c r="K242" i="2"/>
  <c r="K241" i="2"/>
  <c r="M241" i="2" s="1"/>
  <c r="K240" i="2"/>
  <c r="M240" i="2" s="1"/>
  <c r="K239" i="2"/>
  <c r="M239" i="2" s="1"/>
  <c r="N239" i="2" s="1"/>
  <c r="K238" i="2"/>
  <c r="M238" i="2" s="1"/>
  <c r="K237" i="2"/>
  <c r="M237" i="2" s="1"/>
  <c r="K236" i="2"/>
  <c r="M236" i="2" s="1"/>
  <c r="K235" i="2"/>
  <c r="M235" i="2" s="1"/>
  <c r="N235" i="2" s="1"/>
  <c r="K234" i="2"/>
  <c r="M234" i="2" s="1"/>
  <c r="K233" i="2"/>
  <c r="M233" i="2" s="1"/>
  <c r="H233" i="2"/>
  <c r="K232" i="2"/>
  <c r="M232" i="2" s="1"/>
  <c r="H232" i="2"/>
  <c r="K231" i="2"/>
  <c r="J230" i="2"/>
  <c r="K230" i="2" s="1"/>
  <c r="J229" i="2"/>
  <c r="K229" i="2" s="1"/>
  <c r="M229" i="2" s="1"/>
  <c r="K228" i="2"/>
  <c r="M228" i="2" s="1"/>
  <c r="K227" i="2"/>
  <c r="M227" i="2" s="1"/>
  <c r="N227" i="2" s="1"/>
  <c r="K226" i="2"/>
  <c r="M226" i="2" s="1"/>
  <c r="J225" i="2"/>
  <c r="K225" i="2" s="1"/>
  <c r="M225" i="2" s="1"/>
  <c r="J224" i="2"/>
  <c r="K224" i="2" s="1"/>
  <c r="M224" i="2" s="1"/>
  <c r="K223" i="2"/>
  <c r="K222" i="2"/>
  <c r="K221" i="2"/>
  <c r="M221" i="2" s="1"/>
  <c r="H221" i="2"/>
  <c r="K220" i="2"/>
  <c r="M220" i="2" s="1"/>
  <c r="H220" i="2"/>
  <c r="H219" i="2"/>
  <c r="J219" i="2" s="1"/>
  <c r="K219" i="2" s="1"/>
  <c r="K218" i="2"/>
  <c r="M218" i="2" s="1"/>
  <c r="H218" i="2"/>
  <c r="K217" i="2"/>
  <c r="J216" i="2"/>
  <c r="K216" i="2" s="1"/>
  <c r="J215" i="2"/>
  <c r="K215" i="2" s="1"/>
  <c r="M215" i="2" s="1"/>
  <c r="K214" i="2"/>
  <c r="M214" i="2" s="1"/>
  <c r="K213" i="2"/>
  <c r="K212" i="2"/>
  <c r="M212" i="2" s="1"/>
  <c r="K211" i="2"/>
  <c r="M211" i="2" s="1"/>
  <c r="N211" i="2" s="1"/>
  <c r="K210" i="2"/>
  <c r="M210" i="2" s="1"/>
  <c r="H209" i="2"/>
  <c r="J209" i="2" s="1"/>
  <c r="K209" i="2" s="1"/>
  <c r="H208" i="2"/>
  <c r="J208" i="2" s="1"/>
  <c r="K208" i="2" s="1"/>
  <c r="H207" i="2"/>
  <c r="J207" i="2" s="1"/>
  <c r="K207" i="2" s="1"/>
  <c r="M207" i="2" s="1"/>
  <c r="J206" i="2"/>
  <c r="K206" i="2" s="1"/>
  <c r="M206" i="2" s="1"/>
  <c r="K205" i="2"/>
  <c r="M205" i="2" s="1"/>
  <c r="K204" i="2"/>
  <c r="M204" i="2" s="1"/>
  <c r="J203" i="2"/>
  <c r="K203" i="2" s="1"/>
  <c r="K202" i="2"/>
  <c r="M202" i="2" s="1"/>
  <c r="K201" i="2"/>
  <c r="M201" i="2" s="1"/>
  <c r="J200" i="2"/>
  <c r="K200" i="2" s="1"/>
  <c r="M200" i="2" s="1"/>
  <c r="K199" i="2"/>
  <c r="M199" i="2" s="1"/>
  <c r="K198" i="2"/>
  <c r="K197" i="2"/>
  <c r="M197" i="2" s="1"/>
  <c r="K196" i="2"/>
  <c r="M196" i="2" s="1"/>
  <c r="N196" i="2" s="1"/>
  <c r="K195" i="2"/>
  <c r="M195" i="2" s="1"/>
  <c r="K194" i="2"/>
  <c r="K193" i="2"/>
  <c r="M193" i="2" s="1"/>
  <c r="H193" i="2"/>
  <c r="K192" i="2"/>
  <c r="M192" i="2" s="1"/>
  <c r="H192" i="2"/>
  <c r="K191" i="2"/>
  <c r="H191" i="2"/>
  <c r="K190" i="2"/>
  <c r="M190" i="2" s="1"/>
  <c r="K189" i="2"/>
  <c r="M189" i="2" s="1"/>
  <c r="H189" i="2"/>
  <c r="J188" i="2"/>
  <c r="K187" i="2"/>
  <c r="K186" i="2"/>
  <c r="M186" i="2" s="1"/>
  <c r="K185" i="2"/>
  <c r="M185" i="2" s="1"/>
  <c r="N185" i="2" s="1"/>
  <c r="K184" i="2"/>
  <c r="M184" i="2" s="1"/>
  <c r="K183" i="2"/>
  <c r="K182" i="2"/>
  <c r="M182" i="2" s="1"/>
  <c r="K181" i="2"/>
  <c r="M181" i="2" s="1"/>
  <c r="N181" i="2" s="1"/>
  <c r="K180" i="2"/>
  <c r="M180" i="2" s="1"/>
  <c r="K179" i="2"/>
  <c r="K178" i="2"/>
  <c r="M178" i="2" s="1"/>
  <c r="H178" i="2"/>
  <c r="K177" i="2"/>
  <c r="M177" i="2" s="1"/>
  <c r="K176" i="2"/>
  <c r="M176" i="2" s="1"/>
  <c r="K175" i="2"/>
  <c r="M175" i="2" s="1"/>
  <c r="K174" i="2"/>
  <c r="M174" i="2" s="1"/>
  <c r="N174" i="2" s="1"/>
  <c r="K173" i="2"/>
  <c r="M173" i="2" s="1"/>
  <c r="K172" i="2"/>
  <c r="M172" i="2" s="1"/>
  <c r="K171" i="2"/>
  <c r="M171" i="2" s="1"/>
  <c r="K170" i="2"/>
  <c r="M170" i="2" s="1"/>
  <c r="N170" i="2" s="1"/>
  <c r="K169" i="2"/>
  <c r="H169" i="2"/>
  <c r="L159" i="2"/>
  <c r="I159" i="2"/>
  <c r="K158" i="2"/>
  <c r="K157" i="2"/>
  <c r="N157" i="2" s="1"/>
  <c r="K156" i="2"/>
  <c r="N156" i="2" s="1"/>
  <c r="K155" i="2"/>
  <c r="M155" i="2" s="1"/>
  <c r="K154" i="2"/>
  <c r="M154" i="2" s="1"/>
  <c r="N154" i="2" s="1"/>
  <c r="K153" i="2"/>
  <c r="M153" i="2" s="1"/>
  <c r="K152" i="2"/>
  <c r="N152" i="2" s="1"/>
  <c r="K151" i="2"/>
  <c r="M151" i="2" s="1"/>
  <c r="K150" i="2"/>
  <c r="M150" i="2" s="1"/>
  <c r="H150" i="2"/>
  <c r="K149" i="2"/>
  <c r="M149" i="2" s="1"/>
  <c r="H149" i="2"/>
  <c r="K148" i="2"/>
  <c r="H148" i="2"/>
  <c r="K147" i="2"/>
  <c r="M147" i="2" s="1"/>
  <c r="N147" i="2" s="1"/>
  <c r="H147" i="2"/>
  <c r="K146" i="2"/>
  <c r="M146" i="2" s="1"/>
  <c r="H145" i="2"/>
  <c r="J145" i="2" s="1"/>
  <c r="K145" i="2" s="1"/>
  <c r="K144" i="2"/>
  <c r="M144" i="2" s="1"/>
  <c r="H144" i="2"/>
  <c r="K143" i="2"/>
  <c r="M143" i="2" s="1"/>
  <c r="H143" i="2"/>
  <c r="K142" i="2"/>
  <c r="H142" i="2"/>
  <c r="K141" i="2"/>
  <c r="M141" i="2" s="1"/>
  <c r="H141" i="2"/>
  <c r="K140" i="2"/>
  <c r="M140" i="2" s="1"/>
  <c r="K139" i="2"/>
  <c r="M139" i="2" s="1"/>
  <c r="K138" i="2"/>
  <c r="M138" i="2" s="1"/>
  <c r="H138" i="2"/>
  <c r="J137" i="2"/>
  <c r="K137" i="2" s="1"/>
  <c r="H136" i="2"/>
  <c r="J136" i="2" s="1"/>
  <c r="K136" i="2" s="1"/>
  <c r="K135" i="2"/>
  <c r="M135" i="2" s="1"/>
  <c r="H135" i="2"/>
  <c r="K134" i="2"/>
  <c r="M134" i="2" s="1"/>
  <c r="K133" i="2"/>
  <c r="M133" i="2" s="1"/>
  <c r="H133" i="2"/>
  <c r="K132" i="2"/>
  <c r="M132" i="2" s="1"/>
  <c r="N132" i="2" s="1"/>
  <c r="H131" i="2"/>
  <c r="J131" i="2" s="1"/>
  <c r="K131" i="2" s="1"/>
  <c r="K130" i="2"/>
  <c r="M130" i="2" s="1"/>
  <c r="H130" i="2"/>
  <c r="K129" i="2"/>
  <c r="M129" i="2" s="1"/>
  <c r="H129" i="2"/>
  <c r="K128" i="2"/>
  <c r="M128" i="2" s="1"/>
  <c r="K127" i="2"/>
  <c r="M127" i="2" s="1"/>
  <c r="H127" i="2"/>
  <c r="H126" i="2"/>
  <c r="J126" i="2" s="1"/>
  <c r="K126" i="2" s="1"/>
  <c r="K125" i="2"/>
  <c r="M125" i="2" s="1"/>
  <c r="K124" i="2"/>
  <c r="H124" i="2"/>
  <c r="K123" i="2"/>
  <c r="M123" i="2" s="1"/>
  <c r="K122" i="2"/>
  <c r="M122" i="2" s="1"/>
  <c r="H122" i="2"/>
  <c r="K121" i="2"/>
  <c r="M121" i="2" s="1"/>
  <c r="H121" i="2"/>
  <c r="H120" i="2"/>
  <c r="J120" i="2" s="1"/>
  <c r="K120" i="2" s="1"/>
  <c r="H119" i="2"/>
  <c r="J119" i="2" s="1"/>
  <c r="K119" i="2" s="1"/>
  <c r="J118" i="2"/>
  <c r="K118" i="2" s="1"/>
  <c r="K117" i="2"/>
  <c r="M117" i="2" s="1"/>
  <c r="H117" i="2"/>
  <c r="K116" i="2"/>
  <c r="M116" i="2" s="1"/>
  <c r="K115" i="2"/>
  <c r="M115" i="2" s="1"/>
  <c r="K114" i="2"/>
  <c r="M114" i="2" s="1"/>
  <c r="K113" i="2"/>
  <c r="H113" i="2"/>
  <c r="K112" i="2"/>
  <c r="M112" i="2" s="1"/>
  <c r="H112" i="2"/>
  <c r="K111" i="2"/>
  <c r="K110" i="2"/>
  <c r="M110" i="2" s="1"/>
  <c r="H110" i="2"/>
  <c r="K109" i="2"/>
  <c r="M109" i="2" s="1"/>
  <c r="K108" i="2"/>
  <c r="K107" i="2"/>
  <c r="H107" i="2"/>
  <c r="K106" i="2"/>
  <c r="M106" i="2" s="1"/>
  <c r="H106" i="2"/>
  <c r="K105" i="2"/>
  <c r="H105" i="2"/>
  <c r="K104" i="2"/>
  <c r="M104" i="2" s="1"/>
  <c r="H104" i="2"/>
  <c r="K103" i="2"/>
  <c r="H103" i="2"/>
  <c r="K102" i="2"/>
  <c r="M102" i="2" s="1"/>
  <c r="H102" i="2"/>
  <c r="K101" i="2"/>
  <c r="H101" i="2"/>
  <c r="H100" i="2"/>
  <c r="J100" i="2" s="1"/>
  <c r="K100" i="2" s="1"/>
  <c r="K99" i="2"/>
  <c r="H99" i="2"/>
  <c r="K98" i="2"/>
  <c r="M98" i="2" s="1"/>
  <c r="H98" i="2"/>
  <c r="H97" i="2"/>
  <c r="J97" i="2" s="1"/>
  <c r="K97" i="2" s="1"/>
  <c r="K96" i="2"/>
  <c r="M96" i="2" s="1"/>
  <c r="K95" i="2"/>
  <c r="H95" i="2"/>
  <c r="H94" i="2"/>
  <c r="J94" i="2" s="1"/>
  <c r="K94" i="2" s="1"/>
  <c r="M94" i="2" s="1"/>
  <c r="K93" i="2"/>
  <c r="M93" i="2" s="1"/>
  <c r="H93" i="2"/>
  <c r="H92" i="2"/>
  <c r="J92" i="2" s="1"/>
  <c r="K92" i="2" s="1"/>
  <c r="H91" i="2"/>
  <c r="J91" i="2" s="1"/>
  <c r="K91" i="2" s="1"/>
  <c r="M91" i="2" s="1"/>
  <c r="H90" i="2"/>
  <c r="J90" i="2" s="1"/>
  <c r="K90" i="2" s="1"/>
  <c r="M90" i="2" s="1"/>
  <c r="H89" i="2"/>
  <c r="J89" i="2" s="1"/>
  <c r="K89" i="2" s="1"/>
  <c r="K88" i="2"/>
  <c r="M88" i="2" s="1"/>
  <c r="H88" i="2"/>
  <c r="K87" i="2"/>
  <c r="M87" i="2" s="1"/>
  <c r="H87" i="2"/>
  <c r="H86" i="2"/>
  <c r="J86" i="2" s="1"/>
  <c r="K86" i="2" s="1"/>
  <c r="J85" i="2"/>
  <c r="K84" i="2"/>
  <c r="L75" i="2"/>
  <c r="I75" i="2"/>
  <c r="K74" i="2"/>
  <c r="M74" i="2" s="1"/>
  <c r="K73" i="2"/>
  <c r="K72" i="2"/>
  <c r="M72" i="2" s="1"/>
  <c r="K71" i="2"/>
  <c r="H71" i="2"/>
  <c r="K70" i="2"/>
  <c r="H70" i="2"/>
  <c r="K69" i="2"/>
  <c r="M69" i="2" s="1"/>
  <c r="H69" i="2"/>
  <c r="K68" i="2"/>
  <c r="H67" i="2"/>
  <c r="J67" i="2" s="1"/>
  <c r="K67" i="2" s="1"/>
  <c r="K66" i="2"/>
  <c r="K65" i="2"/>
  <c r="K64" i="2"/>
  <c r="M64" i="2" s="1"/>
  <c r="H64" i="2"/>
  <c r="K63" i="2"/>
  <c r="K62" i="2"/>
  <c r="M62" i="2" s="1"/>
  <c r="K61" i="2"/>
  <c r="M61" i="2" s="1"/>
  <c r="K60" i="2"/>
  <c r="M60" i="2" s="1"/>
  <c r="N60" i="2" s="1"/>
  <c r="K59" i="2"/>
  <c r="K58" i="2"/>
  <c r="M58" i="2" s="1"/>
  <c r="K57" i="2"/>
  <c r="M57" i="2" s="1"/>
  <c r="K56" i="2"/>
  <c r="M56" i="2" s="1"/>
  <c r="N56" i="2" s="1"/>
  <c r="K55" i="2"/>
  <c r="K54" i="2"/>
  <c r="M54" i="2" s="1"/>
  <c r="K53" i="2"/>
  <c r="M53" i="2" s="1"/>
  <c r="K52" i="2"/>
  <c r="M52" i="2" s="1"/>
  <c r="N52" i="2" s="1"/>
  <c r="K51" i="2"/>
  <c r="K50" i="2"/>
  <c r="M50" i="2" s="1"/>
  <c r="H50" i="2"/>
  <c r="K49" i="2"/>
  <c r="M49" i="2" s="1"/>
  <c r="H49" i="2"/>
  <c r="K48" i="2"/>
  <c r="M48" i="2" s="1"/>
  <c r="K47" i="2"/>
  <c r="M47" i="2" s="1"/>
  <c r="K46" i="2"/>
  <c r="M46" i="2" s="1"/>
  <c r="N46" i="2" s="1"/>
  <c r="K45" i="2"/>
  <c r="J44" i="2"/>
  <c r="K44" i="2" s="1"/>
  <c r="K43" i="2"/>
  <c r="M43" i="2" s="1"/>
  <c r="K42" i="2"/>
  <c r="H42" i="2"/>
  <c r="K41" i="2"/>
  <c r="M41" i="2" s="1"/>
  <c r="N41" i="2" s="1"/>
  <c r="H41" i="2"/>
  <c r="J40" i="2"/>
  <c r="K40" i="2" s="1"/>
  <c r="K39" i="2"/>
  <c r="M39" i="2" s="1"/>
  <c r="K38" i="2"/>
  <c r="M38" i="2" s="1"/>
  <c r="K37" i="2"/>
  <c r="M37" i="2" s="1"/>
  <c r="K36" i="2"/>
  <c r="H36" i="2"/>
  <c r="K35" i="2"/>
  <c r="M35" i="2" s="1"/>
  <c r="H35" i="2"/>
  <c r="K34" i="2"/>
  <c r="M34" i="2" s="1"/>
  <c r="H34" i="2"/>
  <c r="K33" i="2"/>
  <c r="M33" i="2" s="1"/>
  <c r="K32" i="2"/>
  <c r="M32" i="2" s="1"/>
  <c r="K31" i="2"/>
  <c r="M31" i="2" s="1"/>
  <c r="K30" i="2"/>
  <c r="M30" i="2" s="1"/>
  <c r="K29" i="2"/>
  <c r="M29" i="2" s="1"/>
  <c r="K28" i="2"/>
  <c r="K27" i="2"/>
  <c r="M27" i="2" s="1"/>
  <c r="K26" i="2"/>
  <c r="M26" i="2" s="1"/>
  <c r="H26" i="2"/>
  <c r="K25" i="2"/>
  <c r="M25" i="2" s="1"/>
  <c r="K24" i="2"/>
  <c r="H24" i="2"/>
  <c r="K23" i="2"/>
  <c r="M23" i="2" s="1"/>
  <c r="H23" i="2"/>
  <c r="K22" i="2"/>
  <c r="M22" i="2" s="1"/>
  <c r="H22" i="2"/>
  <c r="K21" i="2"/>
  <c r="M21" i="2" s="1"/>
  <c r="H21" i="2"/>
  <c r="K20" i="2"/>
  <c r="K19" i="2"/>
  <c r="M19" i="2" s="1"/>
  <c r="N19" i="2" s="1"/>
  <c r="K18" i="2"/>
  <c r="M18" i="2" s="1"/>
  <c r="K17" i="2"/>
  <c r="M17" i="2" s="1"/>
  <c r="H16" i="2"/>
  <c r="J16" i="2" s="1"/>
  <c r="K16" i="2" s="1"/>
  <c r="K15" i="2"/>
  <c r="K14" i="2"/>
  <c r="K13" i="2"/>
  <c r="M13" i="2" s="1"/>
  <c r="K12" i="2"/>
  <c r="M12" i="2" s="1"/>
  <c r="K11" i="2"/>
  <c r="K10" i="2"/>
  <c r="H10" i="2"/>
  <c r="J9" i="2"/>
  <c r="K9" i="2" s="1"/>
  <c r="K8" i="2"/>
  <c r="M8" i="2" s="1"/>
  <c r="J7" i="2"/>
  <c r="K6" i="2"/>
  <c r="K5" i="2"/>
  <c r="M5" i="2" s="1"/>
  <c r="K4" i="2"/>
  <c r="M4" i="2" s="1"/>
  <c r="H4" i="2"/>
  <c r="K3" i="2"/>
  <c r="M3" i="2" s="1"/>
  <c r="H3" i="2"/>
  <c r="N793" i="1"/>
  <c r="L782" i="1"/>
  <c r="I782" i="1"/>
  <c r="K773" i="1"/>
  <c r="N773" i="1" s="1"/>
  <c r="H773" i="1"/>
  <c r="K772" i="1"/>
  <c r="M772" i="1" s="1"/>
  <c r="N772" i="1" s="1"/>
  <c r="J772" i="1"/>
  <c r="K771" i="1"/>
  <c r="M771" i="1" s="1"/>
  <c r="N771" i="1" s="1"/>
  <c r="H771" i="1"/>
  <c r="K770" i="1"/>
  <c r="M770" i="1" s="1"/>
  <c r="N770" i="1" s="1"/>
  <c r="H770" i="1"/>
  <c r="J769" i="1"/>
  <c r="K769" i="1" s="1"/>
  <c r="M769" i="1" s="1"/>
  <c r="N769" i="1" s="1"/>
  <c r="J768" i="1"/>
  <c r="K768" i="1" s="1"/>
  <c r="M768" i="1" s="1"/>
  <c r="N768" i="1" s="1"/>
  <c r="K767" i="1"/>
  <c r="M767" i="1" s="1"/>
  <c r="N767" i="1" s="1"/>
  <c r="H767" i="1"/>
  <c r="K766" i="1"/>
  <c r="M766" i="1" s="1"/>
  <c r="N766" i="1" s="1"/>
  <c r="J765" i="1"/>
  <c r="K765" i="1" s="1"/>
  <c r="H764" i="1"/>
  <c r="J764" i="1" s="1"/>
  <c r="K764" i="1" s="1"/>
  <c r="K763" i="1"/>
  <c r="M763" i="1" s="1"/>
  <c r="N763" i="1" s="1"/>
  <c r="H763" i="1"/>
  <c r="K761" i="1"/>
  <c r="N761" i="1" s="1"/>
  <c r="N790" i="1" s="1"/>
  <c r="K760" i="1"/>
  <c r="N760" i="1" s="1"/>
  <c r="K759" i="1"/>
  <c r="N759" i="1" s="1"/>
  <c r="J758" i="1"/>
  <c r="K758" i="1" s="1"/>
  <c r="N758" i="1" s="1"/>
  <c r="K757" i="1"/>
  <c r="N757" i="1" s="1"/>
  <c r="M756" i="1"/>
  <c r="N756" i="1" s="1"/>
  <c r="M755" i="1"/>
  <c r="N755" i="1" s="1"/>
  <c r="K754" i="1"/>
  <c r="N754" i="1" s="1"/>
  <c r="M753" i="1"/>
  <c r="N753" i="1" s="1"/>
  <c r="M752" i="1"/>
  <c r="N752" i="1" s="1"/>
  <c r="K751" i="1"/>
  <c r="N751" i="1" s="1"/>
  <c r="K750" i="1"/>
  <c r="N750" i="1" s="1"/>
  <c r="K749" i="1"/>
  <c r="M749" i="1" s="1"/>
  <c r="N749" i="1" s="1"/>
  <c r="K748" i="1"/>
  <c r="N748" i="1" s="1"/>
  <c r="K747" i="1"/>
  <c r="J747" i="1"/>
  <c r="J746" i="1"/>
  <c r="K746" i="1" s="1"/>
  <c r="K745" i="1"/>
  <c r="N745" i="1" s="1"/>
  <c r="J744" i="1"/>
  <c r="K744" i="1" s="1"/>
  <c r="N744" i="1" s="1"/>
  <c r="K743" i="1"/>
  <c r="N743" i="1" s="1"/>
  <c r="K742" i="1"/>
  <c r="N742" i="1" s="1"/>
  <c r="J741" i="1"/>
  <c r="K741" i="1" s="1"/>
  <c r="N741" i="1" s="1"/>
  <c r="J740" i="1"/>
  <c r="K740" i="1" s="1"/>
  <c r="K739" i="1"/>
  <c r="N739" i="1" s="1"/>
  <c r="N734" i="1"/>
  <c r="K734" i="1"/>
  <c r="J733" i="1"/>
  <c r="K733" i="1" s="1"/>
  <c r="J732" i="1"/>
  <c r="K732" i="1" s="1"/>
  <c r="K730" i="1"/>
  <c r="N730" i="1" s="1"/>
  <c r="N729" i="1"/>
  <c r="K729" i="1"/>
  <c r="K727" i="1"/>
  <c r="N727" i="1" s="1"/>
  <c r="K726" i="1"/>
  <c r="M726" i="1" s="1"/>
  <c r="N726" i="1" s="1"/>
  <c r="M725" i="1"/>
  <c r="K725" i="1"/>
  <c r="J724" i="1"/>
  <c r="K724" i="1" s="1"/>
  <c r="J723" i="1"/>
  <c r="K723" i="1" s="1"/>
  <c r="J722" i="1"/>
  <c r="K722" i="1" s="1"/>
  <c r="N722" i="1" s="1"/>
  <c r="J721" i="1"/>
  <c r="K721" i="1" s="1"/>
  <c r="J720" i="1"/>
  <c r="K720" i="1" s="1"/>
  <c r="K719" i="1"/>
  <c r="M719" i="1" s="1"/>
  <c r="N719" i="1" s="1"/>
  <c r="K718" i="1"/>
  <c r="M718" i="1" s="1"/>
  <c r="N718" i="1" s="1"/>
  <c r="M717" i="1"/>
  <c r="K717" i="1"/>
  <c r="H717" i="1"/>
  <c r="K716" i="1"/>
  <c r="N716" i="1" s="1"/>
  <c r="K715" i="1"/>
  <c r="N715" i="1" s="1"/>
  <c r="K714" i="1"/>
  <c r="M714" i="1" s="1"/>
  <c r="K713" i="1"/>
  <c r="J713" i="1"/>
  <c r="J712" i="1"/>
  <c r="K712" i="1" s="1"/>
  <c r="J711" i="1"/>
  <c r="K711" i="1" s="1"/>
  <c r="N711" i="1" s="1"/>
  <c r="K710" i="1"/>
  <c r="N710" i="1" s="1"/>
  <c r="J710" i="1"/>
  <c r="J709" i="1"/>
  <c r="K709" i="1" s="1"/>
  <c r="N709" i="1" s="1"/>
  <c r="H708" i="1"/>
  <c r="J708" i="1" s="1"/>
  <c r="K708" i="1" s="1"/>
  <c r="H707" i="1"/>
  <c r="J707" i="1" s="1"/>
  <c r="K707" i="1" s="1"/>
  <c r="H706" i="1"/>
  <c r="J706" i="1" s="1"/>
  <c r="K706" i="1" s="1"/>
  <c r="H705" i="1"/>
  <c r="J705" i="1" s="1"/>
  <c r="K705" i="1" s="1"/>
  <c r="K704" i="1"/>
  <c r="N704" i="1" s="1"/>
  <c r="J703" i="1"/>
  <c r="K703" i="1" s="1"/>
  <c r="M702" i="1"/>
  <c r="N702" i="1" s="1"/>
  <c r="K702" i="1"/>
  <c r="K701" i="1"/>
  <c r="M701" i="1" s="1"/>
  <c r="N701" i="1" s="1"/>
  <c r="H701" i="1"/>
  <c r="N700" i="1"/>
  <c r="K700" i="1"/>
  <c r="K699" i="1"/>
  <c r="N699" i="1" s="1"/>
  <c r="H698" i="1"/>
  <c r="J698" i="1" s="1"/>
  <c r="K698" i="1" s="1"/>
  <c r="J697" i="1"/>
  <c r="K697" i="1" s="1"/>
  <c r="H697" i="1"/>
  <c r="H696" i="1"/>
  <c r="J696" i="1" s="1"/>
  <c r="K696" i="1" s="1"/>
  <c r="N696" i="1" s="1"/>
  <c r="J695" i="1"/>
  <c r="K695" i="1" s="1"/>
  <c r="J694" i="1"/>
  <c r="K694" i="1" s="1"/>
  <c r="K693" i="1"/>
  <c r="J693" i="1"/>
  <c r="K691" i="1"/>
  <c r="N691" i="1" s="1"/>
  <c r="K690" i="1"/>
  <c r="N690" i="1" s="1"/>
  <c r="K687" i="1"/>
  <c r="N687" i="1" s="1"/>
  <c r="N686" i="1"/>
  <c r="K686" i="1"/>
  <c r="H685" i="1"/>
  <c r="J685" i="1" s="1"/>
  <c r="K685" i="1" s="1"/>
  <c r="H684" i="1"/>
  <c r="J684" i="1" s="1"/>
  <c r="K684" i="1" s="1"/>
  <c r="H683" i="1"/>
  <c r="J683" i="1" s="1"/>
  <c r="K683" i="1" s="1"/>
  <c r="K682" i="1"/>
  <c r="M682" i="1" s="1"/>
  <c r="N682" i="1" s="1"/>
  <c r="K681" i="1"/>
  <c r="M681" i="1" s="1"/>
  <c r="N681" i="1" s="1"/>
  <c r="H680" i="1"/>
  <c r="J680" i="1" s="1"/>
  <c r="K680" i="1" s="1"/>
  <c r="H679" i="1"/>
  <c r="J679" i="1" s="1"/>
  <c r="K675" i="1"/>
  <c r="N675" i="1" s="1"/>
  <c r="K674" i="1"/>
  <c r="N674" i="1" s="1"/>
  <c r="K671" i="1"/>
  <c r="N671" i="1" s="1"/>
  <c r="K670" i="1"/>
  <c r="N670" i="1" s="1"/>
  <c r="K669" i="1"/>
  <c r="N669" i="1" s="1"/>
  <c r="K668" i="1"/>
  <c r="N668" i="1" s="1"/>
  <c r="K667" i="1"/>
  <c r="N667" i="1" s="1"/>
  <c r="K666" i="1"/>
  <c r="N666" i="1" s="1"/>
  <c r="K665" i="1"/>
  <c r="N665" i="1" s="1"/>
  <c r="K664" i="1"/>
  <c r="N664" i="1" s="1"/>
  <c r="K663" i="1"/>
  <c r="N663" i="1" s="1"/>
  <c r="K662" i="1"/>
  <c r="N662" i="1" s="1"/>
  <c r="K661" i="1"/>
  <c r="N661" i="1" s="1"/>
  <c r="K660" i="1"/>
  <c r="N660" i="1" s="1"/>
  <c r="K656" i="1"/>
  <c r="N656" i="1" s="1"/>
  <c r="K653" i="1"/>
  <c r="N653" i="1" s="1"/>
  <c r="K651" i="1"/>
  <c r="N651" i="1" s="1"/>
  <c r="K650" i="1"/>
  <c r="N650" i="1" s="1"/>
  <c r="K649" i="1"/>
  <c r="N649" i="1" s="1"/>
  <c r="K647" i="1"/>
  <c r="N647" i="1" s="1"/>
  <c r="K646" i="1"/>
  <c r="L634" i="1"/>
  <c r="I634" i="1"/>
  <c r="J633" i="1"/>
  <c r="K633" i="1" s="1"/>
  <c r="M633" i="1" s="1"/>
  <c r="J632" i="1"/>
  <c r="K632" i="1" s="1"/>
  <c r="M632" i="1" s="1"/>
  <c r="J631" i="1"/>
  <c r="K631" i="1" s="1"/>
  <c r="M631" i="1" s="1"/>
  <c r="J630" i="1"/>
  <c r="K630" i="1" s="1"/>
  <c r="M630" i="1" s="1"/>
  <c r="J629" i="1"/>
  <c r="K629" i="1" s="1"/>
  <c r="M629" i="1" s="1"/>
  <c r="J628" i="1"/>
  <c r="K628" i="1" s="1"/>
  <c r="K627" i="1"/>
  <c r="M627" i="1" s="1"/>
  <c r="J627" i="1"/>
  <c r="K626" i="1"/>
  <c r="M626" i="1" s="1"/>
  <c r="J626" i="1"/>
  <c r="J625" i="1"/>
  <c r="K625" i="1" s="1"/>
  <c r="M625" i="1" s="1"/>
  <c r="K624" i="1"/>
  <c r="M624" i="1" s="1"/>
  <c r="J624" i="1"/>
  <c r="J623" i="1"/>
  <c r="K623" i="1" s="1"/>
  <c r="M623" i="1" s="1"/>
  <c r="J622" i="1"/>
  <c r="K622" i="1" s="1"/>
  <c r="M622" i="1" s="1"/>
  <c r="K621" i="1"/>
  <c r="M621" i="1" s="1"/>
  <c r="J621" i="1"/>
  <c r="J620" i="1"/>
  <c r="K620" i="1" s="1"/>
  <c r="J619" i="1"/>
  <c r="K619" i="1" s="1"/>
  <c r="M619" i="1" s="1"/>
  <c r="K618" i="1"/>
  <c r="N618" i="1" s="1"/>
  <c r="N617" i="1"/>
  <c r="K617" i="1"/>
  <c r="K616" i="1"/>
  <c r="N616" i="1" s="1"/>
  <c r="K615" i="1"/>
  <c r="N615" i="1" s="1"/>
  <c r="K614" i="1"/>
  <c r="N614" i="1" s="1"/>
  <c r="N613" i="1"/>
  <c r="K613" i="1"/>
  <c r="K612" i="1"/>
  <c r="N612" i="1" s="1"/>
  <c r="K611" i="1"/>
  <c r="N611" i="1" s="1"/>
  <c r="K610" i="1"/>
  <c r="N610" i="1" s="1"/>
  <c r="N609" i="1"/>
  <c r="K609" i="1"/>
  <c r="K608" i="1"/>
  <c r="N608" i="1" s="1"/>
  <c r="K607" i="1"/>
  <c r="N607" i="1" s="1"/>
  <c r="K606" i="1"/>
  <c r="N606" i="1" s="1"/>
  <c r="N605" i="1"/>
  <c r="K605" i="1"/>
  <c r="K604" i="1"/>
  <c r="N604" i="1" s="1"/>
  <c r="K603" i="1"/>
  <c r="N603" i="1" s="1"/>
  <c r="H602" i="1"/>
  <c r="J602" i="1" s="1"/>
  <c r="K602" i="1" s="1"/>
  <c r="J601" i="1"/>
  <c r="K601" i="1" s="1"/>
  <c r="K600" i="1"/>
  <c r="M600" i="1" s="1"/>
  <c r="H600" i="1"/>
  <c r="K599" i="1"/>
  <c r="H599" i="1"/>
  <c r="J598" i="1"/>
  <c r="K598" i="1" s="1"/>
  <c r="J597" i="1"/>
  <c r="K597" i="1" s="1"/>
  <c r="M596" i="1"/>
  <c r="N596" i="1" s="1"/>
  <c r="K596" i="1"/>
  <c r="H596" i="1"/>
  <c r="K595" i="1"/>
  <c r="K594" i="1"/>
  <c r="J594" i="1"/>
  <c r="H593" i="1"/>
  <c r="J593" i="1" s="1"/>
  <c r="K593" i="1" s="1"/>
  <c r="K592" i="1"/>
  <c r="M592" i="1" s="1"/>
  <c r="H592" i="1"/>
  <c r="J591" i="1"/>
  <c r="K591" i="1" s="1"/>
  <c r="J590" i="1"/>
  <c r="K590" i="1" s="1"/>
  <c r="J589" i="1"/>
  <c r="K589" i="1" s="1"/>
  <c r="K588" i="1"/>
  <c r="M588" i="1" s="1"/>
  <c r="H588" i="1"/>
  <c r="H587" i="1"/>
  <c r="J587" i="1" s="1"/>
  <c r="K587" i="1" s="1"/>
  <c r="K586" i="1"/>
  <c r="M586" i="1" s="1"/>
  <c r="J586" i="1"/>
  <c r="J585" i="1"/>
  <c r="K585" i="1" s="1"/>
  <c r="J584" i="1"/>
  <c r="K584" i="1" s="1"/>
  <c r="M584" i="1" s="1"/>
  <c r="J583" i="1"/>
  <c r="K583" i="1" s="1"/>
  <c r="H582" i="1"/>
  <c r="J582" i="1" s="1"/>
  <c r="K582" i="1" s="1"/>
  <c r="J581" i="1"/>
  <c r="K581" i="1" s="1"/>
  <c r="J580" i="1"/>
  <c r="K580" i="1" s="1"/>
  <c r="H579" i="1"/>
  <c r="J579" i="1" s="1"/>
  <c r="K579" i="1" s="1"/>
  <c r="K578" i="1"/>
  <c r="J578" i="1"/>
  <c r="J577" i="1"/>
  <c r="K577" i="1" s="1"/>
  <c r="M577" i="1" s="1"/>
  <c r="J576" i="1"/>
  <c r="K576" i="1" s="1"/>
  <c r="J575" i="1"/>
  <c r="K575" i="1" s="1"/>
  <c r="M575" i="1" s="1"/>
  <c r="K574" i="1"/>
  <c r="J574" i="1"/>
  <c r="K573" i="1"/>
  <c r="M573" i="1" s="1"/>
  <c r="J573" i="1"/>
  <c r="J572" i="1"/>
  <c r="K572" i="1" s="1"/>
  <c r="J571" i="1"/>
  <c r="K571" i="1" s="1"/>
  <c r="M571" i="1" s="1"/>
  <c r="J570" i="1"/>
  <c r="K570" i="1" s="1"/>
  <c r="J569" i="1"/>
  <c r="K569" i="1" s="1"/>
  <c r="J568" i="1"/>
  <c r="K568" i="1" s="1"/>
  <c r="K567" i="1"/>
  <c r="M567" i="1" s="1"/>
  <c r="J567" i="1"/>
  <c r="J566" i="1"/>
  <c r="K566" i="1" s="1"/>
  <c r="H565" i="1"/>
  <c r="J565" i="1" s="1"/>
  <c r="K565" i="1" s="1"/>
  <c r="M565" i="1" s="1"/>
  <c r="J564" i="1"/>
  <c r="K564" i="1" s="1"/>
  <c r="J563" i="1"/>
  <c r="K563" i="1" s="1"/>
  <c r="M563" i="1" s="1"/>
  <c r="H562" i="1"/>
  <c r="J562" i="1" s="1"/>
  <c r="K562" i="1" s="1"/>
  <c r="M562" i="1" s="1"/>
  <c r="H561" i="1"/>
  <c r="J561" i="1" s="1"/>
  <c r="K561" i="1" s="1"/>
  <c r="K560" i="1"/>
  <c r="M560" i="1" s="1"/>
  <c r="K559" i="1"/>
  <c r="M559" i="1" s="1"/>
  <c r="J558" i="1"/>
  <c r="K558" i="1" s="1"/>
  <c r="J557" i="1"/>
  <c r="K557" i="1" s="1"/>
  <c r="M557" i="1" s="1"/>
  <c r="J556" i="1"/>
  <c r="K556" i="1" s="1"/>
  <c r="M556" i="1" s="1"/>
  <c r="J555" i="1"/>
  <c r="K555" i="1" s="1"/>
  <c r="M555" i="1" s="1"/>
  <c r="J554" i="1"/>
  <c r="K554" i="1" s="1"/>
  <c r="J553" i="1"/>
  <c r="K553" i="1" s="1"/>
  <c r="M553" i="1" s="1"/>
  <c r="H553" i="1"/>
  <c r="J552" i="1"/>
  <c r="K552" i="1" s="1"/>
  <c r="M552" i="1" s="1"/>
  <c r="J551" i="1"/>
  <c r="K551" i="1" s="1"/>
  <c r="M551" i="1" s="1"/>
  <c r="J550" i="1"/>
  <c r="K550" i="1" s="1"/>
  <c r="M550" i="1" s="1"/>
  <c r="K549" i="1"/>
  <c r="M549" i="1" s="1"/>
  <c r="J549" i="1"/>
  <c r="H548" i="1"/>
  <c r="J548" i="1" s="1"/>
  <c r="K548" i="1" s="1"/>
  <c r="J547" i="1"/>
  <c r="K547" i="1" s="1"/>
  <c r="M547" i="1" s="1"/>
  <c r="H546" i="1"/>
  <c r="J546" i="1" s="1"/>
  <c r="K546" i="1" s="1"/>
  <c r="M546" i="1" s="1"/>
  <c r="H545" i="1"/>
  <c r="J545" i="1" s="1"/>
  <c r="K545" i="1" s="1"/>
  <c r="H544" i="1"/>
  <c r="J544" i="1" s="1"/>
  <c r="K544" i="1" s="1"/>
  <c r="M544" i="1" s="1"/>
  <c r="H543" i="1"/>
  <c r="J543" i="1" s="1"/>
  <c r="K543" i="1" s="1"/>
  <c r="H542" i="1"/>
  <c r="J542" i="1" s="1"/>
  <c r="K542" i="1" s="1"/>
  <c r="M542" i="1" s="1"/>
  <c r="J541" i="1"/>
  <c r="K541" i="1" s="1"/>
  <c r="K540" i="1"/>
  <c r="M540" i="1" s="1"/>
  <c r="J540" i="1"/>
  <c r="J539" i="1"/>
  <c r="K539" i="1" s="1"/>
  <c r="K538" i="1"/>
  <c r="M538" i="1" s="1"/>
  <c r="N538" i="1" s="1"/>
  <c r="K537" i="1"/>
  <c r="M537" i="1" s="1"/>
  <c r="H537" i="1"/>
  <c r="J536" i="1"/>
  <c r="K536" i="1" s="1"/>
  <c r="K535" i="1"/>
  <c r="M535" i="1" s="1"/>
  <c r="J534" i="1"/>
  <c r="K534" i="1" s="1"/>
  <c r="M534" i="1" s="1"/>
  <c r="M533" i="1"/>
  <c r="K533" i="1"/>
  <c r="J532" i="1"/>
  <c r="K532" i="1" s="1"/>
  <c r="H531" i="1"/>
  <c r="J531" i="1" s="1"/>
  <c r="K531" i="1" s="1"/>
  <c r="M531" i="1" s="1"/>
  <c r="J530" i="1"/>
  <c r="K530" i="1" s="1"/>
  <c r="H530" i="1"/>
  <c r="J529" i="1"/>
  <c r="K529" i="1" s="1"/>
  <c r="J528" i="1"/>
  <c r="K528" i="1" s="1"/>
  <c r="M528" i="1" s="1"/>
  <c r="H527" i="1"/>
  <c r="J527" i="1" s="1"/>
  <c r="K527" i="1" s="1"/>
  <c r="H526" i="1"/>
  <c r="J526" i="1" s="1"/>
  <c r="K526" i="1" s="1"/>
  <c r="K525" i="1"/>
  <c r="J524" i="1"/>
  <c r="K524" i="1" s="1"/>
  <c r="M524" i="1" s="1"/>
  <c r="J523" i="1"/>
  <c r="K523" i="1" s="1"/>
  <c r="J522" i="1"/>
  <c r="K522" i="1" s="1"/>
  <c r="J521" i="1"/>
  <c r="K521" i="1" s="1"/>
  <c r="H521" i="1"/>
  <c r="J520" i="1"/>
  <c r="K520" i="1" s="1"/>
  <c r="M520" i="1" s="1"/>
  <c r="H519" i="1"/>
  <c r="J519" i="1" s="1"/>
  <c r="K519" i="1" s="1"/>
  <c r="M519" i="1" s="1"/>
  <c r="J518" i="1"/>
  <c r="K518" i="1" s="1"/>
  <c r="J517" i="1"/>
  <c r="K517" i="1" s="1"/>
  <c r="J516" i="1"/>
  <c r="K516" i="1" s="1"/>
  <c r="M516" i="1" s="1"/>
  <c r="J515" i="1"/>
  <c r="K515" i="1" s="1"/>
  <c r="M515" i="1" s="1"/>
  <c r="J514" i="1"/>
  <c r="K514" i="1" s="1"/>
  <c r="H513" i="1"/>
  <c r="J513" i="1" s="1"/>
  <c r="K513" i="1" s="1"/>
  <c r="H512" i="1"/>
  <c r="J512" i="1" s="1"/>
  <c r="K512" i="1" s="1"/>
  <c r="M512" i="1" s="1"/>
  <c r="J511" i="1"/>
  <c r="K511" i="1" s="1"/>
  <c r="H511" i="1"/>
  <c r="K510" i="1"/>
  <c r="M510" i="1" s="1"/>
  <c r="H510" i="1"/>
  <c r="M509" i="1"/>
  <c r="K509" i="1"/>
  <c r="H509" i="1"/>
  <c r="H508" i="1"/>
  <c r="J508" i="1" s="1"/>
  <c r="K508" i="1" s="1"/>
  <c r="M508" i="1" s="1"/>
  <c r="K507" i="1"/>
  <c r="H507" i="1"/>
  <c r="J506" i="1"/>
  <c r="K506" i="1" s="1"/>
  <c r="M506" i="1" s="1"/>
  <c r="J505" i="1"/>
  <c r="K505" i="1" s="1"/>
  <c r="M505" i="1" s="1"/>
  <c r="K504" i="1"/>
  <c r="M504" i="1" s="1"/>
  <c r="H504" i="1"/>
  <c r="K503" i="1"/>
  <c r="J502" i="1"/>
  <c r="K502" i="1" s="1"/>
  <c r="J501" i="1"/>
  <c r="K501" i="1" s="1"/>
  <c r="J500" i="1"/>
  <c r="K500" i="1" s="1"/>
  <c r="M500" i="1" s="1"/>
  <c r="J499" i="1"/>
  <c r="K499" i="1" s="1"/>
  <c r="M498" i="1"/>
  <c r="J498" i="1"/>
  <c r="K498" i="1" s="1"/>
  <c r="H497" i="1"/>
  <c r="J497" i="1" s="1"/>
  <c r="K497" i="1" s="1"/>
  <c r="M497" i="1" s="1"/>
  <c r="K496" i="1"/>
  <c r="M496" i="1" s="1"/>
  <c r="J495" i="1"/>
  <c r="K495" i="1" s="1"/>
  <c r="J494" i="1"/>
  <c r="K494" i="1" s="1"/>
  <c r="M494" i="1" s="1"/>
  <c r="J493" i="1"/>
  <c r="K493" i="1" s="1"/>
  <c r="M493" i="1" s="1"/>
  <c r="K492" i="1"/>
  <c r="M492" i="1" s="1"/>
  <c r="N492" i="1" s="1"/>
  <c r="K491" i="1"/>
  <c r="M491" i="1" s="1"/>
  <c r="H490" i="1"/>
  <c r="J490" i="1" s="1"/>
  <c r="K490" i="1" s="1"/>
  <c r="M490" i="1" s="1"/>
  <c r="N489" i="1"/>
  <c r="K489" i="1"/>
  <c r="M489" i="1" s="1"/>
  <c r="H489" i="1"/>
  <c r="M488" i="1"/>
  <c r="K488" i="1"/>
  <c r="N488" i="1" s="1"/>
  <c r="H488" i="1"/>
  <c r="K487" i="1"/>
  <c r="M487" i="1" s="1"/>
  <c r="K486" i="1"/>
  <c r="M486" i="1" s="1"/>
  <c r="J485" i="1"/>
  <c r="K485" i="1" s="1"/>
  <c r="J484" i="1"/>
  <c r="K484" i="1" s="1"/>
  <c r="M484" i="1" s="1"/>
  <c r="J483" i="1"/>
  <c r="K483" i="1" s="1"/>
  <c r="M483" i="1" s="1"/>
  <c r="J482" i="1"/>
  <c r="K482" i="1" s="1"/>
  <c r="M482" i="1" s="1"/>
  <c r="J481" i="1"/>
  <c r="K481" i="1" s="1"/>
  <c r="K480" i="1"/>
  <c r="M480" i="1" s="1"/>
  <c r="H480" i="1"/>
  <c r="H479" i="1"/>
  <c r="J479" i="1" s="1"/>
  <c r="K479" i="1" s="1"/>
  <c r="H478" i="1"/>
  <c r="J478" i="1" s="1"/>
  <c r="K478" i="1" s="1"/>
  <c r="K477" i="1"/>
  <c r="M477" i="1" s="1"/>
  <c r="J477" i="1"/>
  <c r="J476" i="1"/>
  <c r="K476" i="1" s="1"/>
  <c r="M476" i="1" s="1"/>
  <c r="J475" i="1"/>
  <c r="K475" i="1" s="1"/>
  <c r="M475" i="1" s="1"/>
  <c r="K474" i="1"/>
  <c r="M474" i="1" s="1"/>
  <c r="J473" i="1"/>
  <c r="K473" i="1" s="1"/>
  <c r="J472" i="1"/>
  <c r="K472" i="1" s="1"/>
  <c r="M472" i="1" s="1"/>
  <c r="J471" i="1"/>
  <c r="K471" i="1" s="1"/>
  <c r="J470" i="1"/>
  <c r="K470" i="1" s="1"/>
  <c r="J469" i="1"/>
  <c r="K469" i="1" s="1"/>
  <c r="K468" i="1"/>
  <c r="M468" i="1" s="1"/>
  <c r="H467" i="1"/>
  <c r="J467" i="1" s="1"/>
  <c r="K467" i="1" s="1"/>
  <c r="K466" i="1"/>
  <c r="M466" i="1" s="1"/>
  <c r="N466" i="1" s="1"/>
  <c r="K465" i="1"/>
  <c r="M465" i="1" s="1"/>
  <c r="K464" i="1"/>
  <c r="J463" i="1"/>
  <c r="K463" i="1" s="1"/>
  <c r="M463" i="1" s="1"/>
  <c r="K462" i="1"/>
  <c r="M462" i="1" s="1"/>
  <c r="K461" i="1"/>
  <c r="J460" i="1"/>
  <c r="K460" i="1" s="1"/>
  <c r="J459" i="1"/>
  <c r="K459" i="1" s="1"/>
  <c r="J458" i="1"/>
  <c r="K458" i="1" s="1"/>
  <c r="M458" i="1" s="1"/>
  <c r="J457" i="1"/>
  <c r="K457" i="1" s="1"/>
  <c r="K456" i="1"/>
  <c r="J456" i="1"/>
  <c r="H455" i="1"/>
  <c r="J455" i="1" s="1"/>
  <c r="K455" i="1" s="1"/>
  <c r="J454" i="1"/>
  <c r="K454" i="1" s="1"/>
  <c r="M454" i="1" s="1"/>
  <c r="K453" i="1"/>
  <c r="H452" i="1"/>
  <c r="J452" i="1" s="1"/>
  <c r="K452" i="1" s="1"/>
  <c r="J451" i="1"/>
  <c r="K451" i="1" s="1"/>
  <c r="J450" i="1"/>
  <c r="K450" i="1" s="1"/>
  <c r="M450" i="1" s="1"/>
  <c r="H449" i="1"/>
  <c r="J449" i="1" s="1"/>
  <c r="K449" i="1" s="1"/>
  <c r="J448" i="1"/>
  <c r="K448" i="1" s="1"/>
  <c r="K447" i="1"/>
  <c r="H447" i="1"/>
  <c r="J447" i="1" s="1"/>
  <c r="H446" i="1"/>
  <c r="J446" i="1" s="1"/>
  <c r="K446" i="1" s="1"/>
  <c r="H445" i="1"/>
  <c r="J445" i="1" s="1"/>
  <c r="K445" i="1" s="1"/>
  <c r="H444" i="1"/>
  <c r="J444" i="1" s="1"/>
  <c r="K444" i="1" s="1"/>
  <c r="K443" i="1"/>
  <c r="M443" i="1" s="1"/>
  <c r="J443" i="1"/>
  <c r="J442" i="1"/>
  <c r="K442" i="1" s="1"/>
  <c r="J441" i="1"/>
  <c r="K441" i="1" s="1"/>
  <c r="J440" i="1"/>
  <c r="K440" i="1" s="1"/>
  <c r="J439" i="1"/>
  <c r="K439" i="1" s="1"/>
  <c r="M439" i="1" s="1"/>
  <c r="J438" i="1"/>
  <c r="K438" i="1" s="1"/>
  <c r="K437" i="1"/>
  <c r="J436" i="1"/>
  <c r="K436" i="1" s="1"/>
  <c r="K435" i="1"/>
  <c r="K434" i="1"/>
  <c r="J433" i="1"/>
  <c r="K433" i="1" s="1"/>
  <c r="K432" i="1"/>
  <c r="K431" i="1"/>
  <c r="K430" i="1"/>
  <c r="M430" i="1" s="1"/>
  <c r="N430" i="1" s="1"/>
  <c r="K429" i="1"/>
  <c r="K428" i="1"/>
  <c r="H428" i="1"/>
  <c r="M427" i="1"/>
  <c r="J427" i="1"/>
  <c r="K427" i="1" s="1"/>
  <c r="J426" i="1"/>
  <c r="K426" i="1" s="1"/>
  <c r="M426" i="1" s="1"/>
  <c r="J425" i="1"/>
  <c r="K425" i="1" s="1"/>
  <c r="M425" i="1" s="1"/>
  <c r="H424" i="1"/>
  <c r="J424" i="1" s="1"/>
  <c r="K424" i="1" s="1"/>
  <c r="J423" i="1"/>
  <c r="K423" i="1" s="1"/>
  <c r="J422" i="1"/>
  <c r="K422" i="1" s="1"/>
  <c r="M422" i="1" s="1"/>
  <c r="J421" i="1"/>
  <c r="K421" i="1" s="1"/>
  <c r="H420" i="1"/>
  <c r="J420" i="1" s="1"/>
  <c r="K420" i="1" s="1"/>
  <c r="J419" i="1"/>
  <c r="K419" i="1" s="1"/>
  <c r="M419" i="1" s="1"/>
  <c r="H419" i="1"/>
  <c r="J418" i="1"/>
  <c r="K418" i="1" s="1"/>
  <c r="J417" i="1"/>
  <c r="K417" i="1" s="1"/>
  <c r="K416" i="1"/>
  <c r="M416" i="1" s="1"/>
  <c r="J415" i="1"/>
  <c r="K415" i="1" s="1"/>
  <c r="M415" i="1" s="1"/>
  <c r="J414" i="1"/>
  <c r="K414" i="1" s="1"/>
  <c r="M413" i="1"/>
  <c r="K413" i="1"/>
  <c r="H413" i="1"/>
  <c r="K412" i="1"/>
  <c r="M412" i="1" s="1"/>
  <c r="N412" i="1" s="1"/>
  <c r="J411" i="1"/>
  <c r="K411" i="1" s="1"/>
  <c r="K410" i="1"/>
  <c r="K409" i="1"/>
  <c r="M409" i="1" s="1"/>
  <c r="N409" i="1" s="1"/>
  <c r="H409" i="1"/>
  <c r="K408" i="1"/>
  <c r="M408" i="1" s="1"/>
  <c r="J408" i="1"/>
  <c r="K407" i="1"/>
  <c r="M407" i="1" s="1"/>
  <c r="J406" i="1"/>
  <c r="K406" i="1" s="1"/>
  <c r="M406" i="1" s="1"/>
  <c r="J405" i="1"/>
  <c r="K405" i="1" s="1"/>
  <c r="K404" i="1"/>
  <c r="M404" i="1" s="1"/>
  <c r="N404" i="1" s="1"/>
  <c r="K403" i="1"/>
  <c r="M403" i="1" s="1"/>
  <c r="H402" i="1"/>
  <c r="J402" i="1" s="1"/>
  <c r="K402" i="1" s="1"/>
  <c r="M402" i="1" s="1"/>
  <c r="K401" i="1"/>
  <c r="M401" i="1" s="1"/>
  <c r="J400" i="1"/>
  <c r="K400" i="1" s="1"/>
  <c r="H400" i="1"/>
  <c r="J399" i="1"/>
  <c r="K399" i="1" s="1"/>
  <c r="H398" i="1"/>
  <c r="J398" i="1" s="1"/>
  <c r="K398" i="1" s="1"/>
  <c r="H397" i="1"/>
  <c r="J397" i="1" s="1"/>
  <c r="K397" i="1" s="1"/>
  <c r="K396" i="1"/>
  <c r="M396" i="1" s="1"/>
  <c r="H396" i="1"/>
  <c r="H395" i="1"/>
  <c r="J395" i="1" s="1"/>
  <c r="K395" i="1" s="1"/>
  <c r="J394" i="1"/>
  <c r="K394" i="1" s="1"/>
  <c r="H393" i="1"/>
  <c r="J393" i="1" s="1"/>
  <c r="K393" i="1" s="1"/>
  <c r="M393" i="1" s="1"/>
  <c r="K392" i="1"/>
  <c r="M392" i="1" s="1"/>
  <c r="H392" i="1"/>
  <c r="J392" i="1" s="1"/>
  <c r="J391" i="1"/>
  <c r="K391" i="1" s="1"/>
  <c r="J390" i="1"/>
  <c r="K390" i="1" s="1"/>
  <c r="M390" i="1" s="1"/>
  <c r="J389" i="1"/>
  <c r="K389" i="1" s="1"/>
  <c r="J388" i="1"/>
  <c r="K388" i="1" s="1"/>
  <c r="M388" i="1" s="1"/>
  <c r="J387" i="1"/>
  <c r="K387" i="1" s="1"/>
  <c r="J386" i="1"/>
  <c r="K386" i="1" s="1"/>
  <c r="M386" i="1" s="1"/>
  <c r="K385" i="1"/>
  <c r="M385" i="1" s="1"/>
  <c r="H385" i="1"/>
  <c r="K384" i="1"/>
  <c r="H384" i="1"/>
  <c r="H383" i="1"/>
  <c r="J383" i="1" s="1"/>
  <c r="K383" i="1" s="1"/>
  <c r="H382" i="1"/>
  <c r="J382" i="1" s="1"/>
  <c r="K382" i="1" s="1"/>
  <c r="J381" i="1"/>
  <c r="K381" i="1" s="1"/>
  <c r="M381" i="1" s="1"/>
  <c r="K380" i="1"/>
  <c r="M380" i="1" s="1"/>
  <c r="J379" i="1"/>
  <c r="K379" i="1" s="1"/>
  <c r="M379" i="1" s="1"/>
  <c r="K378" i="1"/>
  <c r="M378" i="1" s="1"/>
  <c r="J378" i="1"/>
  <c r="K377" i="1"/>
  <c r="H377" i="1"/>
  <c r="J376" i="1"/>
  <c r="K376" i="1" s="1"/>
  <c r="H375" i="1"/>
  <c r="J375" i="1" s="1"/>
  <c r="K375" i="1" s="1"/>
  <c r="K374" i="1"/>
  <c r="J374" i="1"/>
  <c r="J373" i="1"/>
  <c r="K373" i="1" s="1"/>
  <c r="M373" i="1" s="1"/>
  <c r="K372" i="1"/>
  <c r="M372" i="1" s="1"/>
  <c r="J372" i="1"/>
  <c r="J371" i="1"/>
  <c r="K371" i="1" s="1"/>
  <c r="K370" i="1"/>
  <c r="M370" i="1" s="1"/>
  <c r="H369" i="1"/>
  <c r="J369" i="1" s="1"/>
  <c r="K369" i="1" s="1"/>
  <c r="H368" i="1"/>
  <c r="J368" i="1" s="1"/>
  <c r="K368" i="1" s="1"/>
  <c r="H367" i="1"/>
  <c r="J367" i="1" s="1"/>
  <c r="K367" i="1" s="1"/>
  <c r="M366" i="1"/>
  <c r="N366" i="1" s="1"/>
  <c r="K366" i="1"/>
  <c r="H366" i="1"/>
  <c r="J365" i="1"/>
  <c r="K365" i="1" s="1"/>
  <c r="J364" i="1"/>
  <c r="K364" i="1" s="1"/>
  <c r="M364" i="1" s="1"/>
  <c r="K363" i="1"/>
  <c r="M363" i="1" s="1"/>
  <c r="J363" i="1"/>
  <c r="H362" i="1"/>
  <c r="J362" i="1" s="1"/>
  <c r="K362" i="1" s="1"/>
  <c r="J361" i="1"/>
  <c r="K361" i="1" s="1"/>
  <c r="M361" i="1" s="1"/>
  <c r="K360" i="1"/>
  <c r="M360" i="1" s="1"/>
  <c r="J359" i="1"/>
  <c r="K359" i="1" s="1"/>
  <c r="K358" i="1"/>
  <c r="M358" i="1" s="1"/>
  <c r="N358" i="1" s="1"/>
  <c r="J357" i="1"/>
  <c r="K357" i="1" s="1"/>
  <c r="K356" i="1"/>
  <c r="K355" i="1"/>
  <c r="M355" i="1" s="1"/>
  <c r="N355" i="1" s="1"/>
  <c r="H355" i="1"/>
  <c r="K354" i="1"/>
  <c r="M354" i="1" s="1"/>
  <c r="H354" i="1"/>
  <c r="J353" i="1"/>
  <c r="K353" i="1" s="1"/>
  <c r="M353" i="1" s="1"/>
  <c r="K352" i="1"/>
  <c r="J352" i="1"/>
  <c r="J351" i="1"/>
  <c r="K351" i="1" s="1"/>
  <c r="M351" i="1" s="1"/>
  <c r="J350" i="1"/>
  <c r="K350" i="1" s="1"/>
  <c r="M350" i="1" s="1"/>
  <c r="J349" i="1"/>
  <c r="K349" i="1" s="1"/>
  <c r="M349" i="1" s="1"/>
  <c r="J348" i="1"/>
  <c r="K348" i="1" s="1"/>
  <c r="K347" i="1"/>
  <c r="M347" i="1" s="1"/>
  <c r="J346" i="1"/>
  <c r="K346" i="1" s="1"/>
  <c r="K345" i="1"/>
  <c r="M345" i="1" s="1"/>
  <c r="J344" i="1"/>
  <c r="K344" i="1" s="1"/>
  <c r="M344" i="1" s="1"/>
  <c r="K343" i="1"/>
  <c r="J343" i="1"/>
  <c r="K342" i="1"/>
  <c r="M342" i="1" s="1"/>
  <c r="N342" i="1" s="1"/>
  <c r="J341" i="1"/>
  <c r="K341" i="1" s="1"/>
  <c r="M341" i="1" s="1"/>
  <c r="J340" i="1"/>
  <c r="K340" i="1" s="1"/>
  <c r="M340" i="1" s="1"/>
  <c r="N340" i="1" s="1"/>
  <c r="J339" i="1"/>
  <c r="K339" i="1" s="1"/>
  <c r="K338" i="1"/>
  <c r="M338" i="1" s="1"/>
  <c r="J338" i="1"/>
  <c r="K337" i="1"/>
  <c r="K336" i="1"/>
  <c r="M336" i="1" s="1"/>
  <c r="H336" i="1"/>
  <c r="H335" i="1"/>
  <c r="J335" i="1" s="1"/>
  <c r="K335" i="1" s="1"/>
  <c r="H334" i="1"/>
  <c r="J334" i="1" s="1"/>
  <c r="K334" i="1" s="1"/>
  <c r="H333" i="1"/>
  <c r="J333" i="1" s="1"/>
  <c r="K333" i="1" s="1"/>
  <c r="J332" i="1"/>
  <c r="K332" i="1" s="1"/>
  <c r="H331" i="1"/>
  <c r="J331" i="1" s="1"/>
  <c r="K331" i="1" s="1"/>
  <c r="K330" i="1"/>
  <c r="H329" i="1"/>
  <c r="J329" i="1" s="1"/>
  <c r="K329" i="1" s="1"/>
  <c r="M329" i="1" s="1"/>
  <c r="H328" i="1"/>
  <c r="J328" i="1" s="1"/>
  <c r="K328" i="1" s="1"/>
  <c r="M328" i="1" s="1"/>
  <c r="J327" i="1"/>
  <c r="K327" i="1" s="1"/>
  <c r="J326" i="1"/>
  <c r="K326" i="1" s="1"/>
  <c r="M326" i="1" s="1"/>
  <c r="J325" i="1"/>
  <c r="K325" i="1" s="1"/>
  <c r="M325" i="1" s="1"/>
  <c r="J324" i="1"/>
  <c r="K324" i="1" s="1"/>
  <c r="M324" i="1" s="1"/>
  <c r="N324" i="1" s="1"/>
  <c r="J323" i="1"/>
  <c r="K323" i="1" s="1"/>
  <c r="K322" i="1"/>
  <c r="M322" i="1" s="1"/>
  <c r="J322" i="1"/>
  <c r="M321" i="1"/>
  <c r="K321" i="1"/>
  <c r="J320" i="1"/>
  <c r="K320" i="1" s="1"/>
  <c r="J319" i="1"/>
  <c r="K319" i="1" s="1"/>
  <c r="M319" i="1" s="1"/>
  <c r="K318" i="1"/>
  <c r="M318" i="1" s="1"/>
  <c r="N318" i="1" s="1"/>
  <c r="H318" i="1"/>
  <c r="K317" i="1"/>
  <c r="M317" i="1" s="1"/>
  <c r="J316" i="1"/>
  <c r="K316" i="1" s="1"/>
  <c r="M316" i="1" s="1"/>
  <c r="K315" i="1"/>
  <c r="J315" i="1"/>
  <c r="J314" i="1"/>
  <c r="K314" i="1" s="1"/>
  <c r="M314" i="1" s="1"/>
  <c r="K313" i="1"/>
  <c r="M312" i="1"/>
  <c r="K312" i="1"/>
  <c r="K311" i="1"/>
  <c r="M311" i="1" s="1"/>
  <c r="J310" i="1"/>
  <c r="K310" i="1" s="1"/>
  <c r="K309" i="1"/>
  <c r="M309" i="1" s="1"/>
  <c r="M308" i="1"/>
  <c r="K308" i="1"/>
  <c r="N308" i="1" s="1"/>
  <c r="K307" i="1"/>
  <c r="M307" i="1" s="1"/>
  <c r="N307" i="1" s="1"/>
  <c r="J306" i="1"/>
  <c r="K306" i="1" s="1"/>
  <c r="J305" i="1"/>
  <c r="K305" i="1" s="1"/>
  <c r="M305" i="1" s="1"/>
  <c r="H304" i="1"/>
  <c r="J304" i="1" s="1"/>
  <c r="K304" i="1" s="1"/>
  <c r="H303" i="1"/>
  <c r="J303" i="1" s="1"/>
  <c r="K303" i="1" s="1"/>
  <c r="M303" i="1" s="1"/>
  <c r="K302" i="1"/>
  <c r="M302" i="1" s="1"/>
  <c r="H302" i="1"/>
  <c r="J301" i="1"/>
  <c r="K301" i="1" s="1"/>
  <c r="J300" i="1"/>
  <c r="K300" i="1" s="1"/>
  <c r="M300" i="1" s="1"/>
  <c r="J299" i="1"/>
  <c r="K299" i="1" s="1"/>
  <c r="H298" i="1"/>
  <c r="J298" i="1" s="1"/>
  <c r="K298" i="1" s="1"/>
  <c r="J297" i="1"/>
  <c r="K297" i="1" s="1"/>
  <c r="M297" i="1" s="1"/>
  <c r="J296" i="1"/>
  <c r="K296" i="1" s="1"/>
  <c r="M296" i="1" s="1"/>
  <c r="M295" i="1"/>
  <c r="K295" i="1"/>
  <c r="H294" i="1"/>
  <c r="J294" i="1" s="1"/>
  <c r="K294" i="1" s="1"/>
  <c r="M294" i="1" s="1"/>
  <c r="J293" i="1"/>
  <c r="K293" i="1" s="1"/>
  <c r="M293" i="1" s="1"/>
  <c r="H292" i="1"/>
  <c r="J292" i="1" s="1"/>
  <c r="K292" i="1" s="1"/>
  <c r="H291" i="1"/>
  <c r="J291" i="1" s="1"/>
  <c r="K291" i="1" s="1"/>
  <c r="K290" i="1"/>
  <c r="M290" i="1" s="1"/>
  <c r="H290" i="1"/>
  <c r="J289" i="1"/>
  <c r="K289" i="1" s="1"/>
  <c r="M289" i="1" s="1"/>
  <c r="K288" i="1"/>
  <c r="M288" i="1" s="1"/>
  <c r="J288" i="1"/>
  <c r="J287" i="1"/>
  <c r="K287" i="1" s="1"/>
  <c r="M287" i="1" s="1"/>
  <c r="J286" i="1"/>
  <c r="K286" i="1" s="1"/>
  <c r="J285" i="1"/>
  <c r="K285" i="1" s="1"/>
  <c r="M285" i="1" s="1"/>
  <c r="K284" i="1"/>
  <c r="M284" i="1" s="1"/>
  <c r="J284" i="1"/>
  <c r="J283" i="1"/>
  <c r="K283" i="1" s="1"/>
  <c r="M283" i="1" s="1"/>
  <c r="J282" i="1"/>
  <c r="K282" i="1" s="1"/>
  <c r="M282" i="1" s="1"/>
  <c r="J281" i="1"/>
  <c r="K281" i="1" s="1"/>
  <c r="M281" i="1" s="1"/>
  <c r="M280" i="1"/>
  <c r="K280" i="1"/>
  <c r="J279" i="1"/>
  <c r="K279" i="1" s="1"/>
  <c r="M279" i="1" s="1"/>
  <c r="J278" i="1"/>
  <c r="K278" i="1" s="1"/>
  <c r="J277" i="1"/>
  <c r="K277" i="1" s="1"/>
  <c r="J276" i="1"/>
  <c r="K276" i="1" s="1"/>
  <c r="K275" i="1"/>
  <c r="M275" i="1" s="1"/>
  <c r="H275" i="1"/>
  <c r="K274" i="1"/>
  <c r="K273" i="1"/>
  <c r="M273" i="1" s="1"/>
  <c r="M272" i="1"/>
  <c r="K272" i="1"/>
  <c r="K271" i="1"/>
  <c r="M271" i="1" s="1"/>
  <c r="J270" i="1"/>
  <c r="K270" i="1" s="1"/>
  <c r="J269" i="1"/>
  <c r="K269" i="1" s="1"/>
  <c r="J268" i="1"/>
  <c r="K268" i="1" s="1"/>
  <c r="J267" i="1"/>
  <c r="K267" i="1" s="1"/>
  <c r="M267" i="1" s="1"/>
  <c r="K266" i="1"/>
  <c r="J266" i="1"/>
  <c r="J265" i="1"/>
  <c r="K265" i="1" s="1"/>
  <c r="M265" i="1" s="1"/>
  <c r="J264" i="1"/>
  <c r="K264" i="1" s="1"/>
  <c r="J263" i="1"/>
  <c r="K263" i="1" s="1"/>
  <c r="J262" i="1"/>
  <c r="K262" i="1" s="1"/>
  <c r="H261" i="1"/>
  <c r="J261" i="1" s="1"/>
  <c r="K261" i="1" s="1"/>
  <c r="M261" i="1" s="1"/>
  <c r="J260" i="1"/>
  <c r="K260" i="1" s="1"/>
  <c r="M260" i="1" s="1"/>
  <c r="N259" i="1"/>
  <c r="J259" i="1"/>
  <c r="K259" i="1" s="1"/>
  <c r="M259" i="1" s="1"/>
  <c r="K258" i="1"/>
  <c r="K257" i="1"/>
  <c r="M257" i="1" s="1"/>
  <c r="N257" i="1" s="1"/>
  <c r="H257" i="1"/>
  <c r="K256" i="1"/>
  <c r="H256" i="1"/>
  <c r="J255" i="1"/>
  <c r="K255" i="1" s="1"/>
  <c r="M255" i="1" s="1"/>
  <c r="J254" i="1"/>
  <c r="K254" i="1" s="1"/>
  <c r="M253" i="1"/>
  <c r="J253" i="1"/>
  <c r="K253" i="1" s="1"/>
  <c r="J252" i="1"/>
  <c r="K252" i="1" s="1"/>
  <c r="M252" i="1" s="1"/>
  <c r="J251" i="1"/>
  <c r="K251" i="1" s="1"/>
  <c r="J250" i="1"/>
  <c r="K250" i="1" s="1"/>
  <c r="J249" i="1"/>
  <c r="K249" i="1" s="1"/>
  <c r="M249" i="1" s="1"/>
  <c r="J248" i="1"/>
  <c r="K248" i="1" s="1"/>
  <c r="J247" i="1"/>
  <c r="K247" i="1" s="1"/>
  <c r="M247" i="1" s="1"/>
  <c r="K246" i="1"/>
  <c r="K245" i="1"/>
  <c r="M245" i="1" s="1"/>
  <c r="K244" i="1"/>
  <c r="M244" i="1" s="1"/>
  <c r="N244" i="1" s="1"/>
  <c r="H244" i="1"/>
  <c r="H243" i="1"/>
  <c r="J243" i="1" s="1"/>
  <c r="K243" i="1" s="1"/>
  <c r="M243" i="1" s="1"/>
  <c r="H242" i="1"/>
  <c r="J242" i="1" s="1"/>
  <c r="K242" i="1" s="1"/>
  <c r="H241" i="1"/>
  <c r="J241" i="1" s="1"/>
  <c r="K241" i="1" s="1"/>
  <c r="H240" i="1"/>
  <c r="J240" i="1" s="1"/>
  <c r="K240" i="1" s="1"/>
  <c r="K239" i="1"/>
  <c r="M239" i="1" s="1"/>
  <c r="K238" i="1"/>
  <c r="M238" i="1" s="1"/>
  <c r="H237" i="1"/>
  <c r="J237" i="1" s="1"/>
  <c r="K237" i="1" s="1"/>
  <c r="J236" i="1"/>
  <c r="K236" i="1" s="1"/>
  <c r="M236" i="1" s="1"/>
  <c r="N235" i="1"/>
  <c r="J235" i="1"/>
  <c r="K235" i="1" s="1"/>
  <c r="M235" i="1" s="1"/>
  <c r="K234" i="1"/>
  <c r="J234" i="1"/>
  <c r="J233" i="1"/>
  <c r="K233" i="1" s="1"/>
  <c r="K232" i="1"/>
  <c r="M232" i="1" s="1"/>
  <c r="J231" i="1"/>
  <c r="K231" i="1" s="1"/>
  <c r="M231" i="1" s="1"/>
  <c r="K230" i="1"/>
  <c r="J229" i="1"/>
  <c r="K229" i="1" s="1"/>
  <c r="M229" i="1" s="1"/>
  <c r="K228" i="1"/>
  <c r="H228" i="1"/>
  <c r="J227" i="1"/>
  <c r="K227" i="1" s="1"/>
  <c r="H226" i="1"/>
  <c r="J226" i="1" s="1"/>
  <c r="K226" i="1" s="1"/>
  <c r="H225" i="1"/>
  <c r="J225" i="1" s="1"/>
  <c r="K225" i="1" s="1"/>
  <c r="J224" i="1"/>
  <c r="K224" i="1" s="1"/>
  <c r="J223" i="1"/>
  <c r="K223" i="1" s="1"/>
  <c r="J222" i="1"/>
  <c r="K222" i="1" s="1"/>
  <c r="M222" i="1" s="1"/>
  <c r="K221" i="1"/>
  <c r="M221" i="1" s="1"/>
  <c r="J221" i="1"/>
  <c r="M220" i="1"/>
  <c r="K220" i="1"/>
  <c r="J219" i="1"/>
  <c r="K218" i="1"/>
  <c r="M218" i="1" s="1"/>
  <c r="K217" i="1"/>
  <c r="M217" i="1" s="1"/>
  <c r="N217" i="1" s="1"/>
  <c r="H217" i="1"/>
  <c r="L207" i="1"/>
  <c r="I207" i="1"/>
  <c r="J206" i="1"/>
  <c r="K206" i="1" s="1"/>
  <c r="M206" i="1" s="1"/>
  <c r="J205" i="1"/>
  <c r="K205" i="1" s="1"/>
  <c r="K204" i="1"/>
  <c r="M204" i="1" s="1"/>
  <c r="J204" i="1"/>
  <c r="K203" i="1"/>
  <c r="N203" i="1" s="1"/>
  <c r="K202" i="1"/>
  <c r="N202" i="1" s="1"/>
  <c r="K201" i="1"/>
  <c r="N201" i="1" s="1"/>
  <c r="N200" i="1"/>
  <c r="K200" i="1"/>
  <c r="K199" i="1"/>
  <c r="N199" i="1" s="1"/>
  <c r="K198" i="1"/>
  <c r="N198" i="1" s="1"/>
  <c r="K197" i="1"/>
  <c r="N197" i="1" s="1"/>
  <c r="N196" i="1"/>
  <c r="K196" i="1"/>
  <c r="K195" i="1"/>
  <c r="N195" i="1" s="1"/>
  <c r="K194" i="1"/>
  <c r="N194" i="1" s="1"/>
  <c r="K193" i="1"/>
  <c r="N193" i="1" s="1"/>
  <c r="J192" i="1"/>
  <c r="K192" i="1" s="1"/>
  <c r="K191" i="1"/>
  <c r="M191" i="1" s="1"/>
  <c r="N191" i="1" s="1"/>
  <c r="H191" i="1"/>
  <c r="K190" i="1"/>
  <c r="M190" i="1" s="1"/>
  <c r="H190" i="1"/>
  <c r="H189" i="1"/>
  <c r="J189" i="1" s="1"/>
  <c r="K189" i="1" s="1"/>
  <c r="M189" i="1" s="1"/>
  <c r="K188" i="1"/>
  <c r="M188" i="1" s="1"/>
  <c r="K187" i="1"/>
  <c r="M187" i="1" s="1"/>
  <c r="H186" i="1"/>
  <c r="J186" i="1" s="1"/>
  <c r="K186" i="1" s="1"/>
  <c r="H185" i="1"/>
  <c r="J185" i="1" s="1"/>
  <c r="K185" i="1" s="1"/>
  <c r="J184" i="1"/>
  <c r="K184" i="1" s="1"/>
  <c r="J183" i="1"/>
  <c r="K183" i="1" s="1"/>
  <c r="M183" i="1" s="1"/>
  <c r="J182" i="1"/>
  <c r="K182" i="1" s="1"/>
  <c r="K181" i="1"/>
  <c r="M181" i="1" s="1"/>
  <c r="N181" i="1" s="1"/>
  <c r="H180" i="1"/>
  <c r="J180" i="1" s="1"/>
  <c r="K180" i="1" s="1"/>
  <c r="H179" i="1"/>
  <c r="J179" i="1" s="1"/>
  <c r="K179" i="1" s="1"/>
  <c r="K178" i="1"/>
  <c r="M178" i="1" s="1"/>
  <c r="K177" i="1"/>
  <c r="M177" i="1" s="1"/>
  <c r="J176" i="1"/>
  <c r="K176" i="1" s="1"/>
  <c r="J175" i="1"/>
  <c r="K175" i="1" s="1"/>
  <c r="M175" i="1" s="1"/>
  <c r="H175" i="1"/>
  <c r="J174" i="1"/>
  <c r="K174" i="1" s="1"/>
  <c r="J173" i="1"/>
  <c r="K173" i="1" s="1"/>
  <c r="M173" i="1" s="1"/>
  <c r="K172" i="1"/>
  <c r="M172" i="1" s="1"/>
  <c r="H172" i="1"/>
  <c r="H171" i="1"/>
  <c r="J171" i="1" s="1"/>
  <c r="K171" i="1" s="1"/>
  <c r="M171" i="1" s="1"/>
  <c r="K170" i="1"/>
  <c r="M170" i="1" s="1"/>
  <c r="H170" i="1"/>
  <c r="H169" i="1"/>
  <c r="J169" i="1" s="1"/>
  <c r="K169" i="1" s="1"/>
  <c r="M169" i="1" s="1"/>
  <c r="K168" i="1"/>
  <c r="J168" i="1"/>
  <c r="K167" i="1"/>
  <c r="H167" i="1"/>
  <c r="J166" i="1"/>
  <c r="K166" i="1" s="1"/>
  <c r="H165" i="1"/>
  <c r="J165" i="1" s="1"/>
  <c r="K165" i="1" s="1"/>
  <c r="M165" i="1" s="1"/>
  <c r="H164" i="1"/>
  <c r="J164" i="1" s="1"/>
  <c r="K164" i="1" s="1"/>
  <c r="M164" i="1" s="1"/>
  <c r="K163" i="1"/>
  <c r="H163" i="1"/>
  <c r="K162" i="1"/>
  <c r="H162" i="1"/>
  <c r="K161" i="1"/>
  <c r="K160" i="1"/>
  <c r="H160" i="1"/>
  <c r="K159" i="1"/>
  <c r="M159" i="1" s="1"/>
  <c r="N159" i="1" s="1"/>
  <c r="H159" i="1"/>
  <c r="K158" i="1"/>
  <c r="M158" i="1" s="1"/>
  <c r="H158" i="1"/>
  <c r="K157" i="1"/>
  <c r="M157" i="1" s="1"/>
  <c r="H157" i="1"/>
  <c r="K156" i="1"/>
  <c r="M156" i="1" s="1"/>
  <c r="H156" i="1"/>
  <c r="K155" i="1"/>
  <c r="M155" i="1" s="1"/>
  <c r="H155" i="1"/>
  <c r="H154" i="1"/>
  <c r="J154" i="1" s="1"/>
  <c r="K154" i="1" s="1"/>
  <c r="K153" i="1"/>
  <c r="H153" i="1"/>
  <c r="K152" i="1"/>
  <c r="M152" i="1" s="1"/>
  <c r="K151" i="1"/>
  <c r="M151" i="1" s="1"/>
  <c r="J150" i="1"/>
  <c r="K150" i="1" s="1"/>
  <c r="H149" i="1"/>
  <c r="J149" i="1" s="1"/>
  <c r="K149" i="1" s="1"/>
  <c r="J148" i="1"/>
  <c r="K148" i="1" s="1"/>
  <c r="M148" i="1" s="1"/>
  <c r="J147" i="1"/>
  <c r="K147" i="1" s="1"/>
  <c r="M147" i="1" s="1"/>
  <c r="K146" i="1"/>
  <c r="M146" i="1" s="1"/>
  <c r="K145" i="1"/>
  <c r="H145" i="1"/>
  <c r="K144" i="1"/>
  <c r="M144" i="1" s="1"/>
  <c r="H144" i="1"/>
  <c r="H143" i="1"/>
  <c r="J143" i="1" s="1"/>
  <c r="K143" i="1" s="1"/>
  <c r="K142" i="1"/>
  <c r="H142" i="1"/>
  <c r="J141" i="1"/>
  <c r="K141" i="1" s="1"/>
  <c r="K140" i="1"/>
  <c r="H140" i="1"/>
  <c r="K139" i="1"/>
  <c r="M139" i="1" s="1"/>
  <c r="H139" i="1"/>
  <c r="K138" i="1"/>
  <c r="K137" i="1"/>
  <c r="M137" i="1" s="1"/>
  <c r="H136" i="1"/>
  <c r="J136" i="1" s="1"/>
  <c r="K136" i="1" s="1"/>
  <c r="M136" i="1" s="1"/>
  <c r="K135" i="1"/>
  <c r="H134" i="1"/>
  <c r="J134" i="1" s="1"/>
  <c r="K134" i="1" s="1"/>
  <c r="H133" i="1"/>
  <c r="J133" i="1" s="1"/>
  <c r="K133" i="1" s="1"/>
  <c r="M133" i="1" s="1"/>
  <c r="K132" i="1"/>
  <c r="H132" i="1"/>
  <c r="K131" i="1"/>
  <c r="M131" i="1" s="1"/>
  <c r="N131" i="1" s="1"/>
  <c r="H131" i="1"/>
  <c r="K130" i="1"/>
  <c r="H130" i="1"/>
  <c r="K129" i="1"/>
  <c r="M129" i="1" s="1"/>
  <c r="K128" i="1"/>
  <c r="M128" i="1" s="1"/>
  <c r="H127" i="1"/>
  <c r="J127" i="1" s="1"/>
  <c r="K127" i="1" s="1"/>
  <c r="H126" i="1"/>
  <c r="J126" i="1" s="1"/>
  <c r="K126" i="1" s="1"/>
  <c r="K125" i="1"/>
  <c r="M125" i="1" s="1"/>
  <c r="H125" i="1"/>
  <c r="H124" i="1"/>
  <c r="J124" i="1" s="1"/>
  <c r="K124" i="1" s="1"/>
  <c r="J123" i="1"/>
  <c r="K123" i="1" s="1"/>
  <c r="M123" i="1" s="1"/>
  <c r="H122" i="1"/>
  <c r="J122" i="1" s="1"/>
  <c r="K122" i="1" s="1"/>
  <c r="J121" i="1"/>
  <c r="K120" i="1"/>
  <c r="M120" i="1" s="1"/>
  <c r="L111" i="1"/>
  <c r="I111" i="1"/>
  <c r="K110" i="1"/>
  <c r="M110" i="1" s="1"/>
  <c r="K109" i="1"/>
  <c r="M109" i="1" s="1"/>
  <c r="K108" i="1"/>
  <c r="K107" i="1"/>
  <c r="M107" i="1" s="1"/>
  <c r="K106" i="1"/>
  <c r="M106" i="1" s="1"/>
  <c r="H106" i="1"/>
  <c r="K105" i="1"/>
  <c r="M105" i="1" s="1"/>
  <c r="H105" i="1"/>
  <c r="K104" i="1"/>
  <c r="J103" i="1"/>
  <c r="K103" i="1" s="1"/>
  <c r="M103" i="1" s="1"/>
  <c r="J102" i="1"/>
  <c r="K102" i="1" s="1"/>
  <c r="J101" i="1"/>
  <c r="K101" i="1" s="1"/>
  <c r="M101" i="1" s="1"/>
  <c r="J100" i="1"/>
  <c r="K100" i="1" s="1"/>
  <c r="M100" i="1" s="1"/>
  <c r="J99" i="1"/>
  <c r="K99" i="1" s="1"/>
  <c r="M99" i="1" s="1"/>
  <c r="J98" i="1"/>
  <c r="K98" i="1" s="1"/>
  <c r="J97" i="1"/>
  <c r="K97" i="1" s="1"/>
  <c r="M97" i="1" s="1"/>
  <c r="J96" i="1"/>
  <c r="K96" i="1" s="1"/>
  <c r="M96" i="1" s="1"/>
  <c r="J95" i="1"/>
  <c r="K95" i="1" s="1"/>
  <c r="M95" i="1" s="1"/>
  <c r="J94" i="1"/>
  <c r="K94" i="1" s="1"/>
  <c r="J93" i="1"/>
  <c r="K93" i="1" s="1"/>
  <c r="M93" i="1" s="1"/>
  <c r="J92" i="1"/>
  <c r="K92" i="1" s="1"/>
  <c r="M92" i="1" s="1"/>
  <c r="J91" i="1"/>
  <c r="K91" i="1" s="1"/>
  <c r="M91" i="1" s="1"/>
  <c r="J90" i="1"/>
  <c r="K90" i="1" s="1"/>
  <c r="J89" i="1"/>
  <c r="K89" i="1" s="1"/>
  <c r="M89" i="1" s="1"/>
  <c r="J88" i="1"/>
  <c r="K88" i="1" s="1"/>
  <c r="M88" i="1" s="1"/>
  <c r="J87" i="1"/>
  <c r="K87" i="1" s="1"/>
  <c r="M87" i="1" s="1"/>
  <c r="J86" i="1"/>
  <c r="K86" i="1" s="1"/>
  <c r="K85" i="1"/>
  <c r="M85" i="1" s="1"/>
  <c r="J85" i="1"/>
  <c r="J84" i="1"/>
  <c r="K84" i="1" s="1"/>
  <c r="M84" i="1" s="1"/>
  <c r="J83" i="1"/>
  <c r="K83" i="1" s="1"/>
  <c r="J82" i="1"/>
  <c r="K82" i="1" s="1"/>
  <c r="M82" i="1" s="1"/>
  <c r="J81" i="1"/>
  <c r="K81" i="1" s="1"/>
  <c r="M81" i="1" s="1"/>
  <c r="J80" i="1"/>
  <c r="K80" i="1" s="1"/>
  <c r="M80" i="1" s="1"/>
  <c r="J79" i="1"/>
  <c r="K79" i="1" s="1"/>
  <c r="J78" i="1"/>
  <c r="K78" i="1" s="1"/>
  <c r="M78" i="1" s="1"/>
  <c r="K77" i="1"/>
  <c r="M77" i="1" s="1"/>
  <c r="J77" i="1"/>
  <c r="J76" i="1"/>
  <c r="K76" i="1" s="1"/>
  <c r="M76" i="1" s="1"/>
  <c r="J75" i="1"/>
  <c r="K75" i="1" s="1"/>
  <c r="J74" i="1"/>
  <c r="K74" i="1" s="1"/>
  <c r="M74" i="1" s="1"/>
  <c r="J73" i="1"/>
  <c r="K73" i="1" s="1"/>
  <c r="M73" i="1" s="1"/>
  <c r="J72" i="1"/>
  <c r="K72" i="1" s="1"/>
  <c r="M72" i="1" s="1"/>
  <c r="H71" i="1"/>
  <c r="J71" i="1" s="1"/>
  <c r="K71" i="1" s="1"/>
  <c r="J70" i="1"/>
  <c r="K70" i="1" s="1"/>
  <c r="K69" i="1"/>
  <c r="K68" i="1"/>
  <c r="M68" i="1" s="1"/>
  <c r="K67" i="1"/>
  <c r="M67" i="1" s="1"/>
  <c r="N67" i="1" s="1"/>
  <c r="K66" i="1"/>
  <c r="M66" i="1" s="1"/>
  <c r="K65" i="1"/>
  <c r="K64" i="1"/>
  <c r="M64" i="1" s="1"/>
  <c r="K63" i="1"/>
  <c r="M63" i="1" s="1"/>
  <c r="K62" i="1"/>
  <c r="M62" i="1" s="1"/>
  <c r="K61" i="1"/>
  <c r="K60" i="1"/>
  <c r="K59" i="1"/>
  <c r="M59" i="1" s="1"/>
  <c r="K58" i="1"/>
  <c r="M58" i="1" s="1"/>
  <c r="H57" i="1"/>
  <c r="J57" i="1" s="1"/>
  <c r="K57" i="1" s="1"/>
  <c r="J56" i="1"/>
  <c r="K56" i="1" s="1"/>
  <c r="K55" i="1"/>
  <c r="M55" i="1" s="1"/>
  <c r="H54" i="1"/>
  <c r="J54" i="1" s="1"/>
  <c r="K54" i="1" s="1"/>
  <c r="K53" i="1"/>
  <c r="H53" i="1"/>
  <c r="J52" i="1"/>
  <c r="K52" i="1" s="1"/>
  <c r="K51" i="1"/>
  <c r="M51" i="1" s="1"/>
  <c r="J50" i="1"/>
  <c r="K50" i="1" s="1"/>
  <c r="M50" i="1" s="1"/>
  <c r="J49" i="1"/>
  <c r="K49" i="1" s="1"/>
  <c r="J48" i="1"/>
  <c r="K48" i="1" s="1"/>
  <c r="J47" i="1"/>
  <c r="K47" i="1" s="1"/>
  <c r="J46" i="1"/>
  <c r="K46" i="1" s="1"/>
  <c r="M46" i="1" s="1"/>
  <c r="K45" i="1"/>
  <c r="M45" i="1" s="1"/>
  <c r="K44" i="1"/>
  <c r="M44" i="1" s="1"/>
  <c r="K43" i="1"/>
  <c r="M43" i="1" s="1"/>
  <c r="H42" i="1"/>
  <c r="J42" i="1" s="1"/>
  <c r="K42" i="1" s="1"/>
  <c r="K41" i="1"/>
  <c r="M41" i="1" s="1"/>
  <c r="K40" i="1"/>
  <c r="M40" i="1" s="1"/>
  <c r="H40" i="1"/>
  <c r="K39" i="1"/>
  <c r="M39" i="1" s="1"/>
  <c r="H39" i="1"/>
  <c r="H38" i="1"/>
  <c r="J38" i="1" s="1"/>
  <c r="K38" i="1" s="1"/>
  <c r="H37" i="1"/>
  <c r="J37" i="1" s="1"/>
  <c r="K37" i="1" s="1"/>
  <c r="K36" i="1"/>
  <c r="K35" i="1"/>
  <c r="M35" i="1" s="1"/>
  <c r="N35" i="1" s="1"/>
  <c r="J34" i="1"/>
  <c r="K34" i="1" s="1"/>
  <c r="J33" i="1"/>
  <c r="K33" i="1" s="1"/>
  <c r="M33" i="1" s="1"/>
  <c r="J32" i="1"/>
  <c r="K32" i="1" s="1"/>
  <c r="K31" i="1"/>
  <c r="M31" i="1" s="1"/>
  <c r="K30" i="1"/>
  <c r="M30" i="1" s="1"/>
  <c r="N30" i="1" s="1"/>
  <c r="H30" i="1"/>
  <c r="K29" i="1"/>
  <c r="M29" i="1" s="1"/>
  <c r="K28" i="1"/>
  <c r="M28" i="1" s="1"/>
  <c r="K27" i="1"/>
  <c r="M27" i="1" s="1"/>
  <c r="N27" i="1" s="1"/>
  <c r="K26" i="1"/>
  <c r="M26" i="1" s="1"/>
  <c r="K25" i="1"/>
  <c r="K24" i="1"/>
  <c r="H24" i="1"/>
  <c r="K23" i="1"/>
  <c r="M23" i="1" s="1"/>
  <c r="K22" i="1"/>
  <c r="J22" i="1"/>
  <c r="J21" i="1"/>
  <c r="K21" i="1" s="1"/>
  <c r="M21" i="1" s="1"/>
  <c r="J20" i="1"/>
  <c r="K20" i="1" s="1"/>
  <c r="J19" i="1"/>
  <c r="K19" i="1" s="1"/>
  <c r="M19" i="1" s="1"/>
  <c r="J18" i="1"/>
  <c r="K18" i="1" s="1"/>
  <c r="J17" i="1"/>
  <c r="K17" i="1" s="1"/>
  <c r="J16" i="1"/>
  <c r="K16" i="1" s="1"/>
  <c r="J15" i="1"/>
  <c r="K15" i="1" s="1"/>
  <c r="J14" i="1"/>
  <c r="K14" i="1" s="1"/>
  <c r="J13" i="1"/>
  <c r="K13" i="1" s="1"/>
  <c r="J12" i="1"/>
  <c r="K12" i="1" s="1"/>
  <c r="M12" i="1" s="1"/>
  <c r="J11" i="1"/>
  <c r="K11" i="1" s="1"/>
  <c r="J10" i="1"/>
  <c r="K10" i="1" s="1"/>
  <c r="M10" i="1" s="1"/>
  <c r="H9" i="1"/>
  <c r="J9" i="1" s="1"/>
  <c r="K9" i="1" s="1"/>
  <c r="J8" i="1"/>
  <c r="K8" i="1" s="1"/>
  <c r="J7" i="1"/>
  <c r="K7" i="1" s="1"/>
  <c r="H6" i="1"/>
  <c r="J6" i="1" s="1"/>
  <c r="K5" i="1"/>
  <c r="M5" i="1" s="1"/>
  <c r="H5" i="1"/>
  <c r="K4" i="1"/>
  <c r="M4" i="1" s="1"/>
  <c r="H4" i="1"/>
  <c r="J3" i="1"/>
  <c r="K3" i="1" s="1"/>
  <c r="M234" i="1" l="1"/>
  <c r="N234" i="1" s="1"/>
  <c r="N128" i="1"/>
  <c r="N165" i="1"/>
  <c r="N220" i="1"/>
  <c r="N221" i="1"/>
  <c r="M228" i="1"/>
  <c r="N228" i="1"/>
  <c r="M569" i="1"/>
  <c r="N569" i="1"/>
  <c r="N537" i="1"/>
  <c r="N325" i="1"/>
  <c r="N341" i="1"/>
  <c r="N396" i="1"/>
  <c r="N487" i="1"/>
  <c r="N491" i="1"/>
  <c r="N565" i="1"/>
  <c r="N18" i="2"/>
  <c r="N336" i="2"/>
  <c r="N91" i="2"/>
  <c r="N192" i="2"/>
  <c r="N270" i="2"/>
  <c r="N283" i="2"/>
  <c r="N456" i="2"/>
  <c r="N681" i="2"/>
  <c r="N173" i="2"/>
  <c r="N177" i="2"/>
  <c r="N250" i="2"/>
  <c r="N260" i="2"/>
  <c r="N221" i="2"/>
  <c r="N314" i="2"/>
  <c r="M98" i="1"/>
  <c r="N98" i="1" s="1"/>
  <c r="N110" i="1"/>
  <c r="N102" i="1"/>
  <c r="M102" i="1"/>
  <c r="N225" i="1"/>
  <c r="M225" i="1"/>
  <c r="M90" i="1"/>
  <c r="N90" i="1" s="1"/>
  <c r="M192" i="1"/>
  <c r="N192" i="1" s="1"/>
  <c r="N94" i="1"/>
  <c r="M94" i="1"/>
  <c r="M357" i="1"/>
  <c r="N357" i="1" s="1"/>
  <c r="N224" i="1"/>
  <c r="M224" i="1"/>
  <c r="M227" i="1"/>
  <c r="N227" i="1" s="1"/>
  <c r="M399" i="1"/>
  <c r="N399" i="1" s="1"/>
  <c r="N41" i="1"/>
  <c r="M104" i="1"/>
  <c r="N104" i="1" s="1"/>
  <c r="N106" i="1"/>
  <c r="N129" i="1"/>
  <c r="M134" i="1"/>
  <c r="N134" i="1" s="1"/>
  <c r="N155" i="1"/>
  <c r="N172" i="1"/>
  <c r="N177" i="1"/>
  <c r="M251" i="1"/>
  <c r="N251" i="1" s="1"/>
  <c r="N261" i="1"/>
  <c r="M269" i="1"/>
  <c r="N269" i="1" s="1"/>
  <c r="N275" i="1"/>
  <c r="N281" i="1"/>
  <c r="N289" i="1"/>
  <c r="N296" i="1"/>
  <c r="N311" i="1"/>
  <c r="N316" i="1"/>
  <c r="N321" i="1"/>
  <c r="N347" i="1"/>
  <c r="N494" i="1"/>
  <c r="M539" i="1"/>
  <c r="N539" i="1" s="1"/>
  <c r="L635" i="1"/>
  <c r="N253" i="1"/>
  <c r="N312" i="1"/>
  <c r="N317" i="1"/>
  <c r="M337" i="1"/>
  <c r="N337" i="1" s="1"/>
  <c r="M356" i="1"/>
  <c r="N356" i="1" s="1"/>
  <c r="N377" i="1"/>
  <c r="M377" i="1"/>
  <c r="N392" i="1"/>
  <c r="M522" i="1"/>
  <c r="N522" i="1" s="1"/>
  <c r="M149" i="1"/>
  <c r="N149" i="1" s="1"/>
  <c r="N157" i="1"/>
  <c r="M160" i="1"/>
  <c r="N160" i="1" s="1"/>
  <c r="M162" i="1"/>
  <c r="N162" i="1" s="1"/>
  <c r="M167" i="1"/>
  <c r="N167" i="1" s="1"/>
  <c r="M186" i="1"/>
  <c r="N186" i="1" s="1"/>
  <c r="M384" i="1"/>
  <c r="N384" i="1" s="1"/>
  <c r="M523" i="1"/>
  <c r="N523" i="1" s="1"/>
  <c r="N620" i="1"/>
  <c r="M620" i="1"/>
  <c r="N187" i="1"/>
  <c r="M241" i="1"/>
  <c r="N241" i="1" s="1"/>
  <c r="N287" i="1"/>
  <c r="N349" i="1"/>
  <c r="M371" i="1"/>
  <c r="N371" i="1" s="1"/>
  <c r="M414" i="1"/>
  <c r="N414" i="1"/>
  <c r="M628" i="1"/>
  <c r="N628" i="1" s="1"/>
  <c r="N386" i="1"/>
  <c r="N403" i="1"/>
  <c r="N515" i="1"/>
  <c r="N717" i="1"/>
  <c r="N725" i="1"/>
  <c r="N624" i="1"/>
  <c r="N632" i="1"/>
  <c r="N789" i="1"/>
  <c r="N351" i="1"/>
  <c r="N364" i="1"/>
  <c r="N373" i="1"/>
  <c r="N516" i="1"/>
  <c r="N520" i="1"/>
  <c r="M529" i="1"/>
  <c r="N529" i="1" s="1"/>
  <c r="M532" i="1"/>
  <c r="N532" i="1" s="1"/>
  <c r="N559" i="1"/>
  <c r="N573" i="1"/>
  <c r="N714" i="1"/>
  <c r="N322" i="2"/>
  <c r="N442" i="2"/>
  <c r="N138" i="2"/>
  <c r="M191" i="2"/>
  <c r="N191" i="2" s="1"/>
  <c r="N294" i="2"/>
  <c r="N680" i="2"/>
  <c r="M44" i="2"/>
  <c r="N4" i="2"/>
  <c r="N69" i="2"/>
  <c r="N26" i="2"/>
  <c r="N30" i="2"/>
  <c r="N218" i="2"/>
  <c r="N143" i="2"/>
  <c r="M219" i="2"/>
  <c r="N74" i="2"/>
  <c r="N94" i="2"/>
  <c r="N151" i="2"/>
  <c r="N205" i="2"/>
  <c r="N232" i="2"/>
  <c r="M274" i="2"/>
  <c r="N285" i="2"/>
  <c r="M287" i="2"/>
  <c r="M308" i="2"/>
  <c r="M330" i="2"/>
  <c r="N344" i="2"/>
  <c r="N348" i="2"/>
  <c r="N501" i="2"/>
  <c r="N13" i="2"/>
  <c r="M20" i="2"/>
  <c r="M24" i="2"/>
  <c r="M36" i="2"/>
  <c r="N38" i="2"/>
  <c r="M71" i="2"/>
  <c r="N149" i="2"/>
  <c r="N171" i="2"/>
  <c r="N175" i="2"/>
  <c r="M203" i="2"/>
  <c r="N226" i="2"/>
  <c r="N234" i="2"/>
  <c r="M242" i="2"/>
  <c r="N242" i="2" s="1"/>
  <c r="M277" i="2"/>
  <c r="M288" i="2"/>
  <c r="N409" i="2"/>
  <c r="N443" i="2"/>
  <c r="N206" i="2"/>
  <c r="M222" i="2"/>
  <c r="N238" i="2"/>
  <c r="N284" i="2"/>
  <c r="N291" i="2"/>
  <c r="N496" i="2"/>
  <c r="N364" i="2"/>
  <c r="N431" i="2"/>
  <c r="N433" i="2"/>
  <c r="N454" i="2"/>
  <c r="N462" i="2"/>
  <c r="N472" i="2"/>
  <c r="N479" i="2"/>
  <c r="N484" i="2"/>
  <c r="N549" i="2"/>
  <c r="N586" i="2"/>
  <c r="N594" i="2"/>
  <c r="N631" i="2"/>
  <c r="N635" i="2"/>
  <c r="N639" i="2"/>
  <c r="N569" i="2"/>
  <c r="N379" i="2"/>
  <c r="N389" i="2"/>
  <c r="M404" i="2"/>
  <c r="N416" i="2"/>
  <c r="N418" i="2"/>
  <c r="N423" i="2"/>
  <c r="N450" i="2"/>
  <c r="N458" i="2"/>
  <c r="N467" i="2"/>
  <c r="M473" i="2"/>
  <c r="M480" i="2"/>
  <c r="M483" i="2"/>
  <c r="M634" i="2"/>
  <c r="N634" i="2" s="1"/>
  <c r="M638" i="2"/>
  <c r="N638" i="2" s="1"/>
  <c r="N290" i="2"/>
  <c r="N292" i="2"/>
  <c r="N310" i="2"/>
  <c r="N341" i="2"/>
  <c r="N376" i="2"/>
  <c r="M377" i="2"/>
  <c r="N382" i="2"/>
  <c r="N452" i="2"/>
  <c r="M469" i="2"/>
  <c r="N8" i="2"/>
  <c r="N5" i="2"/>
  <c r="M9" i="2"/>
  <c r="N27" i="2"/>
  <c r="N31" i="2"/>
  <c r="M67" i="2"/>
  <c r="M97" i="2"/>
  <c r="N97" i="2" s="1"/>
  <c r="M16" i="2"/>
  <c r="M89" i="2"/>
  <c r="M6" i="2"/>
  <c r="N21" i="2"/>
  <c r="M28" i="2"/>
  <c r="N29" i="2"/>
  <c r="N33" i="2"/>
  <c r="N39" i="2"/>
  <c r="M40" i="2"/>
  <c r="N49" i="2"/>
  <c r="N64" i="2"/>
  <c r="M66" i="2"/>
  <c r="K85" i="2"/>
  <c r="K159" i="2" s="1"/>
  <c r="J159" i="2"/>
  <c r="N90" i="2"/>
  <c r="N98" i="2"/>
  <c r="N102" i="2"/>
  <c r="N104" i="2"/>
  <c r="N106" i="2"/>
  <c r="M118" i="2"/>
  <c r="N139" i="2"/>
  <c r="M73" i="2"/>
  <c r="M86" i="2"/>
  <c r="N87" i="2"/>
  <c r="M92" i="2"/>
  <c r="N93" i="2"/>
  <c r="M95" i="2"/>
  <c r="M119" i="2"/>
  <c r="N123" i="2"/>
  <c r="M126" i="2"/>
  <c r="M131" i="2"/>
  <c r="N131" i="2" s="1"/>
  <c r="M145" i="2"/>
  <c r="N200" i="2"/>
  <c r="M208" i="2"/>
  <c r="N208" i="2" s="1"/>
  <c r="N215" i="2"/>
  <c r="N3" i="2"/>
  <c r="M10" i="2"/>
  <c r="M11" i="2"/>
  <c r="N12" i="2"/>
  <c r="M14" i="2"/>
  <c r="M15" i="2"/>
  <c r="N17" i="2"/>
  <c r="N22" i="2"/>
  <c r="N23" i="2"/>
  <c r="N25" i="2"/>
  <c r="N34" i="2"/>
  <c r="N35" i="2"/>
  <c r="N37" i="2"/>
  <c r="M42" i="2"/>
  <c r="N43" i="2"/>
  <c r="M45" i="2"/>
  <c r="N47" i="2"/>
  <c r="M51" i="2"/>
  <c r="N53" i="2"/>
  <c r="M55" i="2"/>
  <c r="N57" i="2"/>
  <c r="M59" i="2"/>
  <c r="N61" i="2"/>
  <c r="M63" i="2"/>
  <c r="M65" i="2"/>
  <c r="N72" i="2"/>
  <c r="M84" i="2"/>
  <c r="M137" i="2"/>
  <c r="M216" i="2"/>
  <c r="N216" i="2" s="1"/>
  <c r="J75" i="2"/>
  <c r="K7" i="2"/>
  <c r="K75" i="2" s="1"/>
  <c r="N32" i="2"/>
  <c r="N48" i="2"/>
  <c r="N50" i="2"/>
  <c r="N54" i="2"/>
  <c r="N58" i="2"/>
  <c r="N62" i="2"/>
  <c r="M68" i="2"/>
  <c r="M70" i="2"/>
  <c r="M100" i="2"/>
  <c r="N100" i="2" s="1"/>
  <c r="N112" i="2"/>
  <c r="N115" i="2"/>
  <c r="M120" i="2"/>
  <c r="N120" i="2" s="1"/>
  <c r="N88" i="2"/>
  <c r="N96" i="2"/>
  <c r="N109" i="2"/>
  <c r="N114" i="2"/>
  <c r="N117" i="2"/>
  <c r="N122" i="2"/>
  <c r="N125" i="2"/>
  <c r="N128" i="2"/>
  <c r="N134" i="2"/>
  <c r="N146" i="2"/>
  <c r="N150" i="2"/>
  <c r="N155" i="2"/>
  <c r="N178" i="2"/>
  <c r="N182" i="2"/>
  <c r="N186" i="2"/>
  <c r="N190" i="2"/>
  <c r="N193" i="2"/>
  <c r="N197" i="2"/>
  <c r="N202" i="2"/>
  <c r="N204" i="2"/>
  <c r="N207" i="2"/>
  <c r="N212" i="2"/>
  <c r="N220" i="2"/>
  <c r="N243" i="2"/>
  <c r="N251" i="2"/>
  <c r="N263" i="2"/>
  <c r="M266" i="2"/>
  <c r="N266" i="2" s="1"/>
  <c r="N304" i="2"/>
  <c r="N325" i="2"/>
  <c r="L503" i="2"/>
  <c r="M169" i="2"/>
  <c r="N172" i="2"/>
  <c r="N176" i="2"/>
  <c r="N225" i="2"/>
  <c r="N236" i="2"/>
  <c r="M249" i="2"/>
  <c r="M264" i="2"/>
  <c r="M273" i="2"/>
  <c r="M278" i="2"/>
  <c r="N301" i="2"/>
  <c r="N305" i="2"/>
  <c r="M309" i="2"/>
  <c r="M332" i="2"/>
  <c r="M99" i="2"/>
  <c r="M101" i="2"/>
  <c r="M103" i="2"/>
  <c r="M105" i="2"/>
  <c r="M107" i="2"/>
  <c r="N107" i="2" s="1"/>
  <c r="M108" i="2"/>
  <c r="N110" i="2"/>
  <c r="M111" i="2"/>
  <c r="M113" i="2"/>
  <c r="N116" i="2"/>
  <c r="N121" i="2"/>
  <c r="M124" i="2"/>
  <c r="N130" i="2"/>
  <c r="N135" i="2"/>
  <c r="M136" i="2"/>
  <c r="N141" i="2"/>
  <c r="M142" i="2"/>
  <c r="N142" i="2" s="1"/>
  <c r="J502" i="2"/>
  <c r="K188" i="2"/>
  <c r="K502" i="2" s="1"/>
  <c r="M231" i="2"/>
  <c r="N240" i="2"/>
  <c r="N244" i="2"/>
  <c r="M246" i="2"/>
  <c r="N246" i="2" s="1"/>
  <c r="N255" i="2"/>
  <c r="M262" i="2"/>
  <c r="N267" i="2"/>
  <c r="N271" i="2"/>
  <c r="N302" i="2"/>
  <c r="M324" i="2"/>
  <c r="N127" i="2"/>
  <c r="N129" i="2"/>
  <c r="N133" i="2"/>
  <c r="N140" i="2"/>
  <c r="N144" i="2"/>
  <c r="M148" i="2"/>
  <c r="N153" i="2"/>
  <c r="M158" i="2"/>
  <c r="M179" i="2"/>
  <c r="N180" i="2"/>
  <c r="M183" i="2"/>
  <c r="N184" i="2"/>
  <c r="M187" i="2"/>
  <c r="N189" i="2"/>
  <c r="M194" i="2"/>
  <c r="N195" i="2"/>
  <c r="M198" i="2"/>
  <c r="N199" i="2"/>
  <c r="N201" i="2"/>
  <c r="M209" i="2"/>
  <c r="N210" i="2"/>
  <c r="M213" i="2"/>
  <c r="N214" i="2"/>
  <c r="M217" i="2"/>
  <c r="N217" i="2" s="1"/>
  <c r="M223" i="2"/>
  <c r="N224" i="2"/>
  <c r="N228" i="2"/>
  <c r="N229" i="2"/>
  <c r="M230" i="2"/>
  <c r="M247" i="2"/>
  <c r="N247" i="2" s="1"/>
  <c r="N248" i="2"/>
  <c r="M268" i="2"/>
  <c r="M272" i="2"/>
  <c r="M282" i="2"/>
  <c r="N295" i="2"/>
  <c r="N299" i="2"/>
  <c r="I503" i="2"/>
  <c r="N233" i="2"/>
  <c r="N237" i="2"/>
  <c r="N241" i="2"/>
  <c r="N245" i="2"/>
  <c r="N253" i="2"/>
  <c r="N257" i="2"/>
  <c r="N259" i="2"/>
  <c r="N276" i="2"/>
  <c r="N297" i="2"/>
  <c r="N307" i="2"/>
  <c r="N313" i="2"/>
  <c r="N319" i="2"/>
  <c r="N321" i="2"/>
  <c r="N327" i="2"/>
  <c r="N331" i="2"/>
  <c r="N334" i="2"/>
  <c r="N339" i="2"/>
  <c r="M354" i="2"/>
  <c r="N355" i="2"/>
  <c r="M360" i="2"/>
  <c r="M362" i="2"/>
  <c r="M366" i="2"/>
  <c r="N386" i="2"/>
  <c r="N390" i="2"/>
  <c r="M422" i="2"/>
  <c r="N424" i="2"/>
  <c r="M427" i="2"/>
  <c r="M437" i="2"/>
  <c r="M342" i="2"/>
  <c r="N383" i="2"/>
  <c r="M405" i="2"/>
  <c r="M425" i="2"/>
  <c r="M435" i="2"/>
  <c r="N258" i="2"/>
  <c r="M261" i="2"/>
  <c r="M265" i="2"/>
  <c r="M269" i="2"/>
  <c r="N279" i="2"/>
  <c r="M280" i="2"/>
  <c r="M281" i="2"/>
  <c r="N286" i="2"/>
  <c r="N289" i="2"/>
  <c r="N293" i="2"/>
  <c r="N311" i="2"/>
  <c r="N312" i="2"/>
  <c r="N315" i="2"/>
  <c r="N316" i="2"/>
  <c r="N317" i="2"/>
  <c r="N320" i="2"/>
  <c r="M323" i="2"/>
  <c r="N328" i="2"/>
  <c r="N329" i="2"/>
  <c r="M335" i="2"/>
  <c r="M356" i="2"/>
  <c r="N356" i="2" s="1"/>
  <c r="M358" i="2"/>
  <c r="N359" i="2"/>
  <c r="M361" i="2"/>
  <c r="M368" i="2"/>
  <c r="M372" i="2"/>
  <c r="N392" i="2"/>
  <c r="M410" i="2"/>
  <c r="M415" i="2"/>
  <c r="N428" i="2"/>
  <c r="M432" i="2"/>
  <c r="N252" i="2"/>
  <c r="N256" i="2"/>
  <c r="N275" i="2"/>
  <c r="N296" i="2"/>
  <c r="N300" i="2"/>
  <c r="N303" i="2"/>
  <c r="N306" i="2"/>
  <c r="N318" i="2"/>
  <c r="N326" i="2"/>
  <c r="N385" i="2"/>
  <c r="M419" i="2"/>
  <c r="N436" i="2"/>
  <c r="N338" i="2"/>
  <c r="N340" i="2"/>
  <c r="N345" i="2"/>
  <c r="N349" i="2"/>
  <c r="N353" i="2"/>
  <c r="N357" i="2"/>
  <c r="N363" i="2"/>
  <c r="N367" i="2"/>
  <c r="N373" i="2"/>
  <c r="N374" i="2"/>
  <c r="N378" i="2"/>
  <c r="N380" i="2"/>
  <c r="N388" i="2"/>
  <c r="N393" i="2"/>
  <c r="N399" i="2"/>
  <c r="N402" i="2"/>
  <c r="N403" i="2"/>
  <c r="N417" i="2"/>
  <c r="N430" i="2"/>
  <c r="N440" i="2"/>
  <c r="N463" i="2"/>
  <c r="N482" i="2"/>
  <c r="M448" i="2"/>
  <c r="N448" i="2" s="1"/>
  <c r="N471" i="2"/>
  <c r="N478" i="2"/>
  <c r="M365" i="2"/>
  <c r="N369" i="2"/>
  <c r="N370" i="2"/>
  <c r="N375" i="2"/>
  <c r="M381" i="2"/>
  <c r="M395" i="2"/>
  <c r="N400" i="2"/>
  <c r="N401" i="2"/>
  <c r="M407" i="2"/>
  <c r="M408" i="2"/>
  <c r="N408" i="2" s="1"/>
  <c r="N411" i="2"/>
  <c r="M412" i="2"/>
  <c r="N413" i="2"/>
  <c r="M420" i="2"/>
  <c r="M421" i="2"/>
  <c r="M426" i="2"/>
  <c r="M434" i="2"/>
  <c r="M438" i="2"/>
  <c r="M439" i="2"/>
  <c r="M441" i="2"/>
  <c r="N444" i="2"/>
  <c r="N445" i="2"/>
  <c r="N446" i="2"/>
  <c r="M447" i="2"/>
  <c r="N447" i="2" s="1"/>
  <c r="M465" i="2"/>
  <c r="N466" i="2"/>
  <c r="N337" i="2"/>
  <c r="N343" i="2"/>
  <c r="M346" i="2"/>
  <c r="N347" i="2"/>
  <c r="M350" i="2"/>
  <c r="N351" i="2"/>
  <c r="N384" i="2"/>
  <c r="N387" i="2"/>
  <c r="N391" i="2"/>
  <c r="N396" i="2"/>
  <c r="N398" i="2"/>
  <c r="N429" i="2"/>
  <c r="M449" i="2"/>
  <c r="N449" i="2" s="1"/>
  <c r="M565" i="2"/>
  <c r="N565" i="2" s="1"/>
  <c r="N470" i="2"/>
  <c r="N474" i="2"/>
  <c r="N481" i="2"/>
  <c r="N493" i="2"/>
  <c r="N497" i="2"/>
  <c r="K547" i="2"/>
  <c r="K673" i="2" s="1"/>
  <c r="J673" i="2"/>
  <c r="M551" i="2"/>
  <c r="N551" i="2" s="1"/>
  <c r="N553" i="2"/>
  <c r="N562" i="2"/>
  <c r="M575" i="2"/>
  <c r="N575" i="2" s="1"/>
  <c r="M581" i="2"/>
  <c r="N581" i="2" s="1"/>
  <c r="M566" i="2"/>
  <c r="N566" i="2" s="1"/>
  <c r="M573" i="2"/>
  <c r="N573" i="2" s="1"/>
  <c r="M576" i="2"/>
  <c r="N576" i="2" s="1"/>
  <c r="M591" i="2"/>
  <c r="N591" i="2" s="1"/>
  <c r="M600" i="2"/>
  <c r="N600" i="2" s="1"/>
  <c r="M608" i="2"/>
  <c r="N608" i="2" s="1"/>
  <c r="M550" i="2"/>
  <c r="N550" i="2" s="1"/>
  <c r="N552" i="2"/>
  <c r="M574" i="2"/>
  <c r="N574" i="2" s="1"/>
  <c r="M592" i="2"/>
  <c r="N592" i="2" s="1"/>
  <c r="M601" i="2"/>
  <c r="N601" i="2" s="1"/>
  <c r="M614" i="2"/>
  <c r="N614" i="2" s="1"/>
  <c r="M632" i="2"/>
  <c r="N632" i="2" s="1"/>
  <c r="M636" i="2"/>
  <c r="N636" i="2" s="1"/>
  <c r="M640" i="2"/>
  <c r="N640" i="2" s="1"/>
  <c r="M494" i="2"/>
  <c r="N495" i="2"/>
  <c r="M499" i="2"/>
  <c r="N500" i="2"/>
  <c r="N548" i="2"/>
  <c r="M561" i="2"/>
  <c r="N561" i="2" s="1"/>
  <c r="M563" i="2"/>
  <c r="N563" i="2" s="1"/>
  <c r="M570" i="2"/>
  <c r="N570" i="2" s="1"/>
  <c r="M580" i="2"/>
  <c r="N580" i="2" s="1"/>
  <c r="M615" i="2"/>
  <c r="N615" i="2" s="1"/>
  <c r="M637" i="2"/>
  <c r="N637" i="2" s="1"/>
  <c r="M571" i="2"/>
  <c r="N571" i="2" s="1"/>
  <c r="M587" i="2"/>
  <c r="N587" i="2" s="1"/>
  <c r="M588" i="2"/>
  <c r="N588" i="2" s="1"/>
  <c r="M589" i="2"/>
  <c r="N589" i="2" s="1"/>
  <c r="M617" i="2"/>
  <c r="N617" i="2" s="1"/>
  <c r="M9" i="1"/>
  <c r="M38" i="1"/>
  <c r="N38" i="1" s="1"/>
  <c r="N19" i="1"/>
  <c r="N4" i="1"/>
  <c r="M7" i="1"/>
  <c r="N7" i="1" s="1"/>
  <c r="M13" i="1"/>
  <c r="M16" i="1"/>
  <c r="M20" i="1"/>
  <c r="N31" i="1"/>
  <c r="M34" i="1"/>
  <c r="N34" i="1"/>
  <c r="M42" i="1"/>
  <c r="N42" i="1" s="1"/>
  <c r="M49" i="1"/>
  <c r="N49" i="1" s="1"/>
  <c r="M56" i="1"/>
  <c r="N56" i="1" s="1"/>
  <c r="M71" i="1"/>
  <c r="M75" i="1"/>
  <c r="M79" i="1"/>
  <c r="M83" i="1"/>
  <c r="M122" i="1"/>
  <c r="N122" i="1" s="1"/>
  <c r="M124" i="1"/>
  <c r="M126" i="1"/>
  <c r="M154" i="1"/>
  <c r="M32" i="1"/>
  <c r="N32" i="1" s="1"/>
  <c r="N50" i="1"/>
  <c r="M11" i="1"/>
  <c r="N11" i="1" s="1"/>
  <c r="M37" i="1"/>
  <c r="N37" i="1" s="1"/>
  <c r="M18" i="1"/>
  <c r="N18" i="1" s="1"/>
  <c r="N47" i="1"/>
  <c r="M47" i="1"/>
  <c r="N51" i="1"/>
  <c r="M54" i="1"/>
  <c r="N54" i="1" s="1"/>
  <c r="M150" i="1"/>
  <c r="M8" i="1"/>
  <c r="N8" i="1" s="1"/>
  <c r="J111" i="1"/>
  <c r="K6" i="1"/>
  <c r="M52" i="1"/>
  <c r="N52" i="1"/>
  <c r="M14" i="1"/>
  <c r="N14" i="1" s="1"/>
  <c r="N21" i="1"/>
  <c r="N5" i="1"/>
  <c r="N10" i="1"/>
  <c r="N12" i="1"/>
  <c r="M17" i="1"/>
  <c r="M24" i="1"/>
  <c r="M25" i="1"/>
  <c r="N25" i="1" s="1"/>
  <c r="N33" i="1"/>
  <c r="M36" i="1"/>
  <c r="N43" i="1"/>
  <c r="N44" i="1"/>
  <c r="N46" i="1"/>
  <c r="M48" i="1"/>
  <c r="N59" i="1"/>
  <c r="N63" i="1"/>
  <c r="N64" i="1"/>
  <c r="N68" i="1"/>
  <c r="M86" i="1"/>
  <c r="N86" i="1" s="1"/>
  <c r="N107" i="1"/>
  <c r="J207" i="1"/>
  <c r="N28" i="1"/>
  <c r="N39" i="1"/>
  <c r="N40" i="1"/>
  <c r="N55" i="1"/>
  <c r="N74" i="1"/>
  <c r="N78" i="1"/>
  <c r="N82" i="1"/>
  <c r="N87" i="1"/>
  <c r="N91" i="1"/>
  <c r="N95" i="1"/>
  <c r="N99" i="1"/>
  <c r="N103" i="1"/>
  <c r="N105" i="1"/>
  <c r="K121" i="1"/>
  <c r="N123" i="1"/>
  <c r="N139" i="1"/>
  <c r="N146" i="1"/>
  <c r="N147" i="1"/>
  <c r="M153" i="1"/>
  <c r="N153" i="1"/>
  <c r="N156" i="1"/>
  <c r="N158" i="1"/>
  <c r="M163" i="1"/>
  <c r="N163" i="1"/>
  <c r="N169" i="1"/>
  <c r="M226" i="1"/>
  <c r="N226" i="1" s="1"/>
  <c r="N238" i="1"/>
  <c r="N249" i="1"/>
  <c r="M262" i="1"/>
  <c r="M276" i="1"/>
  <c r="N276" i="1"/>
  <c r="M127" i="1"/>
  <c r="M142" i="1"/>
  <c r="N142" i="1" s="1"/>
  <c r="M161" i="1"/>
  <c r="M184" i="1"/>
  <c r="N184" i="1" s="1"/>
  <c r="M233" i="1"/>
  <c r="N250" i="1"/>
  <c r="M250" i="1"/>
  <c r="M270" i="1"/>
  <c r="N270" i="1" s="1"/>
  <c r="M292" i="1"/>
  <c r="M304" i="1"/>
  <c r="M3" i="1"/>
  <c r="M15" i="1"/>
  <c r="M22" i="1"/>
  <c r="M53" i="1"/>
  <c r="M57" i="1"/>
  <c r="N58" i="1"/>
  <c r="M60" i="1"/>
  <c r="M61" i="1"/>
  <c r="N62" i="1"/>
  <c r="M65" i="1"/>
  <c r="N66" i="1"/>
  <c r="M69" i="1"/>
  <c r="M70" i="1"/>
  <c r="N72" i="1"/>
  <c r="N73" i="1"/>
  <c r="N76" i="1"/>
  <c r="N77" i="1"/>
  <c r="N80" i="1"/>
  <c r="N81" i="1"/>
  <c r="N84" i="1"/>
  <c r="N85" i="1"/>
  <c r="N88" i="1"/>
  <c r="N89" i="1"/>
  <c r="N92" i="1"/>
  <c r="N93" i="1"/>
  <c r="N96" i="1"/>
  <c r="N97" i="1"/>
  <c r="N100" i="1"/>
  <c r="N101" i="1"/>
  <c r="M108" i="1"/>
  <c r="N109" i="1"/>
  <c r="N120" i="1"/>
  <c r="N125" i="1"/>
  <c r="M135" i="1"/>
  <c r="N136" i="1"/>
  <c r="M138" i="1"/>
  <c r="M140" i="1"/>
  <c r="M141" i="1"/>
  <c r="M143" i="1"/>
  <c r="N144" i="1"/>
  <c r="M145" i="1"/>
  <c r="N145" i="1" s="1"/>
  <c r="N151" i="1"/>
  <c r="N152" i="1"/>
  <c r="N164" i="1"/>
  <c r="M168" i="1"/>
  <c r="N168" i="1" s="1"/>
  <c r="M174" i="1"/>
  <c r="M176" i="1"/>
  <c r="M179" i="1"/>
  <c r="M185" i="1"/>
  <c r="M205" i="1"/>
  <c r="M240" i="1"/>
  <c r="M264" i="1"/>
  <c r="N264" i="1" s="1"/>
  <c r="M278" i="1"/>
  <c r="N278" i="1" s="1"/>
  <c r="N45" i="1"/>
  <c r="N23" i="1"/>
  <c r="N29" i="1"/>
  <c r="N3" i="1"/>
  <c r="N26" i="1"/>
  <c r="M130" i="1"/>
  <c r="M132" i="1"/>
  <c r="N133" i="1"/>
  <c r="N137" i="1"/>
  <c r="N148" i="1"/>
  <c r="M166" i="1"/>
  <c r="N170" i="1"/>
  <c r="M180" i="1"/>
  <c r="N180" i="1"/>
  <c r="M223" i="1"/>
  <c r="N223" i="1" s="1"/>
  <c r="M237" i="1"/>
  <c r="M242" i="1"/>
  <c r="N242" i="1" s="1"/>
  <c r="M248" i="1"/>
  <c r="M299" i="1"/>
  <c r="N299" i="1"/>
  <c r="N171" i="1"/>
  <c r="N173" i="1"/>
  <c r="N175" i="1"/>
  <c r="N178" i="1"/>
  <c r="N183" i="1"/>
  <c r="N189" i="1"/>
  <c r="N190" i="1"/>
  <c r="N204" i="1"/>
  <c r="N206" i="1"/>
  <c r="N218" i="1"/>
  <c r="J634" i="1"/>
  <c r="J635" i="1" s="1"/>
  <c r="K219" i="1"/>
  <c r="K634" i="1" s="1"/>
  <c r="N222" i="1"/>
  <c r="N229" i="1"/>
  <c r="N231" i="1"/>
  <c r="N232" i="1"/>
  <c r="N236" i="1"/>
  <c r="N245" i="1"/>
  <c r="N247" i="1"/>
  <c r="N255" i="1"/>
  <c r="M263" i="1"/>
  <c r="N265" i="1"/>
  <c r="N271" i="1"/>
  <c r="N272" i="1"/>
  <c r="M274" i="1"/>
  <c r="M277" i="1"/>
  <c r="N279" i="1"/>
  <c r="N282" i="1"/>
  <c r="N283" i="1"/>
  <c r="N290" i="1"/>
  <c r="M291" i="1"/>
  <c r="N294" i="1"/>
  <c r="N297" i="1"/>
  <c r="M298" i="1"/>
  <c r="N300" i="1"/>
  <c r="N302" i="1"/>
  <c r="N309" i="1"/>
  <c r="N314" i="1"/>
  <c r="N319" i="1"/>
  <c r="M332" i="1"/>
  <c r="N332" i="1" s="1"/>
  <c r="M334" i="1"/>
  <c r="M348" i="1"/>
  <c r="M367" i="1"/>
  <c r="N367" i="1" s="1"/>
  <c r="M382" i="1"/>
  <c r="N382" i="1"/>
  <c r="N390" i="1"/>
  <c r="M395" i="1"/>
  <c r="N188" i="1"/>
  <c r="N243" i="1"/>
  <c r="N252" i="1"/>
  <c r="N260" i="1"/>
  <c r="M268" i="1"/>
  <c r="N273" i="1"/>
  <c r="N280" i="1"/>
  <c r="N288" i="1"/>
  <c r="N295" i="1"/>
  <c r="M306" i="1"/>
  <c r="M313" i="1"/>
  <c r="M323" i="1"/>
  <c r="M335" i="1"/>
  <c r="N335" i="1" s="1"/>
  <c r="M339" i="1"/>
  <c r="M375" i="1"/>
  <c r="N375" i="1" s="1"/>
  <c r="N379" i="1"/>
  <c r="M391" i="1"/>
  <c r="N391" i="1" s="1"/>
  <c r="M397" i="1"/>
  <c r="N397" i="1" s="1"/>
  <c r="M266" i="1"/>
  <c r="M301" i="1"/>
  <c r="N301" i="1" s="1"/>
  <c r="M310" i="1"/>
  <c r="M315" i="1"/>
  <c r="N315" i="1" s="1"/>
  <c r="M320" i="1"/>
  <c r="N361" i="1"/>
  <c r="M368" i="1"/>
  <c r="M376" i="1"/>
  <c r="N376" i="1" s="1"/>
  <c r="M383" i="1"/>
  <c r="M398" i="1"/>
  <c r="M182" i="1"/>
  <c r="N182" i="1" s="1"/>
  <c r="M230" i="1"/>
  <c r="N230" i="1" s="1"/>
  <c r="N239" i="1"/>
  <c r="M246" i="1"/>
  <c r="M254" i="1"/>
  <c r="N254" i="1" s="1"/>
  <c r="M256" i="1"/>
  <c r="M258" i="1"/>
  <c r="N267" i="1"/>
  <c r="N284" i="1"/>
  <c r="N285" i="1"/>
  <c r="M286" i="1"/>
  <c r="N293" i="1"/>
  <c r="N303" i="1"/>
  <c r="N305" i="1"/>
  <c r="M327" i="1"/>
  <c r="N331" i="1"/>
  <c r="M331" i="1"/>
  <c r="M346" i="1"/>
  <c r="M362" i="1"/>
  <c r="N362" i="1" s="1"/>
  <c r="N369" i="1"/>
  <c r="M369" i="1"/>
  <c r="N381" i="1"/>
  <c r="M389" i="1"/>
  <c r="N389" i="1" s="1"/>
  <c r="M394" i="1"/>
  <c r="N394" i="1" s="1"/>
  <c r="N400" i="1"/>
  <c r="M400" i="1"/>
  <c r="I635" i="1"/>
  <c r="N322" i="1"/>
  <c r="N326" i="1"/>
  <c r="N329" i="1"/>
  <c r="N338" i="1"/>
  <c r="N344" i="1"/>
  <c r="N345" i="1"/>
  <c r="N353" i="1"/>
  <c r="N370" i="1"/>
  <c r="N388" i="1"/>
  <c r="N393" i="1"/>
  <c r="N401" i="1"/>
  <c r="N415" i="1"/>
  <c r="N419" i="1"/>
  <c r="M421" i="1"/>
  <c r="N421" i="1" s="1"/>
  <c r="N422" i="1"/>
  <c r="M424" i="1"/>
  <c r="N426" i="1"/>
  <c r="N434" i="1"/>
  <c r="M434" i="1"/>
  <c r="M438" i="1"/>
  <c r="N443" i="1"/>
  <c r="M448" i="1"/>
  <c r="M459" i="1"/>
  <c r="N459" i="1"/>
  <c r="M467" i="1"/>
  <c r="N467" i="1" s="1"/>
  <c r="M473" i="1"/>
  <c r="N328" i="1"/>
  <c r="N336" i="1"/>
  <c r="N350" i="1"/>
  <c r="N363" i="1"/>
  <c r="N372" i="1"/>
  <c r="N385" i="1"/>
  <c r="N402" i="1"/>
  <c r="N408" i="1"/>
  <c r="M411" i="1"/>
  <c r="N411" i="1" s="1"/>
  <c r="M417" i="1"/>
  <c r="N417" i="1" s="1"/>
  <c r="M428" i="1"/>
  <c r="M431" i="1"/>
  <c r="M435" i="1"/>
  <c r="M444" i="1"/>
  <c r="N444" i="1" s="1"/>
  <c r="N446" i="1"/>
  <c r="M446" i="1"/>
  <c r="M457" i="1"/>
  <c r="M501" i="1"/>
  <c r="M420" i="1"/>
  <c r="M423" i="1"/>
  <c r="M429" i="1"/>
  <c r="M432" i="1"/>
  <c r="N432" i="1" s="1"/>
  <c r="N439" i="1"/>
  <c r="M442" i="1"/>
  <c r="N442" i="1" s="1"/>
  <c r="M449" i="1"/>
  <c r="M455" i="1"/>
  <c r="N455" i="1"/>
  <c r="M471" i="1"/>
  <c r="N471" i="1" s="1"/>
  <c r="M478" i="1"/>
  <c r="N478" i="1" s="1"/>
  <c r="M481" i="1"/>
  <c r="M485" i="1"/>
  <c r="M330" i="1"/>
  <c r="M333" i="1"/>
  <c r="N333" i="1" s="1"/>
  <c r="M343" i="1"/>
  <c r="M352" i="1"/>
  <c r="N352" i="1" s="1"/>
  <c r="N354" i="1"/>
  <c r="M359" i="1"/>
  <c r="N360" i="1"/>
  <c r="M365" i="1"/>
  <c r="N365" i="1" s="1"/>
  <c r="M374" i="1"/>
  <c r="N378" i="1"/>
  <c r="N380" i="1"/>
  <c r="M387" i="1"/>
  <c r="N387" i="1" s="1"/>
  <c r="M405" i="1"/>
  <c r="N406" i="1"/>
  <c r="N407" i="1"/>
  <c r="M410" i="1"/>
  <c r="N410" i="1" s="1"/>
  <c r="N416" i="1"/>
  <c r="M418" i="1"/>
  <c r="N425" i="1"/>
  <c r="N427" i="1"/>
  <c r="M433" i="1"/>
  <c r="M440" i="1"/>
  <c r="M445" i="1"/>
  <c r="M452" i="1"/>
  <c r="N452" i="1"/>
  <c r="N458" i="1"/>
  <c r="M479" i="1"/>
  <c r="N479" i="1" s="1"/>
  <c r="M495" i="1"/>
  <c r="N413" i="1"/>
  <c r="N454" i="1"/>
  <c r="N463" i="1"/>
  <c r="N472" i="1"/>
  <c r="N474" i="1"/>
  <c r="N477" i="1"/>
  <c r="N480" i="1"/>
  <c r="N484" i="1"/>
  <c r="N490" i="1"/>
  <c r="N496" i="1"/>
  <c r="N498" i="1"/>
  <c r="N500" i="1"/>
  <c r="N505" i="1"/>
  <c r="N508" i="1"/>
  <c r="N510" i="1"/>
  <c r="M543" i="1"/>
  <c r="M561" i="1"/>
  <c r="N493" i="1"/>
  <c r="M502" i="1"/>
  <c r="M507" i="1"/>
  <c r="M517" i="1"/>
  <c r="M545" i="1"/>
  <c r="M436" i="1"/>
  <c r="M437" i="1"/>
  <c r="M441" i="1"/>
  <c r="M447" i="1"/>
  <c r="N447" i="1" s="1"/>
  <c r="N450" i="1"/>
  <c r="M451" i="1"/>
  <c r="N451" i="1" s="1"/>
  <c r="M456" i="1"/>
  <c r="N456" i="1" s="1"/>
  <c r="M460" i="1"/>
  <c r="M461" i="1"/>
  <c r="N462" i="1"/>
  <c r="N468" i="1"/>
  <c r="M469" i="1"/>
  <c r="N469" i="1" s="1"/>
  <c r="M470" i="1"/>
  <c r="N475" i="1"/>
  <c r="N476" i="1"/>
  <c r="N482" i="1"/>
  <c r="N483" i="1"/>
  <c r="M511" i="1"/>
  <c r="M513" i="1"/>
  <c r="M518" i="1"/>
  <c r="M526" i="1"/>
  <c r="N526" i="1" s="1"/>
  <c r="M530" i="1"/>
  <c r="M453" i="1"/>
  <c r="M464" i="1"/>
  <c r="N465" i="1"/>
  <c r="N497" i="1"/>
  <c r="M499" i="1"/>
  <c r="M503" i="1"/>
  <c r="N503" i="1" s="1"/>
  <c r="N506" i="1"/>
  <c r="N512" i="1"/>
  <c r="M514" i="1"/>
  <c r="N514" i="1" s="1"/>
  <c r="M521" i="1"/>
  <c r="N521" i="1"/>
  <c r="M527" i="1"/>
  <c r="M536" i="1"/>
  <c r="M541" i="1"/>
  <c r="N541" i="1"/>
  <c r="M548" i="1"/>
  <c r="N548" i="1" s="1"/>
  <c r="N486" i="1"/>
  <c r="N504" i="1"/>
  <c r="N509" i="1"/>
  <c r="N524" i="1"/>
  <c r="N535" i="1"/>
  <c r="N540" i="1"/>
  <c r="N542" i="1"/>
  <c r="N544" i="1"/>
  <c r="N546" i="1"/>
  <c r="N549" i="1"/>
  <c r="N550" i="1"/>
  <c r="N551" i="1"/>
  <c r="N552" i="1"/>
  <c r="N556" i="1"/>
  <c r="N560" i="1"/>
  <c r="N562" i="1"/>
  <c r="M566" i="1"/>
  <c r="N567" i="1"/>
  <c r="N570" i="1"/>
  <c r="M570" i="1"/>
  <c r="N571" i="1"/>
  <c r="N581" i="1"/>
  <c r="M581" i="1"/>
  <c r="M590" i="1"/>
  <c r="N590" i="1" s="1"/>
  <c r="M602" i="1"/>
  <c r="N602" i="1" s="1"/>
  <c r="N519" i="1"/>
  <c r="N528" i="1"/>
  <c r="N531" i="1"/>
  <c r="N555" i="1"/>
  <c r="M582" i="1"/>
  <c r="N582" i="1" s="1"/>
  <c r="N584" i="1"/>
  <c r="N586" i="1"/>
  <c r="M591" i="1"/>
  <c r="M598" i="1"/>
  <c r="M568" i="1"/>
  <c r="M572" i="1"/>
  <c r="N575" i="1"/>
  <c r="N577" i="1"/>
  <c r="M579" i="1"/>
  <c r="M601" i="1"/>
  <c r="N601" i="1" s="1"/>
  <c r="M525" i="1"/>
  <c r="N533" i="1"/>
  <c r="N534" i="1"/>
  <c r="N547" i="1"/>
  <c r="N553" i="1"/>
  <c r="M554" i="1"/>
  <c r="N554" i="1" s="1"/>
  <c r="N557" i="1"/>
  <c r="M558" i="1"/>
  <c r="N558" i="1" s="1"/>
  <c r="N563" i="1"/>
  <c r="M564" i="1"/>
  <c r="M580" i="1"/>
  <c r="M587" i="1"/>
  <c r="M589" i="1"/>
  <c r="M593" i="1"/>
  <c r="N593" i="1" s="1"/>
  <c r="M594" i="1"/>
  <c r="N594" i="1" s="1"/>
  <c r="M595" i="1"/>
  <c r="N595" i="1" s="1"/>
  <c r="M599" i="1"/>
  <c r="N599" i="1" s="1"/>
  <c r="N600" i="1"/>
  <c r="N621" i="1"/>
  <c r="N625" i="1"/>
  <c r="N629" i="1"/>
  <c r="N633" i="1"/>
  <c r="M697" i="1"/>
  <c r="N697" i="1" s="1"/>
  <c r="M705" i="1"/>
  <c r="N705" i="1" s="1"/>
  <c r="N720" i="1"/>
  <c r="M720" i="1"/>
  <c r="M765" i="1"/>
  <c r="N765" i="1" s="1"/>
  <c r="J782" i="1"/>
  <c r="K679" i="1"/>
  <c r="K782" i="1" s="1"/>
  <c r="M684" i="1"/>
  <c r="N684" i="1" s="1"/>
  <c r="M698" i="1"/>
  <c r="N698" i="1" s="1"/>
  <c r="M708" i="1"/>
  <c r="N708" i="1" s="1"/>
  <c r="N721" i="1"/>
  <c r="M721" i="1"/>
  <c r="M574" i="1"/>
  <c r="M576" i="1"/>
  <c r="N576" i="1" s="1"/>
  <c r="M578" i="1"/>
  <c r="M583" i="1"/>
  <c r="N583" i="1" s="1"/>
  <c r="M585" i="1"/>
  <c r="N588" i="1"/>
  <c r="N592" i="1"/>
  <c r="M597" i="1"/>
  <c r="N597" i="1" s="1"/>
  <c r="N619" i="1"/>
  <c r="N622" i="1"/>
  <c r="N623" i="1"/>
  <c r="N626" i="1"/>
  <c r="N627" i="1"/>
  <c r="N630" i="1"/>
  <c r="N631" i="1"/>
  <c r="M685" i="1"/>
  <c r="N685" i="1" s="1"/>
  <c r="M703" i="1"/>
  <c r="N703" i="1" s="1"/>
  <c r="M706" i="1"/>
  <c r="N706" i="1" s="1"/>
  <c r="M680" i="1"/>
  <c r="N680" i="1" s="1"/>
  <c r="M683" i="1"/>
  <c r="N683" i="1" s="1"/>
  <c r="M707" i="1"/>
  <c r="N707" i="1" s="1"/>
  <c r="N712" i="1"/>
  <c r="M764" i="1"/>
  <c r="N764" i="1" s="1"/>
  <c r="M693" i="1"/>
  <c r="N693" i="1" s="1"/>
  <c r="M694" i="1"/>
  <c r="N694" i="1" s="1"/>
  <c r="M695" i="1"/>
  <c r="N695" i="1" s="1"/>
  <c r="M712" i="1"/>
  <c r="M713" i="1"/>
  <c r="N713" i="1" s="1"/>
  <c r="M723" i="1"/>
  <c r="N723" i="1" s="1"/>
  <c r="M724" i="1"/>
  <c r="N724" i="1" s="1"/>
  <c r="M732" i="1"/>
  <c r="N732" i="1" s="1"/>
  <c r="M733" i="1"/>
  <c r="N733" i="1" s="1"/>
  <c r="M740" i="1"/>
  <c r="N740" i="1" s="1"/>
  <c r="M746" i="1"/>
  <c r="N746" i="1" s="1"/>
  <c r="M747" i="1"/>
  <c r="N747" i="1" s="1"/>
  <c r="N646" i="1"/>
  <c r="N205" i="1" l="1"/>
  <c r="N499" i="2"/>
  <c r="N410" i="2"/>
  <c r="N209" i="2"/>
  <c r="N66" i="2"/>
  <c r="N473" i="2"/>
  <c r="N222" i="2"/>
  <c r="N36" i="2"/>
  <c r="N274" i="2"/>
  <c r="N358" i="2"/>
  <c r="N435" i="2"/>
  <c r="N264" i="2"/>
  <c r="N59" i="2"/>
  <c r="N362" i="2"/>
  <c r="N278" i="2"/>
  <c r="N137" i="2"/>
  <c r="N277" i="2"/>
  <c r="N280" i="2"/>
  <c r="N381" i="2"/>
  <c r="N262" i="2"/>
  <c r="N377" i="2"/>
  <c r="N24" i="2"/>
  <c r="N203" i="2"/>
  <c r="N441" i="2"/>
  <c r="N419" i="2"/>
  <c r="N437" i="2"/>
  <c r="N366" i="2"/>
  <c r="N360" i="2"/>
  <c r="N354" i="2"/>
  <c r="N249" i="2"/>
  <c r="N70" i="2"/>
  <c r="N145" i="2"/>
  <c r="N126" i="2"/>
  <c r="N119" i="2"/>
  <c r="N469" i="2"/>
  <c r="N480" i="2"/>
  <c r="N288" i="2"/>
  <c r="N20" i="2"/>
  <c r="N308" i="2"/>
  <c r="N71" i="2"/>
  <c r="N187" i="2"/>
  <c r="N483" i="2"/>
  <c r="N368" i="2"/>
  <c r="N405" i="2"/>
  <c r="N427" i="2"/>
  <c r="N268" i="2"/>
  <c r="N324" i="2"/>
  <c r="N198" i="2"/>
  <c r="N148" i="2"/>
  <c r="N68" i="2"/>
  <c r="N51" i="2"/>
  <c r="N95" i="2"/>
  <c r="N404" i="2"/>
  <c r="N330" i="2"/>
  <c r="N287" i="2"/>
  <c r="N219" i="2"/>
  <c r="N44" i="2"/>
  <c r="J503" i="2"/>
  <c r="M547" i="2"/>
  <c r="M673" i="2" s="1"/>
  <c r="N465" i="2"/>
  <c r="N346" i="2"/>
  <c r="N420" i="2"/>
  <c r="N432" i="2"/>
  <c r="N415" i="2"/>
  <c r="N425" i="2"/>
  <c r="N395" i="2"/>
  <c r="N342" i="2"/>
  <c r="N407" i="2"/>
  <c r="N272" i="2"/>
  <c r="N265" i="2"/>
  <c r="N281" i="2"/>
  <c r="N213" i="2"/>
  <c r="M188" i="2"/>
  <c r="N179" i="2"/>
  <c r="N332" i="2"/>
  <c r="N309" i="2"/>
  <c r="N273" i="2"/>
  <c r="N261" i="2"/>
  <c r="N99" i="2"/>
  <c r="N63" i="2"/>
  <c r="N45" i="2"/>
  <c r="N113" i="2"/>
  <c r="N65" i="2"/>
  <c r="N118" i="2"/>
  <c r="M85" i="2"/>
  <c r="M159" i="2" s="1"/>
  <c r="N40" i="2"/>
  <c r="N89" i="2"/>
  <c r="N9" i="2"/>
  <c r="N412" i="2"/>
  <c r="N426" i="2"/>
  <c r="N335" i="2"/>
  <c r="N434" i="2"/>
  <c r="N158" i="2"/>
  <c r="N269" i="2"/>
  <c r="N231" i="2"/>
  <c r="N169" i="2"/>
  <c r="M7" i="2"/>
  <c r="N7" i="2" s="1"/>
  <c r="N105" i="2"/>
  <c r="N111" i="2"/>
  <c r="N84" i="2"/>
  <c r="N42" i="2"/>
  <c r="N108" i="2"/>
  <c r="N28" i="2"/>
  <c r="N494" i="2"/>
  <c r="N439" i="2"/>
  <c r="N421" i="2"/>
  <c r="N438" i="2"/>
  <c r="N372" i="2"/>
  <c r="N361" i="2"/>
  <c r="N223" i="2"/>
  <c r="N323" i="2"/>
  <c r="K503" i="2"/>
  <c r="N124" i="2"/>
  <c r="N103" i="2"/>
  <c r="N55" i="2"/>
  <c r="N136" i="2"/>
  <c r="N92" i="2"/>
  <c r="N86" i="2"/>
  <c r="N73" i="2"/>
  <c r="N15" i="2"/>
  <c r="N6" i="2"/>
  <c r="N16" i="2"/>
  <c r="N350" i="2"/>
  <c r="N365" i="2"/>
  <c r="N422" i="2"/>
  <c r="N282" i="2"/>
  <c r="N230" i="2"/>
  <c r="N194" i="2"/>
  <c r="N183" i="2"/>
  <c r="N101" i="2"/>
  <c r="N11" i="2"/>
  <c r="N10" i="2"/>
  <c r="N67" i="2"/>
  <c r="N14" i="2"/>
  <c r="N525" i="1"/>
  <c r="N589" i="1"/>
  <c r="N585" i="1"/>
  <c r="N572" i="1"/>
  <c r="N564" i="1"/>
  <c r="N598" i="1"/>
  <c r="N578" i="1"/>
  <c r="N566" i="1"/>
  <c r="N527" i="1"/>
  <c r="N513" i="1"/>
  <c r="N499" i="1"/>
  <c r="N464" i="1"/>
  <c r="N545" i="1"/>
  <c r="N507" i="1"/>
  <c r="N561" i="1"/>
  <c r="N440" i="1"/>
  <c r="N433" i="1"/>
  <c r="N418" i="1"/>
  <c r="N485" i="1"/>
  <c r="N460" i="1"/>
  <c r="N449" i="1"/>
  <c r="N429" i="1"/>
  <c r="N420" i="1"/>
  <c r="N374" i="1"/>
  <c r="N343" i="1"/>
  <c r="N501" i="1"/>
  <c r="N457" i="1"/>
  <c r="N435" i="1"/>
  <c r="N428" i="1"/>
  <c r="N448" i="1"/>
  <c r="N438" i="1"/>
  <c r="N346" i="1"/>
  <c r="N327" i="1"/>
  <c r="N383" i="1"/>
  <c r="N368" i="1"/>
  <c r="N320" i="1"/>
  <c r="N310" i="1"/>
  <c r="N266" i="1"/>
  <c r="N246" i="1"/>
  <c r="N313" i="1"/>
  <c r="N268" i="1"/>
  <c r="N334" i="1"/>
  <c r="M219" i="1"/>
  <c r="N219" i="1" s="1"/>
  <c r="N132" i="1"/>
  <c r="N240" i="1"/>
  <c r="N185" i="1"/>
  <c r="N176" i="1"/>
  <c r="N140" i="1"/>
  <c r="N292" i="1"/>
  <c r="N233" i="1"/>
  <c r="N57" i="1"/>
  <c r="N262" i="1"/>
  <c r="N69" i="1"/>
  <c r="N60" i="1"/>
  <c r="N15" i="1"/>
  <c r="N53" i="1"/>
  <c r="N126" i="1"/>
  <c r="N79" i="1"/>
  <c r="N71" i="1"/>
  <c r="N36" i="1"/>
  <c r="N16" i="1"/>
  <c r="N24" i="1"/>
  <c r="M679" i="1"/>
  <c r="M782" i="1" s="1"/>
  <c r="N453" i="1"/>
  <c r="N436" i="1"/>
  <c r="N22" i="1"/>
  <c r="N263" i="1"/>
  <c r="N135" i="1"/>
  <c r="N291" i="1"/>
  <c r="M121" i="1"/>
  <c r="N121" i="1"/>
  <c r="N61" i="1"/>
  <c r="M6" i="1"/>
  <c r="N587" i="1"/>
  <c r="N580" i="1"/>
  <c r="N579" i="1"/>
  <c r="N568" i="1"/>
  <c r="N591" i="1"/>
  <c r="N574" i="1"/>
  <c r="N536" i="1"/>
  <c r="N530" i="1"/>
  <c r="N518" i="1"/>
  <c r="N511" i="1"/>
  <c r="N517" i="1"/>
  <c r="N502" i="1"/>
  <c r="N461" i="1"/>
  <c r="N543" i="1"/>
  <c r="N495" i="1"/>
  <c r="N445" i="1"/>
  <c r="N437" i="1"/>
  <c r="N481" i="1"/>
  <c r="N423" i="1"/>
  <c r="N405" i="1"/>
  <c r="N359" i="1"/>
  <c r="N330" i="1"/>
  <c r="N441" i="1"/>
  <c r="N431" i="1"/>
  <c r="N473" i="1"/>
  <c r="N424" i="1"/>
  <c r="N256" i="1"/>
  <c r="N398" i="1"/>
  <c r="N258" i="1"/>
  <c r="N339" i="1"/>
  <c r="N323" i="1"/>
  <c r="N306" i="1"/>
  <c r="N395" i="1"/>
  <c r="N348" i="1"/>
  <c r="N274" i="1"/>
  <c r="N248" i="1"/>
  <c r="N237" i="1"/>
  <c r="N166" i="1"/>
  <c r="N130" i="1"/>
  <c r="N298" i="1"/>
  <c r="N179" i="1"/>
  <c r="N174" i="1"/>
  <c r="N138" i="1"/>
  <c r="N304" i="1"/>
  <c r="N277" i="1"/>
  <c r="N161" i="1"/>
  <c r="N143" i="1"/>
  <c r="N127" i="1"/>
  <c r="N108" i="1"/>
  <c r="K207" i="1"/>
  <c r="K635" i="1" s="1"/>
  <c r="N150" i="1"/>
  <c r="N154" i="1"/>
  <c r="N124" i="1"/>
  <c r="N83" i="1"/>
  <c r="N75" i="1"/>
  <c r="N20" i="1"/>
  <c r="N13" i="1"/>
  <c r="N9" i="1"/>
  <c r="N470" i="1"/>
  <c r="N286" i="1"/>
  <c r="N65" i="1"/>
  <c r="N48" i="1"/>
  <c r="K111" i="1"/>
  <c r="N141" i="1"/>
  <c r="N70" i="1"/>
  <c r="N17" i="1"/>
  <c r="N634" i="1" l="1"/>
  <c r="N207" i="1"/>
  <c r="M502" i="2"/>
  <c r="M503" i="2" s="1"/>
  <c r="N85" i="2"/>
  <c r="N159" i="2" s="1"/>
  <c r="N75" i="2"/>
  <c r="N188" i="2"/>
  <c r="N502" i="2" s="1"/>
  <c r="N547" i="2"/>
  <c r="M75" i="2"/>
  <c r="N215" i="1"/>
  <c r="M111" i="1"/>
  <c r="N6" i="1"/>
  <c r="N111" i="1" s="1"/>
  <c r="M207" i="1"/>
  <c r="N679" i="1"/>
  <c r="M634" i="1"/>
  <c r="N635" i="1" l="1"/>
  <c r="N503" i="2"/>
  <c r="N673" i="2"/>
  <c r="N676" i="2" s="1"/>
  <c r="N679" i="2"/>
  <c r="N682" i="2" s="1"/>
  <c r="M635" i="1"/>
  <c r="N788" i="1"/>
  <c r="N791" i="1" s="1"/>
  <c r="N782" i="1"/>
  <c r="N785" i="1" s="1"/>
</calcChain>
</file>

<file path=xl/comments1.xml><?xml version="1.0" encoding="utf-8"?>
<comments xmlns="http://schemas.openxmlformats.org/spreadsheetml/2006/main">
  <authors>
    <author>w113</author>
    <author>葉家妤</author>
  </authors>
  <commentList>
    <comment ref="A1" authorId="0">
      <text>
        <r>
          <rPr>
            <b/>
            <sz val="9"/>
            <color indexed="81"/>
            <rFont val="Tahoma"/>
            <family val="2"/>
          </rPr>
          <t>20160531048</t>
        </r>
      </text>
    </comment>
    <comment ref="E525" authorId="1">
      <text>
        <r>
          <rPr>
            <sz val="12"/>
            <color indexed="81"/>
            <rFont val="細明體"/>
            <family val="3"/>
            <charset val="136"/>
          </rPr>
          <t>許副總妹妹許素卿購車</t>
        </r>
      </text>
    </comment>
  </commentList>
</comments>
</file>

<file path=xl/comments2.xml><?xml version="1.0" encoding="utf-8"?>
<comments xmlns="http://schemas.openxmlformats.org/spreadsheetml/2006/main">
  <authors>
    <author>w113</author>
    <author>葉家妤</author>
  </authors>
  <commentList>
    <comment ref="A1" authorId="0">
      <text>
        <r>
          <rPr>
            <b/>
            <sz val="9"/>
            <color indexed="81"/>
            <rFont val="Tahoma"/>
            <family val="2"/>
          </rPr>
          <t>20160531048</t>
        </r>
      </text>
    </comment>
    <comment ref="E657" authorId="1">
      <text>
        <r>
          <rPr>
            <sz val="12"/>
            <color indexed="81"/>
            <rFont val="細明體"/>
            <family val="3"/>
            <charset val="136"/>
          </rPr>
          <t>許副總妹妹許素卿購車</t>
        </r>
      </text>
    </comment>
  </commentList>
</comments>
</file>

<file path=xl/sharedStrings.xml><?xml version="1.0" encoding="utf-8"?>
<sst xmlns="http://schemas.openxmlformats.org/spreadsheetml/2006/main" count="4922" uniqueCount="1445">
  <si>
    <t>2017年12月新車進銷存表</t>
    <phoneticPr fontId="3" type="noConversion"/>
  </si>
  <si>
    <t>日期</t>
    <phoneticPr fontId="3" type="noConversion"/>
  </si>
  <si>
    <t>進貨廠商</t>
    <phoneticPr fontId="3" type="noConversion"/>
  </si>
  <si>
    <t>車型</t>
    <phoneticPr fontId="3" type="noConversion"/>
  </si>
  <si>
    <t>車系</t>
    <phoneticPr fontId="3" type="noConversion"/>
  </si>
  <si>
    <t>車身號碼</t>
    <phoneticPr fontId="3" type="noConversion"/>
  </si>
  <si>
    <t>出廠年月</t>
    <phoneticPr fontId="3" type="noConversion"/>
  </si>
  <si>
    <t>車款含稅+選配+調入成本</t>
    <phoneticPr fontId="3" type="noConversion"/>
  </si>
  <si>
    <t>上月存貨</t>
    <phoneticPr fontId="3" type="noConversion"/>
  </si>
  <si>
    <t>本月進貨</t>
    <phoneticPr fontId="3" type="noConversion"/>
  </si>
  <si>
    <t>合計</t>
    <phoneticPr fontId="3" type="noConversion"/>
  </si>
  <si>
    <t>銷貨</t>
    <phoneticPr fontId="3" type="noConversion"/>
  </si>
  <si>
    <t>成本</t>
    <phoneticPr fontId="3" type="noConversion"/>
  </si>
  <si>
    <t>本月存貨</t>
    <phoneticPr fontId="3" type="noConversion"/>
  </si>
  <si>
    <t>部門</t>
    <phoneticPr fontId="3" type="noConversion"/>
  </si>
  <si>
    <t>匯特</t>
    <phoneticPr fontId="3" type="noConversion"/>
  </si>
  <si>
    <t>C</t>
    <phoneticPr fontId="3" type="noConversion"/>
  </si>
  <si>
    <t>C650GT</t>
    <phoneticPr fontId="3" type="noConversion"/>
  </si>
  <si>
    <t>Z316155</t>
    <phoneticPr fontId="3" type="noConversion"/>
  </si>
  <si>
    <t>F</t>
    <phoneticPr fontId="3" type="noConversion"/>
  </si>
  <si>
    <t>F800GS</t>
    <phoneticPr fontId="3" type="noConversion"/>
  </si>
  <si>
    <t>ZL07883</t>
    <phoneticPr fontId="3" type="noConversion"/>
  </si>
  <si>
    <t>ZL07934</t>
    <phoneticPr fontId="3" type="noConversion"/>
  </si>
  <si>
    <t>F</t>
    <phoneticPr fontId="3" type="noConversion"/>
  </si>
  <si>
    <t>F800R</t>
  </si>
  <si>
    <t>ZD96606</t>
  </si>
  <si>
    <t>ZD99604</t>
  </si>
  <si>
    <t>ZD99605</t>
  </si>
  <si>
    <t>ZD99607</t>
  </si>
  <si>
    <t>G</t>
    <phoneticPr fontId="3" type="noConversion"/>
  </si>
  <si>
    <t>G310R</t>
  </si>
  <si>
    <t>R852283</t>
  </si>
  <si>
    <t>R852255</t>
  </si>
  <si>
    <t>R852265</t>
  </si>
  <si>
    <t>R852285</t>
  </si>
  <si>
    <t>R852286</t>
  </si>
  <si>
    <t>R852296</t>
  </si>
  <si>
    <t>R852615</t>
  </si>
  <si>
    <t>R852685</t>
  </si>
  <si>
    <t>R855634</t>
  </si>
  <si>
    <t>R855635</t>
  </si>
  <si>
    <t>R855654</t>
  </si>
  <si>
    <t>R855658</t>
  </si>
  <si>
    <t>R855701</t>
  </si>
  <si>
    <t>K</t>
    <phoneticPr fontId="3" type="noConversion"/>
  </si>
  <si>
    <t>K1600GTL</t>
    <phoneticPr fontId="3" type="noConversion"/>
  </si>
  <si>
    <t>ZZ28774</t>
    <phoneticPr fontId="3" type="noConversion"/>
  </si>
  <si>
    <t>R</t>
    <phoneticPr fontId="3" type="noConversion"/>
  </si>
  <si>
    <t>R NINET</t>
  </si>
  <si>
    <t>Z698233</t>
  </si>
  <si>
    <t>Z698244</t>
  </si>
  <si>
    <t>Z698246</t>
  </si>
  <si>
    <t>Z698247</t>
  </si>
  <si>
    <t>Z698248</t>
  </si>
  <si>
    <t>R NINET/P</t>
  </si>
  <si>
    <t>Z731347</t>
  </si>
  <si>
    <t>Z731564</t>
  </si>
  <si>
    <t>R1200GS E</t>
  </si>
  <si>
    <t>Z655747</t>
  </si>
  <si>
    <t>Z656016</t>
  </si>
  <si>
    <t>Z656017</t>
  </si>
  <si>
    <t>R1200GS P</t>
  </si>
  <si>
    <t>Z655744</t>
  </si>
  <si>
    <t>R1200GS R</t>
  </si>
  <si>
    <t>Z655624</t>
  </si>
  <si>
    <t>Z656053</t>
  </si>
  <si>
    <t>Z656054</t>
  </si>
  <si>
    <t>Z656055</t>
  </si>
  <si>
    <t>R1200R</t>
  </si>
  <si>
    <t>Z197942</t>
  </si>
  <si>
    <t>R1200RS</t>
  </si>
  <si>
    <t>Z379249</t>
  </si>
  <si>
    <t>Z379252</t>
  </si>
  <si>
    <t>Z379257</t>
  </si>
  <si>
    <t>RNINET</t>
    <phoneticPr fontId="3" type="noConversion"/>
  </si>
  <si>
    <t>Z698204</t>
  </si>
  <si>
    <t>Z698206</t>
  </si>
  <si>
    <t>RNINET</t>
  </si>
  <si>
    <t>Z698207</t>
  </si>
  <si>
    <t>RNINET P</t>
  </si>
  <si>
    <t>Z731348</t>
  </si>
  <si>
    <t>Z731349</t>
  </si>
  <si>
    <t>Z731403</t>
  </si>
  <si>
    <t>Z731457</t>
  </si>
  <si>
    <t>RNINET R</t>
  </si>
  <si>
    <t>Z741185</t>
  </si>
  <si>
    <r>
      <t>RNINET</t>
    </r>
    <r>
      <rPr>
        <sz val="10"/>
        <color rgb="FFFF0000"/>
        <rFont val="微軟正黑體"/>
        <family val="2"/>
        <charset val="136"/>
      </rPr>
      <t xml:space="preserve"> R</t>
    </r>
    <phoneticPr fontId="3" type="noConversion"/>
  </si>
  <si>
    <t>Z741186</t>
  </si>
  <si>
    <t>Z741187</t>
  </si>
  <si>
    <t>RNINET S</t>
    <phoneticPr fontId="3" type="noConversion"/>
  </si>
  <si>
    <t>Z794248</t>
    <phoneticPr fontId="3" type="noConversion"/>
  </si>
  <si>
    <t>RNINET S</t>
  </si>
  <si>
    <t>Z794287</t>
  </si>
  <si>
    <t>Z794312</t>
  </si>
  <si>
    <t>Z794313</t>
  </si>
  <si>
    <t>Z794314</t>
  </si>
  <si>
    <t>C650 GT</t>
  </si>
  <si>
    <t>Z316024</t>
  </si>
  <si>
    <t>1703</t>
  </si>
  <si>
    <t>C650 S</t>
  </si>
  <si>
    <t>Z314973</t>
  </si>
  <si>
    <t>Z314974</t>
  </si>
  <si>
    <t>Z314976</t>
  </si>
  <si>
    <t>Z314987</t>
    <phoneticPr fontId="3" type="noConversion"/>
  </si>
  <si>
    <t>Z315015</t>
  </si>
  <si>
    <t>Z315024</t>
  </si>
  <si>
    <t>匯特</t>
  </si>
  <si>
    <r>
      <t>Z</t>
    </r>
    <r>
      <rPr>
        <sz val="10"/>
        <rFont val="微軟正黑體"/>
        <family val="2"/>
        <charset val="136"/>
      </rPr>
      <t>316052</t>
    </r>
    <phoneticPr fontId="3" type="noConversion"/>
  </si>
  <si>
    <r>
      <t>Z</t>
    </r>
    <r>
      <rPr>
        <sz val="10"/>
        <rFont val="微軟正黑體"/>
        <family val="2"/>
        <charset val="136"/>
      </rPr>
      <t>316053</t>
    </r>
    <phoneticPr fontId="3" type="noConversion"/>
  </si>
  <si>
    <t>Z316054</t>
    <phoneticPr fontId="3" type="noConversion"/>
  </si>
  <si>
    <t>Z316069</t>
    <phoneticPr fontId="3" type="noConversion"/>
  </si>
  <si>
    <r>
      <t>C</t>
    </r>
    <r>
      <rPr>
        <sz val="10"/>
        <color rgb="FFFF0000"/>
        <rFont val="微軟正黑體"/>
        <family val="2"/>
        <charset val="136"/>
      </rPr>
      <t>650GT</t>
    </r>
    <phoneticPr fontId="3" type="noConversion"/>
  </si>
  <si>
    <t>Z316127</t>
    <phoneticPr fontId="3" type="noConversion"/>
  </si>
  <si>
    <t>Z316139</t>
    <phoneticPr fontId="3" type="noConversion"/>
  </si>
  <si>
    <r>
      <t>F</t>
    </r>
    <r>
      <rPr>
        <sz val="10"/>
        <color rgb="FFFF0000"/>
        <rFont val="微軟正黑體"/>
        <family val="2"/>
        <charset val="136"/>
      </rPr>
      <t>800R</t>
    </r>
    <phoneticPr fontId="3" type="noConversion"/>
  </si>
  <si>
    <r>
      <t>Z</t>
    </r>
    <r>
      <rPr>
        <sz val="10"/>
        <color theme="1"/>
        <rFont val="微軟正黑體"/>
        <family val="2"/>
        <charset val="136"/>
      </rPr>
      <t>C97813</t>
    </r>
    <phoneticPr fontId="3" type="noConversion"/>
  </si>
  <si>
    <t>R852238</t>
  </si>
  <si>
    <t>R852239</t>
  </si>
  <si>
    <t>R852241</t>
  </si>
  <si>
    <t>R852242</t>
  </si>
  <si>
    <t>R852248</t>
  </si>
  <si>
    <t>R852251</t>
  </si>
  <si>
    <t>R852253</t>
  </si>
  <si>
    <t>R852256</t>
  </si>
  <si>
    <t>R852257</t>
  </si>
  <si>
    <t>R852284</t>
  </si>
  <si>
    <t>R852292</t>
  </si>
  <si>
    <t>R852294</t>
  </si>
  <si>
    <t>R852295</t>
  </si>
  <si>
    <t>R852299</t>
  </si>
  <si>
    <t>R852300</t>
  </si>
  <si>
    <t>R852301</t>
  </si>
  <si>
    <t>R852605</t>
  </si>
  <si>
    <t>R852607</t>
  </si>
  <si>
    <t>R852608</t>
  </si>
  <si>
    <t>R852614</t>
  </si>
  <si>
    <t>R852682</t>
  </si>
  <si>
    <t>R852683</t>
  </si>
  <si>
    <t>R852684</t>
  </si>
  <si>
    <t>R855615</t>
  </si>
  <si>
    <t>R855616</t>
  </si>
  <si>
    <t>R855632</t>
  </si>
  <si>
    <t>R855633</t>
  </si>
  <si>
    <t>R855636</t>
  </si>
  <si>
    <t>R855653</t>
  </si>
  <si>
    <t>R855655</t>
  </si>
  <si>
    <t>R855656</t>
  </si>
  <si>
    <t>R855657</t>
  </si>
  <si>
    <t>Z698220</t>
  </si>
  <si>
    <t>Z379256</t>
  </si>
  <si>
    <t>Z698213</t>
  </si>
  <si>
    <t>Z794311</t>
  </si>
  <si>
    <t>Z314979</t>
  </si>
  <si>
    <t>Z315014</t>
  </si>
  <si>
    <t>Z314952</t>
  </si>
  <si>
    <t>試乘車</t>
    <phoneticPr fontId="3" type="noConversion"/>
  </si>
  <si>
    <t>MOTO</t>
    <phoneticPr fontId="3" type="noConversion"/>
  </si>
  <si>
    <t>價差</t>
    <phoneticPr fontId="3" type="noConversion"/>
  </si>
  <si>
    <t>MINI</t>
    <phoneticPr fontId="3" type="noConversion"/>
  </si>
  <si>
    <t>日期</t>
  </si>
  <si>
    <t>進貨廠商</t>
  </si>
  <si>
    <t>車系</t>
  </si>
  <si>
    <t>出廠年月</t>
  </si>
  <si>
    <t>車款含稅+選配+調入成本</t>
  </si>
  <si>
    <t>F54</t>
    <phoneticPr fontId="3" type="noConversion"/>
  </si>
  <si>
    <t>F54</t>
  </si>
  <si>
    <t>2G29662</t>
  </si>
  <si>
    <t>2G30103</t>
  </si>
  <si>
    <t>2G30521</t>
  </si>
  <si>
    <t>F54 S</t>
  </si>
  <si>
    <t>2G67862</t>
  </si>
  <si>
    <t>2G67908</t>
  </si>
  <si>
    <t>F55</t>
    <phoneticPr fontId="3" type="noConversion"/>
  </si>
  <si>
    <t>F55</t>
  </si>
  <si>
    <t>2G18838</t>
  </si>
  <si>
    <t>F55 ONE</t>
  </si>
  <si>
    <t>2G92773</t>
  </si>
  <si>
    <t>2G93010</t>
  </si>
  <si>
    <t>F56</t>
  </si>
  <si>
    <t>F56</t>
    <phoneticPr fontId="3" type="noConversion"/>
  </si>
  <si>
    <t>2F37179</t>
    <phoneticPr fontId="3" type="noConversion"/>
  </si>
  <si>
    <t>2F37395</t>
    <phoneticPr fontId="3" type="noConversion"/>
  </si>
  <si>
    <t>2F41081</t>
  </si>
  <si>
    <t>2F41084</t>
  </si>
  <si>
    <t>2F41358</t>
  </si>
  <si>
    <t>2F42380</t>
  </si>
  <si>
    <t>F56 JCW</t>
  </si>
  <si>
    <t>2F98465</t>
  </si>
  <si>
    <t>F56 ONE</t>
    <phoneticPr fontId="3" type="noConversion"/>
  </si>
  <si>
    <t>2E90952</t>
    <phoneticPr fontId="3" type="noConversion"/>
  </si>
  <si>
    <t>F56 ONE</t>
  </si>
  <si>
    <t>2E92970</t>
  </si>
  <si>
    <t>汎德台北</t>
  </si>
  <si>
    <t>F56 S</t>
  </si>
  <si>
    <t>2E09231</t>
  </si>
  <si>
    <t>1702</t>
  </si>
  <si>
    <t>F56 S</t>
    <phoneticPr fontId="3" type="noConversion"/>
  </si>
  <si>
    <t>2E09718</t>
    <phoneticPr fontId="3" type="noConversion"/>
  </si>
  <si>
    <t>2E11806</t>
  </si>
  <si>
    <t>2E11829</t>
  </si>
  <si>
    <t>F60</t>
    <phoneticPr fontId="3" type="noConversion"/>
  </si>
  <si>
    <t>F60</t>
  </si>
  <si>
    <t>3D65606</t>
  </si>
  <si>
    <t>F60 JCW</t>
  </si>
  <si>
    <t>3E21077</t>
  </si>
  <si>
    <t>3E21087</t>
  </si>
  <si>
    <t>F60 S</t>
    <phoneticPr fontId="3" type="noConversion"/>
  </si>
  <si>
    <t>3D87045</t>
  </si>
  <si>
    <t>3D87047</t>
  </si>
  <si>
    <t>F60 S</t>
  </si>
  <si>
    <t>3E36566</t>
  </si>
  <si>
    <t>3E36657</t>
  </si>
  <si>
    <t>3E36779</t>
  </si>
  <si>
    <t>3E36922</t>
  </si>
  <si>
    <t>3E37190</t>
  </si>
  <si>
    <t>2G29729</t>
  </si>
  <si>
    <t>A04</t>
    <phoneticPr fontId="3" type="noConversion"/>
  </si>
  <si>
    <t>2G30663</t>
  </si>
  <si>
    <t>2G18235</t>
  </si>
  <si>
    <t>2G18456</t>
  </si>
  <si>
    <t>2G18839</t>
  </si>
  <si>
    <t>2G92374</t>
  </si>
  <si>
    <t>F55 S</t>
  </si>
  <si>
    <t>2G43893</t>
  </si>
  <si>
    <t>2F41432</t>
  </si>
  <si>
    <t>2F42264</t>
  </si>
  <si>
    <t>汎德高雄</t>
    <phoneticPr fontId="3" type="noConversion"/>
  </si>
  <si>
    <r>
      <t>F</t>
    </r>
    <r>
      <rPr>
        <sz val="10"/>
        <color rgb="FFFF0000"/>
        <rFont val="微軟正黑體"/>
        <family val="2"/>
        <charset val="136"/>
      </rPr>
      <t>56 ONE</t>
    </r>
    <phoneticPr fontId="3" type="noConversion"/>
  </si>
  <si>
    <r>
      <t>2</t>
    </r>
    <r>
      <rPr>
        <sz val="10"/>
        <color theme="1"/>
        <rFont val="微軟正黑體"/>
        <family val="2"/>
        <charset val="136"/>
      </rPr>
      <t>E91464</t>
    </r>
    <phoneticPr fontId="3" type="noConversion"/>
  </si>
  <si>
    <t>2E09462</t>
    <phoneticPr fontId="3" type="noConversion"/>
  </si>
  <si>
    <t>2G85034</t>
  </si>
  <si>
    <t>2G85127</t>
  </si>
  <si>
    <t>2G86614</t>
  </si>
  <si>
    <t>汎德台北</t>
    <phoneticPr fontId="3" type="noConversion"/>
  </si>
  <si>
    <t>2G29689</t>
    <phoneticPr fontId="3" type="noConversion"/>
  </si>
  <si>
    <t>汎德台中</t>
    <phoneticPr fontId="3" type="noConversion"/>
  </si>
  <si>
    <t>3D65444</t>
    <phoneticPr fontId="3" type="noConversion"/>
  </si>
  <si>
    <t>3D65502</t>
  </si>
  <si>
    <t>3D66901</t>
  </si>
  <si>
    <t>3E72025</t>
  </si>
  <si>
    <t>3E21251</t>
  </si>
  <si>
    <t>3E21356</t>
  </si>
  <si>
    <t>3D86727</t>
  </si>
  <si>
    <t>3E36878</t>
  </si>
  <si>
    <t>3E36879</t>
  </si>
  <si>
    <t>3E37189</t>
  </si>
  <si>
    <t>F60 SODA</t>
  </si>
  <si>
    <t>3D66766</t>
  </si>
  <si>
    <t>2G28590</t>
  </si>
  <si>
    <t>A07</t>
    <phoneticPr fontId="3" type="noConversion"/>
  </si>
  <si>
    <t>F54 S</t>
    <phoneticPr fontId="3" type="noConversion"/>
  </si>
  <si>
    <t>2G66932</t>
    <phoneticPr fontId="3" type="noConversion"/>
  </si>
  <si>
    <t>2G19099</t>
  </si>
  <si>
    <t>2G92880</t>
  </si>
  <si>
    <t>3D63160</t>
    <phoneticPr fontId="3" type="noConversion"/>
  </si>
  <si>
    <t>3D66767</t>
  </si>
  <si>
    <t>3D66768</t>
  </si>
  <si>
    <t>3E71745</t>
  </si>
  <si>
    <t>3E72084</t>
  </si>
  <si>
    <t>3E21603</t>
  </si>
  <si>
    <t>3E36567</t>
  </si>
  <si>
    <t>3E36656</t>
  </si>
  <si>
    <t>3E37253</t>
  </si>
  <si>
    <t>2F98644</t>
  </si>
  <si>
    <t>2E92583</t>
  </si>
  <si>
    <t>3D66899</t>
  </si>
  <si>
    <r>
      <t>F</t>
    </r>
    <r>
      <rPr>
        <sz val="10"/>
        <color rgb="FFFF0000"/>
        <rFont val="微軟正黑體"/>
        <family val="2"/>
        <charset val="136"/>
      </rPr>
      <t>54</t>
    </r>
    <phoneticPr fontId="3" type="noConversion"/>
  </si>
  <si>
    <r>
      <t>2</t>
    </r>
    <r>
      <rPr>
        <sz val="10"/>
        <rFont val="微軟正黑體"/>
        <family val="2"/>
        <charset val="136"/>
      </rPr>
      <t>G27877</t>
    </r>
    <phoneticPr fontId="3" type="noConversion"/>
  </si>
  <si>
    <t>價差</t>
  </si>
  <si>
    <t>2F37173</t>
    <phoneticPr fontId="3" type="noConversion"/>
  </si>
  <si>
    <t>2E10560</t>
    <phoneticPr fontId="3" type="noConversion"/>
  </si>
  <si>
    <r>
      <t>F</t>
    </r>
    <r>
      <rPr>
        <sz val="10"/>
        <color rgb="FFFF0000"/>
        <rFont val="微軟正黑體"/>
        <family val="2"/>
        <charset val="136"/>
      </rPr>
      <t>60</t>
    </r>
    <phoneticPr fontId="3" type="noConversion"/>
  </si>
  <si>
    <t>3D64467</t>
    <phoneticPr fontId="3" type="noConversion"/>
  </si>
  <si>
    <r>
      <t>3</t>
    </r>
    <r>
      <rPr>
        <sz val="10"/>
        <color theme="1"/>
        <rFont val="微軟正黑體"/>
        <family val="2"/>
        <charset val="136"/>
      </rPr>
      <t>D65006</t>
    </r>
    <phoneticPr fontId="3" type="noConversion"/>
  </si>
  <si>
    <r>
      <t>F</t>
    </r>
    <r>
      <rPr>
        <sz val="10"/>
        <color rgb="FFFF0000"/>
        <rFont val="微軟正黑體"/>
        <family val="2"/>
        <charset val="136"/>
      </rPr>
      <t>60 S</t>
    </r>
    <phoneticPr fontId="3" type="noConversion"/>
  </si>
  <si>
    <r>
      <t>3</t>
    </r>
    <r>
      <rPr>
        <sz val="10"/>
        <rFont val="微軟正黑體"/>
        <family val="2"/>
        <charset val="136"/>
      </rPr>
      <t>D86299</t>
    </r>
    <phoneticPr fontId="3" type="noConversion"/>
  </si>
  <si>
    <r>
      <t>3</t>
    </r>
    <r>
      <rPr>
        <sz val="10"/>
        <rFont val="微軟正黑體"/>
        <family val="2"/>
        <charset val="136"/>
      </rPr>
      <t>D86350</t>
    </r>
    <phoneticPr fontId="3" type="noConversion"/>
  </si>
  <si>
    <r>
      <t>3</t>
    </r>
    <r>
      <rPr>
        <sz val="10"/>
        <rFont val="微軟正黑體"/>
        <family val="2"/>
        <charset val="136"/>
      </rPr>
      <t>D86681</t>
    </r>
    <phoneticPr fontId="3" type="noConversion"/>
  </si>
  <si>
    <r>
      <t>3</t>
    </r>
    <r>
      <rPr>
        <sz val="10"/>
        <rFont val="微軟正黑體"/>
        <family val="2"/>
        <charset val="136"/>
      </rPr>
      <t>D86893</t>
    </r>
    <phoneticPr fontId="3" type="noConversion"/>
  </si>
  <si>
    <r>
      <t>3</t>
    </r>
    <r>
      <rPr>
        <sz val="10"/>
        <color theme="1"/>
        <rFont val="微軟正黑體"/>
        <family val="2"/>
        <charset val="136"/>
      </rPr>
      <t>D86896</t>
    </r>
    <phoneticPr fontId="3" type="noConversion"/>
  </si>
  <si>
    <r>
      <t>3</t>
    </r>
    <r>
      <rPr>
        <sz val="10"/>
        <color theme="1"/>
        <rFont val="微軟正黑體"/>
        <family val="2"/>
        <charset val="136"/>
      </rPr>
      <t>D86934</t>
    </r>
    <phoneticPr fontId="3" type="noConversion"/>
  </si>
  <si>
    <t>3D65394</t>
    <phoneticPr fontId="3" type="noConversion"/>
  </si>
  <si>
    <r>
      <t>3</t>
    </r>
    <r>
      <rPr>
        <sz val="10"/>
        <rFont val="微軟正黑體"/>
        <family val="2"/>
        <charset val="136"/>
      </rPr>
      <t>D65556</t>
    </r>
    <phoneticPr fontId="3" type="noConversion"/>
  </si>
  <si>
    <t>BWM</t>
    <phoneticPr fontId="3" type="noConversion"/>
  </si>
  <si>
    <t>1</t>
    <phoneticPr fontId="3" type="noConversion"/>
  </si>
  <si>
    <t>118I</t>
  </si>
  <si>
    <t>5J30062</t>
  </si>
  <si>
    <t>5J31933</t>
  </si>
  <si>
    <t>5J32172</t>
  </si>
  <si>
    <t>5J32173</t>
  </si>
  <si>
    <t>5K52921</t>
  </si>
  <si>
    <t>118I M</t>
  </si>
  <si>
    <t>5K52880</t>
  </si>
  <si>
    <t>5K52989</t>
  </si>
  <si>
    <t>5K52990</t>
  </si>
  <si>
    <t>120I</t>
  </si>
  <si>
    <t>5H24366</t>
  </si>
  <si>
    <t>5H24780</t>
  </si>
  <si>
    <t>125I</t>
  </si>
  <si>
    <t>V634328</t>
  </si>
  <si>
    <t>2</t>
    <phoneticPr fontId="3" type="noConversion"/>
  </si>
  <si>
    <t>220CI</t>
  </si>
  <si>
    <t>VA13572</t>
  </si>
  <si>
    <t>VA13806</t>
  </si>
  <si>
    <t>VA13906</t>
  </si>
  <si>
    <t>3</t>
    <phoneticPr fontId="3" type="noConversion"/>
  </si>
  <si>
    <t>318I</t>
  </si>
  <si>
    <t>NU88473</t>
  </si>
  <si>
    <t>NU88482</t>
  </si>
  <si>
    <t>NU88497</t>
  </si>
  <si>
    <t>NU88498</t>
  </si>
  <si>
    <t>汎德台南</t>
    <phoneticPr fontId="3" type="noConversion"/>
  </si>
  <si>
    <t>NU88515</t>
  </si>
  <si>
    <t>NU88519</t>
  </si>
  <si>
    <t>320I TOURING</t>
  </si>
  <si>
    <t>K881195</t>
  </si>
  <si>
    <t>4</t>
    <phoneticPr fontId="3" type="noConversion"/>
  </si>
  <si>
    <t>420CAB</t>
  </si>
  <si>
    <t>EC75166</t>
  </si>
  <si>
    <t>420CI</t>
    <phoneticPr fontId="3" type="noConversion"/>
  </si>
  <si>
    <t>AC84305</t>
  </si>
  <si>
    <t>430CI</t>
  </si>
  <si>
    <t>AA94729</t>
  </si>
  <si>
    <t>5</t>
    <phoneticPr fontId="3" type="noConversion"/>
  </si>
  <si>
    <t>520D</t>
  </si>
  <si>
    <t>G924741</t>
  </si>
  <si>
    <t>G993877</t>
  </si>
  <si>
    <t>G994389</t>
  </si>
  <si>
    <t>520D TOURING</t>
  </si>
  <si>
    <t>G955109</t>
  </si>
  <si>
    <t>520I</t>
  </si>
  <si>
    <t>BH84596</t>
  </si>
  <si>
    <t>BH84748</t>
  </si>
  <si>
    <t>BH84933</t>
  </si>
  <si>
    <t>BH84936</t>
  </si>
  <si>
    <t>BH84937</t>
  </si>
  <si>
    <t>BH84964</t>
  </si>
  <si>
    <t>BH85653</t>
  </si>
  <si>
    <t>BH85656</t>
  </si>
  <si>
    <t xml:space="preserve">520I </t>
  </si>
  <si>
    <t>BH85476</t>
  </si>
  <si>
    <t>520I M</t>
  </si>
  <si>
    <t>BH84530</t>
  </si>
  <si>
    <t>BH85726</t>
  </si>
  <si>
    <t>520I TOURING</t>
  </si>
  <si>
    <t>BE34528</t>
  </si>
  <si>
    <t>530D</t>
    <phoneticPr fontId="3" type="noConversion"/>
  </si>
  <si>
    <t>G471169</t>
    <phoneticPr fontId="3" type="noConversion"/>
  </si>
  <si>
    <t>530I</t>
  </si>
  <si>
    <t>G874889</t>
  </si>
  <si>
    <t>G876608</t>
  </si>
  <si>
    <t>G876609</t>
  </si>
  <si>
    <t>G877581</t>
  </si>
  <si>
    <t>530I M</t>
  </si>
  <si>
    <t>G875271</t>
  </si>
  <si>
    <t>G877239</t>
  </si>
  <si>
    <t>G877272</t>
  </si>
  <si>
    <t>530I TOURING</t>
  </si>
  <si>
    <t>B170544</t>
  </si>
  <si>
    <t>7</t>
    <phoneticPr fontId="3" type="noConversion"/>
  </si>
  <si>
    <t>730D</t>
  </si>
  <si>
    <t>G809655</t>
  </si>
  <si>
    <t>G809656</t>
  </si>
  <si>
    <t>730I</t>
  </si>
  <si>
    <t>B194261</t>
  </si>
  <si>
    <t>B194267</t>
  </si>
  <si>
    <t>B194339</t>
  </si>
  <si>
    <t>G927627</t>
  </si>
  <si>
    <t>740I</t>
  </si>
  <si>
    <t>G825572</t>
  </si>
  <si>
    <t>740LI</t>
    <phoneticPr fontId="3" type="noConversion"/>
  </si>
  <si>
    <t>G412543</t>
  </si>
  <si>
    <t>740LI</t>
  </si>
  <si>
    <t>G414304</t>
  </si>
  <si>
    <t>G414318</t>
  </si>
  <si>
    <t>G414332</t>
  </si>
  <si>
    <t>G414498</t>
  </si>
  <si>
    <t>750LI</t>
  </si>
  <si>
    <t>GJ44411</t>
  </si>
  <si>
    <t>2AT</t>
    <phoneticPr fontId="3" type="noConversion"/>
  </si>
  <si>
    <t>218DAT</t>
  </si>
  <si>
    <t>7A32416</t>
  </si>
  <si>
    <t>V974124</t>
  </si>
  <si>
    <t>218IAT</t>
  </si>
  <si>
    <t>7A58691</t>
  </si>
  <si>
    <t>2AT</t>
  </si>
  <si>
    <t>7A58736</t>
  </si>
  <si>
    <t>7A58737</t>
  </si>
  <si>
    <t>7A58738</t>
  </si>
  <si>
    <t>7A59289</t>
  </si>
  <si>
    <t>V957572</t>
  </si>
  <si>
    <t>V958243</t>
  </si>
  <si>
    <t>V958267</t>
  </si>
  <si>
    <t>V958341</t>
  </si>
  <si>
    <t>220IAT</t>
  </si>
  <si>
    <t>V433943</t>
  </si>
  <si>
    <t>V980136</t>
  </si>
  <si>
    <t>2GT</t>
    <phoneticPr fontId="3" type="noConversion"/>
  </si>
  <si>
    <t>218DGT</t>
  </si>
  <si>
    <t>5G57069</t>
  </si>
  <si>
    <t>5G57300</t>
  </si>
  <si>
    <t>218IGT</t>
  </si>
  <si>
    <t>5C59223</t>
  </si>
  <si>
    <t>5C59746</t>
  </si>
  <si>
    <t>5C59941</t>
  </si>
  <si>
    <t>5C60251</t>
  </si>
  <si>
    <t>3GT</t>
    <phoneticPr fontId="3" type="noConversion"/>
  </si>
  <si>
    <t>320IGT</t>
  </si>
  <si>
    <t>G838826</t>
  </si>
  <si>
    <t>G840526</t>
  </si>
  <si>
    <t>G842225</t>
  </si>
  <si>
    <t>G842703</t>
  </si>
  <si>
    <t>4GC</t>
    <phoneticPr fontId="3" type="noConversion"/>
  </si>
  <si>
    <t>420IGC</t>
  </si>
  <si>
    <t>BH07972</t>
  </si>
  <si>
    <t>BH08010</t>
  </si>
  <si>
    <t>BH08011</t>
  </si>
  <si>
    <t>BH08898</t>
  </si>
  <si>
    <t>BH09603</t>
  </si>
  <si>
    <t>6GC</t>
    <phoneticPr fontId="3" type="noConversion"/>
  </si>
  <si>
    <t>640IGC</t>
  </si>
  <si>
    <t>GA00342</t>
  </si>
  <si>
    <t>GA00521</t>
  </si>
  <si>
    <t>6GT</t>
    <phoneticPr fontId="3" type="noConversion"/>
  </si>
  <si>
    <t>630IGT</t>
  </si>
  <si>
    <t>BH87622</t>
  </si>
  <si>
    <t>BH87748</t>
  </si>
  <si>
    <t>M2</t>
    <phoneticPr fontId="3" type="noConversion"/>
  </si>
  <si>
    <t>M2</t>
  </si>
  <si>
    <t>VA09927</t>
  </si>
  <si>
    <t>VD15579</t>
  </si>
  <si>
    <t>VD15745</t>
  </si>
  <si>
    <t>VD16136</t>
  </si>
  <si>
    <t>VD16149</t>
  </si>
  <si>
    <t>VD16150</t>
  </si>
  <si>
    <t>M240</t>
    <phoneticPr fontId="3" type="noConversion"/>
  </si>
  <si>
    <t>M240I</t>
  </si>
  <si>
    <t>VA52621</t>
  </si>
  <si>
    <t>M3</t>
    <phoneticPr fontId="3" type="noConversion"/>
  </si>
  <si>
    <t>M3</t>
  </si>
  <si>
    <t>5K19208</t>
  </si>
  <si>
    <t>X1</t>
    <phoneticPr fontId="3" type="noConversion"/>
  </si>
  <si>
    <t>X1 S18D</t>
  </si>
  <si>
    <t>5J47460</t>
  </si>
  <si>
    <t>5J47735</t>
  </si>
  <si>
    <t>5J49346</t>
  </si>
  <si>
    <t>5J50805</t>
  </si>
  <si>
    <t>X1 S18I</t>
  </si>
  <si>
    <t>ED59377</t>
  </si>
  <si>
    <t>ED61988</t>
  </si>
  <si>
    <t>ED62033</t>
  </si>
  <si>
    <t>ED62034</t>
  </si>
  <si>
    <t>ED62035</t>
  </si>
  <si>
    <t>ED92831</t>
  </si>
  <si>
    <t>X1 S20I</t>
  </si>
  <si>
    <t>EA98904</t>
  </si>
  <si>
    <t>EE19845</t>
  </si>
  <si>
    <t>鎔德</t>
  </si>
  <si>
    <t>X1 S20I</t>
    <phoneticPr fontId="3" type="noConversion"/>
  </si>
  <si>
    <t>EE22189</t>
    <phoneticPr fontId="3" type="noConversion"/>
  </si>
  <si>
    <t>EE22893</t>
  </si>
  <si>
    <t>X3</t>
    <phoneticPr fontId="3" type="noConversion"/>
  </si>
  <si>
    <t>X3 20D</t>
  </si>
  <si>
    <t>LB54540</t>
  </si>
  <si>
    <t>LB54576</t>
  </si>
  <si>
    <t>LB54611</t>
  </si>
  <si>
    <t>LB54616</t>
  </si>
  <si>
    <t>X3 30I</t>
  </si>
  <si>
    <t>LA06907</t>
  </si>
  <si>
    <t>X3 M40I</t>
  </si>
  <si>
    <t>LA45223</t>
  </si>
  <si>
    <t>LC17497</t>
  </si>
  <si>
    <t>X4</t>
    <phoneticPr fontId="3" type="noConversion"/>
  </si>
  <si>
    <t>X4 20I M</t>
  </si>
  <si>
    <t>0X17013</t>
  </si>
  <si>
    <t>X4 28I</t>
  </si>
  <si>
    <t>0W46142</t>
  </si>
  <si>
    <t>X4 28I X</t>
  </si>
  <si>
    <t>0W45845</t>
  </si>
  <si>
    <t>X5</t>
    <phoneticPr fontId="3" type="noConversion"/>
  </si>
  <si>
    <t>X5 25D</t>
  </si>
  <si>
    <t>0Y28723</t>
  </si>
  <si>
    <t>0Y29520</t>
  </si>
  <si>
    <t>X5 30D</t>
  </si>
  <si>
    <t>0W59288</t>
  </si>
  <si>
    <t>0W61267</t>
  </si>
  <si>
    <t>X5</t>
  </si>
  <si>
    <t>X5 35I</t>
    <phoneticPr fontId="3" type="noConversion"/>
  </si>
  <si>
    <t>0X58782</t>
  </si>
  <si>
    <t>X5 35I</t>
  </si>
  <si>
    <t>0X60403</t>
  </si>
  <si>
    <t>0X60408</t>
  </si>
  <si>
    <t>0X62645</t>
  </si>
  <si>
    <t>0X64080</t>
  </si>
  <si>
    <t>X6</t>
    <phoneticPr fontId="3" type="noConversion"/>
  </si>
  <si>
    <t>X6 35I</t>
  </si>
  <si>
    <t>0Y34400</t>
  </si>
  <si>
    <t>0Y34401</t>
  </si>
  <si>
    <t>5J30867</t>
  </si>
  <si>
    <t>A01</t>
    <phoneticPr fontId="3" type="noConversion"/>
  </si>
  <si>
    <r>
      <t>1</t>
    </r>
    <r>
      <rPr>
        <sz val="10"/>
        <color rgb="FFFF0000"/>
        <rFont val="微軟正黑體"/>
        <family val="2"/>
        <charset val="136"/>
      </rPr>
      <t>18I</t>
    </r>
    <phoneticPr fontId="3" type="noConversion"/>
  </si>
  <si>
    <r>
      <t>5</t>
    </r>
    <r>
      <rPr>
        <sz val="10"/>
        <rFont val="微軟正黑體"/>
        <family val="2"/>
        <charset val="136"/>
      </rPr>
      <t>J31275</t>
    </r>
    <phoneticPr fontId="3" type="noConversion"/>
  </si>
  <si>
    <t>5J31937</t>
  </si>
  <si>
    <t>1</t>
  </si>
  <si>
    <t>5K52928</t>
  </si>
  <si>
    <t>5K52948</t>
  </si>
  <si>
    <t>118I</t>
    <phoneticPr fontId="3" type="noConversion"/>
  </si>
  <si>
    <t>7A42344</t>
    <phoneticPr fontId="3" type="noConversion"/>
  </si>
  <si>
    <t>5J33824</t>
  </si>
  <si>
    <t>5K52879</t>
  </si>
  <si>
    <t>5H24779</t>
  </si>
  <si>
    <t>A01</t>
    <phoneticPr fontId="3" type="noConversion"/>
  </si>
  <si>
    <t>2AT</t>
    <phoneticPr fontId="3" type="noConversion"/>
  </si>
  <si>
    <t>7A31267</t>
  </si>
  <si>
    <t>汎德高雄</t>
    <phoneticPr fontId="3" type="noConversion"/>
  </si>
  <si>
    <t>2GT</t>
    <phoneticPr fontId="3" type="noConversion"/>
  </si>
  <si>
    <r>
      <t>2</t>
    </r>
    <r>
      <rPr>
        <sz val="10"/>
        <color rgb="FFFF0000"/>
        <rFont val="微軟正黑體"/>
        <family val="2"/>
        <charset val="136"/>
      </rPr>
      <t>18DGT</t>
    </r>
    <phoneticPr fontId="3" type="noConversion"/>
  </si>
  <si>
    <r>
      <t>5</t>
    </r>
    <r>
      <rPr>
        <sz val="10"/>
        <color theme="1"/>
        <rFont val="微軟正黑體"/>
        <family val="2"/>
        <charset val="136"/>
      </rPr>
      <t>G53509</t>
    </r>
    <phoneticPr fontId="3" type="noConversion"/>
  </si>
  <si>
    <t>218DGT</t>
    <phoneticPr fontId="3" type="noConversion"/>
  </si>
  <si>
    <t>5G54289</t>
    <phoneticPr fontId="3" type="noConversion"/>
  </si>
  <si>
    <t>V956645</t>
  </si>
  <si>
    <t>V956647</t>
  </si>
  <si>
    <t>V956648</t>
  </si>
  <si>
    <t>V956650</t>
  </si>
  <si>
    <t>V957485</t>
  </si>
  <si>
    <t>V957521</t>
  </si>
  <si>
    <t>V957523</t>
  </si>
  <si>
    <t>V958210</t>
  </si>
  <si>
    <t>V958242</t>
  </si>
  <si>
    <r>
      <t>2</t>
    </r>
    <r>
      <rPr>
        <sz val="10"/>
        <color rgb="FFFF0000"/>
        <rFont val="微軟正黑體"/>
        <family val="2"/>
        <charset val="136"/>
      </rPr>
      <t>18IGT</t>
    </r>
    <phoneticPr fontId="3" type="noConversion"/>
  </si>
  <si>
    <r>
      <t>5</t>
    </r>
    <r>
      <rPr>
        <sz val="10"/>
        <color theme="1"/>
        <rFont val="微軟正黑體"/>
        <family val="2"/>
        <charset val="136"/>
      </rPr>
      <t>C59721</t>
    </r>
    <phoneticPr fontId="3" type="noConversion"/>
  </si>
  <si>
    <t>7A83233</t>
  </si>
  <si>
    <t>220IAT</t>
    <phoneticPr fontId="3" type="noConversion"/>
  </si>
  <si>
    <t>V432947</t>
  </si>
  <si>
    <t>V980166</t>
  </si>
  <si>
    <t>NU88489</t>
  </si>
  <si>
    <t>320I</t>
  </si>
  <si>
    <t>NU94385</t>
  </si>
  <si>
    <t>NU94426</t>
  </si>
  <si>
    <r>
      <t>3</t>
    </r>
    <r>
      <rPr>
        <sz val="10"/>
        <color rgb="FFFF0000"/>
        <rFont val="微軟正黑體"/>
        <family val="2"/>
        <charset val="136"/>
      </rPr>
      <t>20I</t>
    </r>
    <phoneticPr fontId="3" type="noConversion"/>
  </si>
  <si>
    <t>NU94474</t>
    <phoneticPr fontId="3" type="noConversion"/>
  </si>
  <si>
    <t>賓歐</t>
    <phoneticPr fontId="3" type="noConversion"/>
  </si>
  <si>
    <t>NU94487</t>
    <phoneticPr fontId="3" type="noConversion"/>
  </si>
  <si>
    <t>320I T/M</t>
  </si>
  <si>
    <t>K881118</t>
  </si>
  <si>
    <t>G839771</t>
  </si>
  <si>
    <t>G840610</t>
  </si>
  <si>
    <t>G840653</t>
  </si>
  <si>
    <t>3GT</t>
  </si>
  <si>
    <t>G841100</t>
  </si>
  <si>
    <t>G842224</t>
  </si>
  <si>
    <t>G843397</t>
  </si>
  <si>
    <t>330IGT</t>
  </si>
  <si>
    <t>G447002</t>
  </si>
  <si>
    <t>420CAB</t>
    <phoneticPr fontId="3" type="noConversion"/>
  </si>
  <si>
    <r>
      <t>E</t>
    </r>
    <r>
      <rPr>
        <sz val="10"/>
        <rFont val="微軟正黑體"/>
        <family val="2"/>
        <charset val="136"/>
      </rPr>
      <t>C74404</t>
    </r>
    <phoneticPr fontId="3" type="noConversion"/>
  </si>
  <si>
    <t>420CI</t>
  </si>
  <si>
    <t>AC84754</t>
  </si>
  <si>
    <t>AC85081</t>
  </si>
  <si>
    <t>430CI</t>
    <phoneticPr fontId="3" type="noConversion"/>
  </si>
  <si>
    <t>AA44519</t>
    <phoneticPr fontId="3" type="noConversion"/>
  </si>
  <si>
    <t>G925838</t>
  </si>
  <si>
    <t>G925871</t>
  </si>
  <si>
    <t>長慶</t>
    <phoneticPr fontId="3" type="noConversion"/>
  </si>
  <si>
    <t>520D</t>
    <phoneticPr fontId="3" type="noConversion"/>
  </si>
  <si>
    <t>G991561</t>
    <phoneticPr fontId="3" type="noConversion"/>
  </si>
  <si>
    <t>G991661</t>
    <phoneticPr fontId="3" type="noConversion"/>
  </si>
  <si>
    <t>G991807</t>
    <phoneticPr fontId="3" type="noConversion"/>
  </si>
  <si>
    <r>
      <t>5</t>
    </r>
    <r>
      <rPr>
        <sz val="10"/>
        <color rgb="FFFF0000"/>
        <rFont val="微軟正黑體"/>
        <family val="2"/>
        <charset val="136"/>
      </rPr>
      <t>20D</t>
    </r>
    <phoneticPr fontId="3" type="noConversion"/>
  </si>
  <si>
    <t>G992293</t>
    <phoneticPr fontId="3" type="noConversion"/>
  </si>
  <si>
    <t>G992330</t>
    <phoneticPr fontId="3" type="noConversion"/>
  </si>
  <si>
    <t>5</t>
  </si>
  <si>
    <t>BC50771</t>
  </si>
  <si>
    <t>BH84822</t>
  </si>
  <si>
    <t>BH84928</t>
  </si>
  <si>
    <t>BH84930</t>
  </si>
  <si>
    <t>BH84956</t>
  </si>
  <si>
    <t>BH85293</t>
  </si>
  <si>
    <t>BH85382</t>
  </si>
  <si>
    <t>BC50661</t>
  </si>
  <si>
    <t>BH84531</t>
    <phoneticPr fontId="3" type="noConversion"/>
  </si>
  <si>
    <t>BE34452</t>
  </si>
  <si>
    <t>530I</t>
    <phoneticPr fontId="3" type="noConversion"/>
  </si>
  <si>
    <t>G874010</t>
    <phoneticPr fontId="3" type="noConversion"/>
  </si>
  <si>
    <t>G875270</t>
  </si>
  <si>
    <t>G875436</t>
  </si>
  <si>
    <t>G875633</t>
  </si>
  <si>
    <t>G876050</t>
  </si>
  <si>
    <t>G877271</t>
  </si>
  <si>
    <t>G877640</t>
  </si>
  <si>
    <t>B170585</t>
  </si>
  <si>
    <t>BH88021</t>
  </si>
  <si>
    <t>BH88076</t>
  </si>
  <si>
    <t>640IGT</t>
  </si>
  <si>
    <t>BC88824</t>
  </si>
  <si>
    <t>G809899</t>
  </si>
  <si>
    <t>鎔德</t>
    <phoneticPr fontId="3" type="noConversion"/>
  </si>
  <si>
    <t>G412303</t>
    <phoneticPr fontId="3" type="noConversion"/>
  </si>
  <si>
    <r>
      <t>7</t>
    </r>
    <r>
      <rPr>
        <sz val="10"/>
        <color rgb="FFFF0000"/>
        <rFont val="微軟正黑體"/>
        <family val="2"/>
        <charset val="136"/>
      </rPr>
      <t>40LI</t>
    </r>
    <phoneticPr fontId="3" type="noConversion"/>
  </si>
  <si>
    <r>
      <t>G</t>
    </r>
    <r>
      <rPr>
        <sz val="10"/>
        <rFont val="微軟正黑體"/>
        <family val="2"/>
        <charset val="136"/>
      </rPr>
      <t>412835</t>
    </r>
    <phoneticPr fontId="3" type="noConversion"/>
  </si>
  <si>
    <t>G414497</t>
  </si>
  <si>
    <t>M4</t>
    <phoneticPr fontId="3" type="noConversion"/>
  </si>
  <si>
    <t>M4</t>
  </si>
  <si>
    <t>AC53232</t>
  </si>
  <si>
    <t>X1 18I</t>
  </si>
  <si>
    <t>ED59219</t>
  </si>
  <si>
    <t>ED59900</t>
  </si>
  <si>
    <t>X1 20I</t>
  </si>
  <si>
    <t>EE19844</t>
  </si>
  <si>
    <t>EE19994</t>
  </si>
  <si>
    <t>ED59192</t>
  </si>
  <si>
    <t>ED59220</t>
  </si>
  <si>
    <t>ED59221</t>
  </si>
  <si>
    <t>ED59226</t>
  </si>
  <si>
    <t>ED59365</t>
  </si>
  <si>
    <t>ED59369</t>
  </si>
  <si>
    <t>ED59385</t>
  </si>
  <si>
    <t>ED59386</t>
  </si>
  <si>
    <t>ED62027</t>
  </si>
  <si>
    <t>ED62031</t>
  </si>
  <si>
    <t>ED62032</t>
  </si>
  <si>
    <t>EE23000</t>
  </si>
  <si>
    <t>EA98985</t>
  </si>
  <si>
    <t>EA98992</t>
  </si>
  <si>
    <t>尚德</t>
    <phoneticPr fontId="3" type="noConversion"/>
  </si>
  <si>
    <t>EE19859</t>
    <phoneticPr fontId="3" type="noConversion"/>
  </si>
  <si>
    <t>EE19860</t>
  </si>
  <si>
    <t>EE23210</t>
  </si>
  <si>
    <t>EE23283</t>
  </si>
  <si>
    <t>EE23286</t>
  </si>
  <si>
    <t>LB54534</t>
  </si>
  <si>
    <t>X3 20I</t>
    <phoneticPr fontId="3" type="noConversion"/>
  </si>
  <si>
    <r>
      <t>0</t>
    </r>
    <r>
      <rPr>
        <sz val="10"/>
        <rFont val="微軟正黑體"/>
        <family val="2"/>
        <charset val="136"/>
      </rPr>
      <t>B80620</t>
    </r>
    <phoneticPr fontId="3" type="noConversion"/>
  </si>
  <si>
    <t>LA06952</t>
  </si>
  <si>
    <t>LA06967</t>
  </si>
  <si>
    <t>LA06996</t>
  </si>
  <si>
    <t>LA13666</t>
  </si>
  <si>
    <t>LA13668</t>
  </si>
  <si>
    <t>LA13702</t>
  </si>
  <si>
    <t>LA13703</t>
  </si>
  <si>
    <t>LA45212</t>
  </si>
  <si>
    <t>0X17043</t>
  </si>
  <si>
    <t>X4 28I</t>
    <phoneticPr fontId="3" type="noConversion"/>
  </si>
  <si>
    <t>0W45452</t>
    <phoneticPr fontId="3" type="noConversion"/>
  </si>
  <si>
    <t>0W45764</t>
  </si>
  <si>
    <t>0Y28445</t>
  </si>
  <si>
    <t>0Y28456</t>
  </si>
  <si>
    <t>依德</t>
    <phoneticPr fontId="3" type="noConversion"/>
  </si>
  <si>
    <r>
      <t>X</t>
    </r>
    <r>
      <rPr>
        <sz val="10"/>
        <color rgb="FFFF0000"/>
        <rFont val="微軟正黑體"/>
        <family val="2"/>
        <charset val="136"/>
      </rPr>
      <t>5 25D</t>
    </r>
    <phoneticPr fontId="3" type="noConversion"/>
  </si>
  <si>
    <t>0Y28667</t>
    <phoneticPr fontId="3" type="noConversion"/>
  </si>
  <si>
    <t>0Y28801</t>
  </si>
  <si>
    <t>0Y28812</t>
  </si>
  <si>
    <t>0Y28813</t>
  </si>
  <si>
    <t>0Y29134</t>
  </si>
  <si>
    <t>0Y29613</t>
  </si>
  <si>
    <t xml:space="preserve">X5 25D </t>
  </si>
  <si>
    <t>0Y28886</t>
  </si>
  <si>
    <t>0X59979</t>
  </si>
  <si>
    <t>0X62641</t>
  </si>
  <si>
    <t>0X62656</t>
  </si>
  <si>
    <t>0X63355</t>
  </si>
  <si>
    <t>0X64840</t>
    <phoneticPr fontId="3" type="noConversion"/>
  </si>
  <si>
    <t>X6 35I</t>
    <phoneticPr fontId="3" type="noConversion"/>
  </si>
  <si>
    <t>0Y33887</t>
    <phoneticPr fontId="3" type="noConversion"/>
  </si>
  <si>
    <t>5J30872</t>
  </si>
  <si>
    <t>A02</t>
    <phoneticPr fontId="3" type="noConversion"/>
  </si>
  <si>
    <t>5J31934</t>
  </si>
  <si>
    <t>5K52924</t>
  </si>
  <si>
    <t>7B06651</t>
  </si>
  <si>
    <t>5K52877</t>
  </si>
  <si>
    <t>5K52878</t>
  </si>
  <si>
    <t>5K52881</t>
  </si>
  <si>
    <t>7A43803</t>
  </si>
  <si>
    <t>5H24795</t>
  </si>
  <si>
    <t>120I M</t>
    <phoneticPr fontId="3" type="noConversion"/>
  </si>
  <si>
    <t>5H24085</t>
  </si>
  <si>
    <t>V956649</t>
  </si>
  <si>
    <t>V957481</t>
  </si>
  <si>
    <t>V957482</t>
  </si>
  <si>
    <t>V957486</t>
  </si>
  <si>
    <t>V957568</t>
  </si>
  <si>
    <t>V958340</t>
  </si>
  <si>
    <t>NU94416</t>
  </si>
  <si>
    <t>NU94465</t>
    <phoneticPr fontId="3" type="noConversion"/>
  </si>
  <si>
    <t>320I M</t>
  </si>
  <si>
    <t>NU94458</t>
  </si>
  <si>
    <t>NU94464</t>
  </si>
  <si>
    <t>G840672</t>
  </si>
  <si>
    <t>G841391</t>
  </si>
  <si>
    <t>G843337</t>
  </si>
  <si>
    <t>AC85029</t>
  </si>
  <si>
    <r>
      <t>4</t>
    </r>
    <r>
      <rPr>
        <sz val="10"/>
        <color rgb="FFFF0000"/>
        <rFont val="微軟正黑體"/>
        <family val="2"/>
        <charset val="136"/>
      </rPr>
      <t>20IGC</t>
    </r>
    <phoneticPr fontId="3" type="noConversion"/>
  </si>
  <si>
    <r>
      <t>B</t>
    </r>
    <r>
      <rPr>
        <sz val="10"/>
        <color theme="1"/>
        <rFont val="微軟正黑體"/>
        <family val="2"/>
        <charset val="136"/>
      </rPr>
      <t>H06137</t>
    </r>
    <phoneticPr fontId="3" type="noConversion"/>
  </si>
  <si>
    <t>BH08706</t>
  </si>
  <si>
    <t>AA47686</t>
    <phoneticPr fontId="3" type="noConversion"/>
  </si>
  <si>
    <t>G924005</t>
  </si>
  <si>
    <t>G924117</t>
    <phoneticPr fontId="3" type="noConversion"/>
  </si>
  <si>
    <t>G924670</t>
  </si>
  <si>
    <t>G924740</t>
  </si>
  <si>
    <t>G924747</t>
  </si>
  <si>
    <r>
      <t>G</t>
    </r>
    <r>
      <rPr>
        <sz val="10"/>
        <rFont val="微軟正黑體"/>
        <family val="2"/>
        <charset val="136"/>
      </rPr>
      <t>924754</t>
    </r>
    <phoneticPr fontId="3" type="noConversion"/>
  </si>
  <si>
    <r>
      <t>G</t>
    </r>
    <r>
      <rPr>
        <sz val="10"/>
        <color theme="1"/>
        <rFont val="微軟正黑體"/>
        <family val="2"/>
        <charset val="136"/>
      </rPr>
      <t>925393</t>
    </r>
    <phoneticPr fontId="3" type="noConversion"/>
  </si>
  <si>
    <t>G991555</t>
    <phoneticPr fontId="3" type="noConversion"/>
  </si>
  <si>
    <t>G991631</t>
    <phoneticPr fontId="3" type="noConversion"/>
  </si>
  <si>
    <t>G991654</t>
    <phoneticPr fontId="3" type="noConversion"/>
  </si>
  <si>
    <t>G991771</t>
    <phoneticPr fontId="3" type="noConversion"/>
  </si>
  <si>
    <t>G992297</t>
    <phoneticPr fontId="3" type="noConversion"/>
  </si>
  <si>
    <t>G992325</t>
    <phoneticPr fontId="3" type="noConversion"/>
  </si>
  <si>
    <t>G992329</t>
    <phoneticPr fontId="3" type="noConversion"/>
  </si>
  <si>
    <t>520I</t>
    <phoneticPr fontId="3" type="noConversion"/>
  </si>
  <si>
    <t>BC50568</t>
    <phoneticPr fontId="3" type="noConversion"/>
  </si>
  <si>
    <t>BH84821</t>
  </si>
  <si>
    <t>BH84931</t>
  </si>
  <si>
    <t>BH84932</t>
  </si>
  <si>
    <t>BH84570</t>
  </si>
  <si>
    <t>G874989</t>
    <phoneticPr fontId="3" type="noConversion"/>
  </si>
  <si>
    <t>昌一</t>
    <phoneticPr fontId="3" type="noConversion"/>
  </si>
  <si>
    <t>530I M</t>
    <phoneticPr fontId="3" type="noConversion"/>
  </si>
  <si>
    <t>G874776</t>
    <phoneticPr fontId="3" type="noConversion"/>
  </si>
  <si>
    <t>G875167</t>
  </si>
  <si>
    <t>540I</t>
  </si>
  <si>
    <t>G971239</t>
  </si>
  <si>
    <t>630IGT</t>
    <phoneticPr fontId="3" type="noConversion"/>
  </si>
  <si>
    <t>BH87759</t>
    <phoneticPr fontId="3" type="noConversion"/>
  </si>
  <si>
    <t>G809901</t>
  </si>
  <si>
    <t>B194260</t>
  </si>
  <si>
    <t>G927634</t>
  </si>
  <si>
    <t>G927635</t>
  </si>
  <si>
    <t>VA09837</t>
  </si>
  <si>
    <t>AB74576</t>
    <phoneticPr fontId="3" type="noConversion"/>
  </si>
  <si>
    <r>
      <t>X</t>
    </r>
    <r>
      <rPr>
        <sz val="10"/>
        <color rgb="FFFF0000"/>
        <rFont val="微軟正黑體"/>
        <family val="2"/>
        <charset val="136"/>
      </rPr>
      <t>1 18I</t>
    </r>
    <phoneticPr fontId="3" type="noConversion"/>
  </si>
  <si>
    <r>
      <t>E</t>
    </r>
    <r>
      <rPr>
        <sz val="10"/>
        <rFont val="微軟正黑體"/>
        <family val="2"/>
        <charset val="136"/>
      </rPr>
      <t>D57419</t>
    </r>
    <phoneticPr fontId="3" type="noConversion"/>
  </si>
  <si>
    <t>ED53886</t>
  </si>
  <si>
    <t>ED59371</t>
  </si>
  <si>
    <t>ED59372</t>
  </si>
  <si>
    <t>ED62563</t>
  </si>
  <si>
    <t>LB54533</t>
  </si>
  <si>
    <t>LB54541</t>
  </si>
  <si>
    <t>LB54654</t>
  </si>
  <si>
    <t>LA06963</t>
  </si>
  <si>
    <t>LA06978</t>
  </si>
  <si>
    <t>LC53994</t>
  </si>
  <si>
    <t>LC54010</t>
  </si>
  <si>
    <t>0X16336</t>
  </si>
  <si>
    <t>0X16337</t>
  </si>
  <si>
    <t>0X16338</t>
  </si>
  <si>
    <t>0X16339</t>
  </si>
  <si>
    <t>來德</t>
    <phoneticPr fontId="3" type="noConversion"/>
  </si>
  <si>
    <t>X4 20I M</t>
    <phoneticPr fontId="3" type="noConversion"/>
  </si>
  <si>
    <t>0X17031</t>
    <phoneticPr fontId="3" type="noConversion"/>
  </si>
  <si>
    <t>0W44904</t>
    <phoneticPr fontId="3" type="noConversion"/>
  </si>
  <si>
    <t>0W45416</t>
    <phoneticPr fontId="3" type="noConversion"/>
  </si>
  <si>
    <t>0Y28693</t>
  </si>
  <si>
    <t>0Y28814</t>
  </si>
  <si>
    <t>0Y28888</t>
  </si>
  <si>
    <t>X6</t>
  </si>
  <si>
    <t>X6 30D</t>
    <phoneticPr fontId="3" type="noConversion"/>
  </si>
  <si>
    <t>0V40707</t>
    <phoneticPr fontId="3" type="noConversion"/>
  </si>
  <si>
    <t>0V55311</t>
  </si>
  <si>
    <r>
      <t>0</t>
    </r>
    <r>
      <rPr>
        <sz val="10"/>
        <rFont val="微軟正黑體"/>
        <family val="2"/>
        <charset val="136"/>
      </rPr>
      <t>V55351</t>
    </r>
    <phoneticPr fontId="3" type="noConversion"/>
  </si>
  <si>
    <t>0V55433</t>
    <phoneticPr fontId="3" type="noConversion"/>
  </si>
  <si>
    <t>0Y33773</t>
  </si>
  <si>
    <t>0Y34167</t>
  </si>
  <si>
    <t>5H24359</t>
  </si>
  <si>
    <t>BC88832</t>
  </si>
  <si>
    <t>5K52882</t>
  </si>
  <si>
    <t>G414591</t>
  </si>
  <si>
    <t>ED59387</t>
  </si>
  <si>
    <t>ED62030</t>
  </si>
  <si>
    <t>EE19862</t>
  </si>
  <si>
    <t>5J32174</t>
  </si>
  <si>
    <t>NU94452</t>
  </si>
  <si>
    <t>BH84750</t>
  </si>
  <si>
    <t>B194269</t>
  </si>
  <si>
    <t>5K52988</t>
  </si>
  <si>
    <t>V957483</t>
  </si>
  <si>
    <t>V957571</t>
  </si>
  <si>
    <t>218D AT</t>
  </si>
  <si>
    <t>7A30731</t>
  </si>
  <si>
    <t>NU94364</t>
  </si>
  <si>
    <t>0W60959</t>
  </si>
  <si>
    <t>V433978</t>
  </si>
  <si>
    <t>0X17012</t>
  </si>
  <si>
    <t>BH85015</t>
  </si>
  <si>
    <t>ED62304</t>
  </si>
  <si>
    <t>BH08562</t>
  </si>
  <si>
    <t>AC84733</t>
  </si>
  <si>
    <t>7A30558</t>
  </si>
  <si>
    <t>BH08970</t>
  </si>
  <si>
    <t>ED61943</t>
  </si>
  <si>
    <t>0X61724</t>
  </si>
  <si>
    <t>5G56505</t>
  </si>
  <si>
    <t>5G56506</t>
  </si>
  <si>
    <t>NU88507</t>
  </si>
  <si>
    <t>NU94363</t>
  </si>
  <si>
    <t>320I TOUR</t>
  </si>
  <si>
    <t>K881321</t>
  </si>
  <si>
    <t>G840609</t>
  </si>
  <si>
    <t>G842653</t>
  </si>
  <si>
    <t>BC86800</t>
  </si>
  <si>
    <t>5J44982</t>
  </si>
  <si>
    <t>0Y34398</t>
  </si>
  <si>
    <t>EA98982</t>
    <phoneticPr fontId="3" type="noConversion"/>
  </si>
  <si>
    <t>銷貨退回</t>
    <phoneticPr fontId="3" type="noConversion"/>
  </si>
  <si>
    <r>
      <t>M</t>
    </r>
    <r>
      <rPr>
        <sz val="10"/>
        <color rgb="FFFF0000"/>
        <rFont val="微軟正黑體"/>
        <family val="2"/>
        <charset val="136"/>
      </rPr>
      <t>140</t>
    </r>
    <phoneticPr fontId="3" type="noConversion"/>
  </si>
  <si>
    <t>5D08051</t>
    <phoneticPr fontId="3" type="noConversion"/>
  </si>
  <si>
    <t>M140</t>
    <phoneticPr fontId="3" type="noConversion"/>
  </si>
  <si>
    <t>5D08150</t>
    <phoneticPr fontId="3" type="noConversion"/>
  </si>
  <si>
    <r>
      <t>X</t>
    </r>
    <r>
      <rPr>
        <sz val="10"/>
        <color rgb="FFFF0000"/>
        <rFont val="微軟正黑體"/>
        <family val="2"/>
        <charset val="136"/>
      </rPr>
      <t>1</t>
    </r>
    <phoneticPr fontId="3" type="noConversion"/>
  </si>
  <si>
    <t>EA98968</t>
    <phoneticPr fontId="3" type="noConversion"/>
  </si>
  <si>
    <t>EE19843</t>
    <phoneticPr fontId="3" type="noConversion"/>
  </si>
  <si>
    <t>0V55424</t>
    <phoneticPr fontId="3" type="noConversion"/>
  </si>
  <si>
    <t>0Y33711</t>
    <phoneticPr fontId="3" type="noConversion"/>
  </si>
  <si>
    <t>5H24067</t>
    <phoneticPr fontId="3" type="noConversion"/>
  </si>
  <si>
    <t>5J30455</t>
    <phoneticPr fontId="3" type="noConversion"/>
  </si>
  <si>
    <t>7A43744</t>
    <phoneticPr fontId="3" type="noConversion"/>
  </si>
  <si>
    <t>G925055</t>
    <phoneticPr fontId="3" type="noConversion"/>
  </si>
  <si>
    <t>G925058</t>
    <phoneticPr fontId="3" type="noConversion"/>
  </si>
  <si>
    <t>G925406</t>
    <phoneticPr fontId="3" type="noConversion"/>
  </si>
  <si>
    <t>G925836</t>
    <phoneticPr fontId="3" type="noConversion"/>
  </si>
  <si>
    <t>G925868</t>
    <phoneticPr fontId="3" type="noConversion"/>
  </si>
  <si>
    <t>G925873</t>
    <phoneticPr fontId="3" type="noConversion"/>
  </si>
  <si>
    <t>G991633</t>
    <phoneticPr fontId="3" type="noConversion"/>
  </si>
  <si>
    <t>0X14266</t>
    <phoneticPr fontId="3" type="noConversion"/>
  </si>
  <si>
    <t>0K15828</t>
    <phoneticPr fontId="3" type="noConversion"/>
  </si>
  <si>
    <t>0K15997</t>
    <phoneticPr fontId="3" type="noConversion"/>
  </si>
  <si>
    <t>0Y28219</t>
    <phoneticPr fontId="3" type="noConversion"/>
  </si>
  <si>
    <t>0Y28221</t>
    <phoneticPr fontId="3" type="noConversion"/>
  </si>
  <si>
    <t>X5 M</t>
    <phoneticPr fontId="3" type="noConversion"/>
  </si>
  <si>
    <t>0Y14559</t>
    <phoneticPr fontId="3" type="noConversion"/>
  </si>
  <si>
    <t>V956651</t>
    <phoneticPr fontId="3" type="noConversion"/>
  </si>
  <si>
    <t>V956774</t>
    <phoneticPr fontId="3" type="noConversion"/>
  </si>
  <si>
    <t>V974186</t>
    <phoneticPr fontId="3" type="noConversion"/>
  </si>
  <si>
    <t>5C57243</t>
    <phoneticPr fontId="3" type="noConversion"/>
  </si>
  <si>
    <t>G777156</t>
    <phoneticPr fontId="3" type="noConversion"/>
  </si>
  <si>
    <t>BH84524</t>
    <phoneticPr fontId="3" type="noConversion"/>
  </si>
  <si>
    <t>G874884</t>
    <phoneticPr fontId="3" type="noConversion"/>
  </si>
  <si>
    <t>G875392</t>
    <phoneticPr fontId="3" type="noConversion"/>
  </si>
  <si>
    <t>G87636</t>
    <phoneticPr fontId="3" type="noConversion"/>
  </si>
  <si>
    <t>總計</t>
    <phoneticPr fontId="3" type="noConversion"/>
  </si>
  <si>
    <t>進折</t>
    <phoneticPr fontId="3" type="noConversion"/>
  </si>
  <si>
    <t>BMW</t>
    <phoneticPr fontId="3" type="noConversion"/>
  </si>
  <si>
    <t>V677824</t>
    <phoneticPr fontId="3" type="noConversion"/>
  </si>
  <si>
    <t>V911758</t>
    <phoneticPr fontId="3" type="noConversion"/>
  </si>
  <si>
    <t>V911759</t>
  </si>
  <si>
    <t>V911764</t>
    <phoneticPr fontId="3" type="noConversion"/>
  </si>
  <si>
    <t>V911787</t>
    <phoneticPr fontId="3" type="noConversion"/>
  </si>
  <si>
    <t>V911791</t>
    <phoneticPr fontId="3" type="noConversion"/>
  </si>
  <si>
    <t>V912166</t>
  </si>
  <si>
    <t>NT25843</t>
    <phoneticPr fontId="3" type="noConversion"/>
  </si>
  <si>
    <t>NT25957</t>
    <phoneticPr fontId="3" type="noConversion"/>
  </si>
  <si>
    <t>NU48293</t>
  </si>
  <si>
    <t>BH06420</t>
    <phoneticPr fontId="3" type="noConversion"/>
  </si>
  <si>
    <t>G765299</t>
  </si>
  <si>
    <t>G873202</t>
  </si>
  <si>
    <t>G874638</t>
  </si>
  <si>
    <t>G921756</t>
    <phoneticPr fontId="3" type="noConversion"/>
  </si>
  <si>
    <t>G922050</t>
    <phoneticPr fontId="3" type="noConversion"/>
  </si>
  <si>
    <t>G922231</t>
    <phoneticPr fontId="3" type="noConversion"/>
  </si>
  <si>
    <t>G922232</t>
    <phoneticPr fontId="3" type="noConversion"/>
  </si>
  <si>
    <t>G922673</t>
    <phoneticPr fontId="3" type="noConversion"/>
  </si>
  <si>
    <t>G923548</t>
    <phoneticPr fontId="3" type="noConversion"/>
  </si>
  <si>
    <t>G923603</t>
    <phoneticPr fontId="3" type="noConversion"/>
  </si>
  <si>
    <t>G923604</t>
    <phoneticPr fontId="3" type="noConversion"/>
  </si>
  <si>
    <t>G923611</t>
    <phoneticPr fontId="3" type="noConversion"/>
  </si>
  <si>
    <t>G923612</t>
    <phoneticPr fontId="3" type="noConversion"/>
  </si>
  <si>
    <t>G924162</t>
    <phoneticPr fontId="3" type="noConversion"/>
  </si>
  <si>
    <t>G924443</t>
    <phoneticPr fontId="3" type="noConversion"/>
  </si>
  <si>
    <t>G925152</t>
  </si>
  <si>
    <t>G925154</t>
  </si>
  <si>
    <t>G925857</t>
    <phoneticPr fontId="3" type="noConversion"/>
  </si>
  <si>
    <t>G411952</t>
    <phoneticPr fontId="3" type="noConversion"/>
  </si>
  <si>
    <t>G411968</t>
  </si>
  <si>
    <t>G808923</t>
  </si>
  <si>
    <t>G927549</t>
  </si>
  <si>
    <t>5J30005</t>
  </si>
  <si>
    <t>AUN-2613</t>
  </si>
  <si>
    <t>5J30866</t>
  </si>
  <si>
    <t>AUN-2573</t>
  </si>
  <si>
    <t>V969841</t>
  </si>
  <si>
    <t>AUN-2920</t>
  </si>
  <si>
    <t>V971148</t>
  </si>
  <si>
    <t>AUN-2910</t>
  </si>
  <si>
    <t>V956577</t>
  </si>
  <si>
    <t>AUN-2581</t>
  </si>
  <si>
    <t>V956578</t>
  </si>
  <si>
    <t>AUN-2570</t>
  </si>
  <si>
    <t>5C59368</t>
  </si>
  <si>
    <t>AUN-2610</t>
  </si>
  <si>
    <t>V954096</t>
    <phoneticPr fontId="3" type="noConversion"/>
  </si>
  <si>
    <t>V954313</t>
    <phoneticPr fontId="3" type="noConversion"/>
  </si>
  <si>
    <t>V954727</t>
  </si>
  <si>
    <t>V954728</t>
  </si>
  <si>
    <t>V954879</t>
    <phoneticPr fontId="3" type="noConversion"/>
  </si>
  <si>
    <t>5G53420</t>
    <phoneticPr fontId="3" type="noConversion"/>
  </si>
  <si>
    <t>2GT</t>
  </si>
  <si>
    <t>5G54606</t>
  </si>
  <si>
    <t>NU88460</t>
  </si>
  <si>
    <t>AUN-2587</t>
  </si>
  <si>
    <t>NU88496</t>
  </si>
  <si>
    <t>試乘車</t>
  </si>
  <si>
    <t>NU94373</t>
  </si>
  <si>
    <t>AUN-2590</t>
  </si>
  <si>
    <t>G838254</t>
  </si>
  <si>
    <t>G838343</t>
  </si>
  <si>
    <t>AUN-2603</t>
  </si>
  <si>
    <t>G838348</t>
  </si>
  <si>
    <t>G448641</t>
    <phoneticPr fontId="3" type="noConversion"/>
  </si>
  <si>
    <t>G832204</t>
    <phoneticPr fontId="3" type="noConversion"/>
  </si>
  <si>
    <t>汎德台南</t>
  </si>
  <si>
    <t>BH06650</t>
  </si>
  <si>
    <t>BH06732</t>
  </si>
  <si>
    <t>AUN-2611</t>
  </si>
  <si>
    <t>BH07656</t>
  </si>
  <si>
    <t>AUN-2612</t>
  </si>
  <si>
    <t>BH06023</t>
    <phoneticPr fontId="3" type="noConversion"/>
  </si>
  <si>
    <t>G993841</t>
  </si>
  <si>
    <t>G993843</t>
  </si>
  <si>
    <t>G993851</t>
  </si>
  <si>
    <t>AUN-2593</t>
  </si>
  <si>
    <t>G994385</t>
  </si>
  <si>
    <t>AUN-2591</t>
  </si>
  <si>
    <t>BC50445</t>
  </si>
  <si>
    <t>BC50450</t>
  </si>
  <si>
    <t>BC50657</t>
  </si>
  <si>
    <t>G876181</t>
  </si>
  <si>
    <t>AUN-2592</t>
  </si>
  <si>
    <t>G876615</t>
  </si>
  <si>
    <t>AUN-2595</t>
  </si>
  <si>
    <t>G875163</t>
  </si>
  <si>
    <t>5GT</t>
    <phoneticPr fontId="3" type="noConversion"/>
  </si>
  <si>
    <t>G267545</t>
    <phoneticPr fontId="3" type="noConversion"/>
  </si>
  <si>
    <t>G269331</t>
    <phoneticPr fontId="3" type="noConversion"/>
  </si>
  <si>
    <t>BC86776</t>
  </si>
  <si>
    <t>GA00290</t>
  </si>
  <si>
    <t>GA00461</t>
  </si>
  <si>
    <t>1706</t>
  </si>
  <si>
    <t>G809654</t>
  </si>
  <si>
    <t>AUN-2607</t>
  </si>
  <si>
    <t>G927633</t>
  </si>
  <si>
    <t>AUN-2605</t>
  </si>
  <si>
    <t>G412805</t>
  </si>
  <si>
    <t>G413635</t>
  </si>
  <si>
    <t>AUN-2601</t>
  </si>
  <si>
    <t>G414303</t>
  </si>
  <si>
    <t>AUN-2901</t>
  </si>
  <si>
    <t>M140I</t>
  </si>
  <si>
    <t>5D08051</t>
  </si>
  <si>
    <t>VA09828</t>
  </si>
  <si>
    <t>M240I</t>
    <phoneticPr fontId="3" type="noConversion"/>
  </si>
  <si>
    <t>V636827</t>
    <phoneticPr fontId="3" type="noConversion"/>
  </si>
  <si>
    <t>EA34087</t>
  </si>
  <si>
    <t>5F06075</t>
    <phoneticPr fontId="3" type="noConversion"/>
  </si>
  <si>
    <t>5H08958</t>
    <phoneticPr fontId="3" type="noConversion"/>
  </si>
  <si>
    <t>X1</t>
  </si>
  <si>
    <t>5H08972</t>
  </si>
  <si>
    <t>ED53927</t>
  </si>
  <si>
    <t>臨時牌</t>
  </si>
  <si>
    <t>EE19989</t>
  </si>
  <si>
    <t>0B76812</t>
    <phoneticPr fontId="3" type="noConversion"/>
  </si>
  <si>
    <t>X3</t>
  </si>
  <si>
    <t>0B78978</t>
  </si>
  <si>
    <t>0K13290</t>
  </si>
  <si>
    <t>X4</t>
  </si>
  <si>
    <t>0N52563</t>
  </si>
  <si>
    <t>0T75943</t>
  </si>
  <si>
    <t>0T94868</t>
    <phoneticPr fontId="3" type="noConversion"/>
  </si>
  <si>
    <t>0X16209</t>
  </si>
  <si>
    <t>X4 28I M</t>
  </si>
  <si>
    <t>0W44629</t>
  </si>
  <si>
    <t>0V47445</t>
    <phoneticPr fontId="3" type="noConversion"/>
  </si>
  <si>
    <t>0V47446</t>
    <phoneticPr fontId="3" type="noConversion"/>
  </si>
  <si>
    <t>0V48459</t>
  </si>
  <si>
    <t>X5 25D</t>
    <phoneticPr fontId="3" type="noConversion"/>
  </si>
  <si>
    <t>0V48560</t>
  </si>
  <si>
    <t>0Y28803</t>
  </si>
  <si>
    <t>0Y28804</t>
  </si>
  <si>
    <t>0V51503</t>
    <phoneticPr fontId="3" type="noConversion"/>
  </si>
  <si>
    <t>0V52475</t>
  </si>
  <si>
    <t>AUN-1387</t>
  </si>
  <si>
    <t>2G27519</t>
    <phoneticPr fontId="3" type="noConversion"/>
  </si>
  <si>
    <t>2F54244</t>
    <phoneticPr fontId="3" type="noConversion"/>
  </si>
  <si>
    <t>2G17972</t>
  </si>
  <si>
    <t>AUN-2173</t>
  </si>
  <si>
    <t>2G43339</t>
  </si>
  <si>
    <t>AUN-2187</t>
  </si>
  <si>
    <t>2F37180</t>
    <phoneticPr fontId="3" type="noConversion"/>
  </si>
  <si>
    <t>2F41362</t>
  </si>
  <si>
    <t>AUN-2183</t>
  </si>
  <si>
    <t>2G84887</t>
  </si>
  <si>
    <t>AUN-2190</t>
  </si>
  <si>
    <t>3A99720</t>
    <phoneticPr fontId="3" type="noConversion"/>
  </si>
  <si>
    <t>3D64466</t>
  </si>
  <si>
    <t>3D86055</t>
  </si>
  <si>
    <t>3D86238</t>
  </si>
  <si>
    <t>C650 SPORT</t>
    <phoneticPr fontId="3" type="noConversion"/>
  </si>
  <si>
    <t>Z314803</t>
    <phoneticPr fontId="3" type="noConversion"/>
  </si>
  <si>
    <t>Z197891</t>
  </si>
  <si>
    <t>MOTO</t>
  </si>
  <si>
    <t>Z698152</t>
  </si>
  <si>
    <t>總存貨</t>
    <phoneticPr fontId="3" type="noConversion"/>
  </si>
  <si>
    <t>Moto</t>
    <phoneticPr fontId="3" type="noConversion"/>
  </si>
  <si>
    <t>BPS</t>
    <phoneticPr fontId="3" type="noConversion"/>
  </si>
  <si>
    <t>TOTAL</t>
    <phoneticPr fontId="3" type="noConversion"/>
  </si>
  <si>
    <t>2018年1月新車進銷存表</t>
    <phoneticPr fontId="3" type="noConversion"/>
  </si>
  <si>
    <t>日期</t>
    <phoneticPr fontId="3" type="noConversion"/>
  </si>
  <si>
    <t>進貨廠商</t>
    <phoneticPr fontId="3" type="noConversion"/>
  </si>
  <si>
    <t>車型</t>
    <phoneticPr fontId="3" type="noConversion"/>
  </si>
  <si>
    <t>車身號碼</t>
    <phoneticPr fontId="3" type="noConversion"/>
  </si>
  <si>
    <t>本月進貨</t>
    <phoneticPr fontId="3" type="noConversion"/>
  </si>
  <si>
    <t>上月存貨</t>
    <phoneticPr fontId="3" type="noConversion"/>
  </si>
  <si>
    <t>合計</t>
    <phoneticPr fontId="3" type="noConversion"/>
  </si>
  <si>
    <t>銷貨</t>
    <phoneticPr fontId="3" type="noConversion"/>
  </si>
  <si>
    <t>成本</t>
    <phoneticPr fontId="3" type="noConversion"/>
  </si>
  <si>
    <t>本月存貨</t>
    <phoneticPr fontId="3" type="noConversion"/>
  </si>
  <si>
    <t>F</t>
    <phoneticPr fontId="3" type="noConversion"/>
  </si>
  <si>
    <t>F800GS</t>
    <phoneticPr fontId="3" type="noConversion"/>
  </si>
  <si>
    <t>ZL07883</t>
    <phoneticPr fontId="3" type="noConversion"/>
  </si>
  <si>
    <t>ZL07934</t>
    <phoneticPr fontId="3" type="noConversion"/>
  </si>
  <si>
    <t>G</t>
    <phoneticPr fontId="3" type="noConversion"/>
  </si>
  <si>
    <t>G310 GS</t>
  </si>
  <si>
    <t>R824256</t>
  </si>
  <si>
    <t>K</t>
    <phoneticPr fontId="3" type="noConversion"/>
  </si>
  <si>
    <t>K1600 B</t>
  </si>
  <si>
    <t>ZG16087</t>
  </si>
  <si>
    <t>R</t>
    <phoneticPr fontId="3" type="noConversion"/>
  </si>
  <si>
    <t>R1200 R</t>
  </si>
  <si>
    <t>Z197944</t>
  </si>
  <si>
    <t>RNINET</t>
    <phoneticPr fontId="3" type="noConversion"/>
  </si>
  <si>
    <t>Z698251</t>
  </si>
  <si>
    <t>Z731567</t>
  </si>
  <si>
    <t>Z731568</t>
  </si>
  <si>
    <t>Z731569</t>
  </si>
  <si>
    <r>
      <t>RNINET</t>
    </r>
    <r>
      <rPr>
        <sz val="10"/>
        <color rgb="FFFF0000"/>
        <rFont val="微軟正黑體"/>
        <family val="2"/>
        <charset val="136"/>
      </rPr>
      <t xml:space="preserve"> R</t>
    </r>
    <phoneticPr fontId="3" type="noConversion"/>
  </si>
  <si>
    <t>Z741188</t>
  </si>
  <si>
    <t>Z794366</t>
  </si>
  <si>
    <t>RNINET U</t>
  </si>
  <si>
    <t>Z796440</t>
  </si>
  <si>
    <t>RNINET/S</t>
  </si>
  <si>
    <t>Z794285</t>
  </si>
  <si>
    <t>Z794364</t>
  </si>
  <si>
    <t>Z794365</t>
  </si>
  <si>
    <t>匯特</t>
    <phoneticPr fontId="3" type="noConversion"/>
  </si>
  <si>
    <t>C</t>
    <phoneticPr fontId="3" type="noConversion"/>
  </si>
  <si>
    <t>C650GT</t>
    <phoneticPr fontId="3" type="noConversion"/>
  </si>
  <si>
    <t>Z316155</t>
    <phoneticPr fontId="3" type="noConversion"/>
  </si>
  <si>
    <r>
      <t>ZD9</t>
    </r>
    <r>
      <rPr>
        <sz val="10"/>
        <rFont val="微軟正黑體"/>
        <family val="2"/>
        <charset val="136"/>
      </rPr>
      <t>9</t>
    </r>
    <r>
      <rPr>
        <sz val="10"/>
        <rFont val="微軟正黑體"/>
        <family val="2"/>
        <charset val="136"/>
      </rPr>
      <t>606</t>
    </r>
    <phoneticPr fontId="3" type="noConversion"/>
  </si>
  <si>
    <t>K1600GTL</t>
    <phoneticPr fontId="3" type="noConversion"/>
  </si>
  <si>
    <t>ZZ28774</t>
    <phoneticPr fontId="3" type="noConversion"/>
  </si>
  <si>
    <t>Z197943</t>
  </si>
  <si>
    <t>Z731565</t>
  </si>
  <si>
    <t>Z731566</t>
  </si>
  <si>
    <t>RNINET S</t>
    <phoneticPr fontId="3" type="noConversion"/>
  </si>
  <si>
    <t>Z794248</t>
    <phoneticPr fontId="3" type="noConversion"/>
  </si>
  <si>
    <t>Z794363</t>
  </si>
  <si>
    <t>MOTO</t>
    <phoneticPr fontId="3" type="noConversion"/>
  </si>
  <si>
    <t>試乘車</t>
    <phoneticPr fontId="3" type="noConversion"/>
  </si>
  <si>
    <t>價差</t>
    <phoneticPr fontId="3" type="noConversion"/>
  </si>
  <si>
    <t>MINI</t>
    <phoneticPr fontId="3" type="noConversion"/>
  </si>
  <si>
    <t>F54</t>
    <phoneticPr fontId="3" type="noConversion"/>
  </si>
  <si>
    <t>2G68075</t>
  </si>
  <si>
    <t>F55</t>
    <phoneticPr fontId="3" type="noConversion"/>
  </si>
  <si>
    <t>2G21995</t>
  </si>
  <si>
    <t>汎德台北</t>
    <phoneticPr fontId="3" type="noConversion"/>
  </si>
  <si>
    <r>
      <t>F</t>
    </r>
    <r>
      <rPr>
        <sz val="10"/>
        <color rgb="FFFF0000"/>
        <rFont val="微軟正黑體"/>
        <family val="2"/>
        <charset val="136"/>
      </rPr>
      <t>55</t>
    </r>
    <phoneticPr fontId="3" type="noConversion"/>
  </si>
  <si>
    <r>
      <t>2</t>
    </r>
    <r>
      <rPr>
        <sz val="10"/>
        <rFont val="微軟正黑體"/>
        <family val="2"/>
        <charset val="136"/>
      </rPr>
      <t>H13574</t>
    </r>
    <phoneticPr fontId="3" type="noConversion"/>
  </si>
  <si>
    <t>2G93011</t>
  </si>
  <si>
    <t>2G44553</t>
  </si>
  <si>
    <t>F56</t>
    <phoneticPr fontId="3" type="noConversion"/>
  </si>
  <si>
    <t>2F41783</t>
  </si>
  <si>
    <t>2F43069</t>
  </si>
  <si>
    <t>2F43089</t>
  </si>
  <si>
    <t>2F43174</t>
  </si>
  <si>
    <t>F56 ONE</t>
    <phoneticPr fontId="3" type="noConversion"/>
  </si>
  <si>
    <t>2E90952</t>
    <phoneticPr fontId="3" type="noConversion"/>
  </si>
  <si>
    <t>2E92584</t>
  </si>
  <si>
    <t>2G84832</t>
  </si>
  <si>
    <t>2G85676</t>
  </si>
  <si>
    <t>2G86610</t>
  </si>
  <si>
    <t>2G86827</t>
  </si>
  <si>
    <t>2G86861</t>
  </si>
  <si>
    <t>F60</t>
    <phoneticPr fontId="3" type="noConversion"/>
  </si>
  <si>
    <t>F60 S</t>
    <phoneticPr fontId="3" type="noConversion"/>
  </si>
  <si>
    <t>3E36709</t>
  </si>
  <si>
    <t>A04</t>
    <phoneticPr fontId="3" type="noConversion"/>
  </si>
  <si>
    <t>2F37179</t>
    <phoneticPr fontId="3" type="noConversion"/>
  </si>
  <si>
    <t>F56 S</t>
    <phoneticPr fontId="3" type="noConversion"/>
  </si>
  <si>
    <t>2E09718</t>
    <phoneticPr fontId="3" type="noConversion"/>
  </si>
  <si>
    <t>汎德台中</t>
    <phoneticPr fontId="3" type="noConversion"/>
  </si>
  <si>
    <r>
      <t>F</t>
    </r>
    <r>
      <rPr>
        <sz val="10"/>
        <color rgb="FFFF0000"/>
        <rFont val="微軟正黑體"/>
        <family val="2"/>
        <charset val="136"/>
      </rPr>
      <t>60</t>
    </r>
    <phoneticPr fontId="3" type="noConversion"/>
  </si>
  <si>
    <r>
      <t>3</t>
    </r>
    <r>
      <rPr>
        <sz val="10"/>
        <color theme="1"/>
        <rFont val="微軟正黑體"/>
        <family val="2"/>
        <charset val="136"/>
      </rPr>
      <t>D66026</t>
    </r>
    <phoneticPr fontId="3" type="noConversion"/>
  </si>
  <si>
    <t>3E72129</t>
  </si>
  <si>
    <t>3E72264</t>
  </si>
  <si>
    <t>3E72486</t>
  </si>
  <si>
    <t>3E72847</t>
  </si>
  <si>
    <r>
      <t>F</t>
    </r>
    <r>
      <rPr>
        <sz val="10"/>
        <color rgb="FFFF0000"/>
        <rFont val="微軟正黑體"/>
        <family val="2"/>
        <charset val="136"/>
      </rPr>
      <t>60 S</t>
    </r>
    <phoneticPr fontId="3" type="noConversion"/>
  </si>
  <si>
    <r>
      <t>3</t>
    </r>
    <r>
      <rPr>
        <sz val="10"/>
        <rFont val="微軟正黑體"/>
        <family val="2"/>
        <charset val="136"/>
      </rPr>
      <t>D87049</t>
    </r>
    <phoneticPr fontId="3" type="noConversion"/>
  </si>
  <si>
    <t>3E36614</t>
    <phoneticPr fontId="3" type="noConversion"/>
  </si>
  <si>
    <t>3E37466</t>
  </si>
  <si>
    <t>3E72697</t>
  </si>
  <si>
    <t>A07</t>
    <phoneticPr fontId="3" type="noConversion"/>
  </si>
  <si>
    <t>2G20021</t>
  </si>
  <si>
    <t>汎德高雄</t>
    <phoneticPr fontId="3" type="noConversion"/>
  </si>
  <si>
    <r>
      <t>2</t>
    </r>
    <r>
      <rPr>
        <sz val="10"/>
        <rFont val="微軟正黑體"/>
        <family val="2"/>
        <charset val="136"/>
      </rPr>
      <t>G29967</t>
    </r>
    <phoneticPr fontId="3" type="noConversion"/>
  </si>
  <si>
    <r>
      <t>F</t>
    </r>
    <r>
      <rPr>
        <sz val="10"/>
        <color rgb="FFFF0000"/>
        <rFont val="微軟正黑體"/>
        <family val="2"/>
        <charset val="136"/>
      </rPr>
      <t>55 ONE</t>
    </r>
    <phoneticPr fontId="3" type="noConversion"/>
  </si>
  <si>
    <r>
      <t>2</t>
    </r>
    <r>
      <rPr>
        <sz val="10"/>
        <color theme="1"/>
        <rFont val="微軟正黑體"/>
        <family val="2"/>
        <charset val="136"/>
      </rPr>
      <t>G92543</t>
    </r>
    <phoneticPr fontId="3" type="noConversion"/>
  </si>
  <si>
    <t>2F37395</t>
    <phoneticPr fontId="3" type="noConversion"/>
  </si>
  <si>
    <t>2G85022</t>
  </si>
  <si>
    <t>3E72402</t>
  </si>
  <si>
    <t>3E72739</t>
  </si>
  <si>
    <t>3E72393</t>
  </si>
  <si>
    <t>3E72848</t>
  </si>
  <si>
    <t>2G92545</t>
  </si>
  <si>
    <r>
      <t>3</t>
    </r>
    <r>
      <rPr>
        <sz val="10"/>
        <rFont val="微軟正黑體"/>
        <family val="2"/>
        <charset val="136"/>
      </rPr>
      <t>E36780</t>
    </r>
    <phoneticPr fontId="3" type="noConversion"/>
  </si>
  <si>
    <t>2G20236</t>
  </si>
  <si>
    <t>3E72696</t>
  </si>
  <si>
    <t>2E09462</t>
    <phoneticPr fontId="3" type="noConversion"/>
  </si>
  <si>
    <t>2E92583</t>
    <phoneticPr fontId="3" type="noConversion"/>
  </si>
  <si>
    <r>
      <t>2</t>
    </r>
    <r>
      <rPr>
        <sz val="10"/>
        <color theme="1"/>
        <rFont val="微軟正黑體"/>
        <family val="2"/>
        <charset val="136"/>
      </rPr>
      <t>F98644</t>
    </r>
    <phoneticPr fontId="3" type="noConversion"/>
  </si>
  <si>
    <r>
      <t>2</t>
    </r>
    <r>
      <rPr>
        <sz val="10"/>
        <rFont val="微軟正黑體"/>
        <family val="2"/>
        <charset val="136"/>
      </rPr>
      <t>G43659</t>
    </r>
    <phoneticPr fontId="3" type="noConversion"/>
  </si>
  <si>
    <r>
      <t>2</t>
    </r>
    <r>
      <rPr>
        <sz val="10"/>
        <rFont val="微軟正黑體"/>
        <family val="2"/>
        <charset val="136"/>
      </rPr>
      <t>G66932</t>
    </r>
    <phoneticPr fontId="3" type="noConversion"/>
  </si>
  <si>
    <r>
      <t>3</t>
    </r>
    <r>
      <rPr>
        <sz val="10"/>
        <color theme="1"/>
        <rFont val="微軟正黑體"/>
        <family val="2"/>
        <charset val="136"/>
      </rPr>
      <t>D63160</t>
    </r>
    <phoneticPr fontId="3" type="noConversion"/>
  </si>
  <si>
    <t>3D66899</t>
    <phoneticPr fontId="3" type="noConversion"/>
  </si>
  <si>
    <t>BWM</t>
    <phoneticPr fontId="3" type="noConversion"/>
  </si>
  <si>
    <t>1</t>
    <phoneticPr fontId="3" type="noConversion"/>
  </si>
  <si>
    <t>7A46513</t>
  </si>
  <si>
    <t>7B05797</t>
  </si>
  <si>
    <t>7B05800</t>
  </si>
  <si>
    <t>7B05889</t>
  </si>
  <si>
    <t>7B06024</t>
  </si>
  <si>
    <t>7B06757</t>
  </si>
  <si>
    <t>2AT</t>
    <phoneticPr fontId="3" type="noConversion"/>
  </si>
  <si>
    <t>2GT</t>
    <phoneticPr fontId="3" type="noConversion"/>
  </si>
  <si>
    <t>7A59358</t>
  </si>
  <si>
    <t>7A59360</t>
  </si>
  <si>
    <t>218IAT*</t>
  </si>
  <si>
    <t>7A59361</t>
  </si>
  <si>
    <t>7A59364</t>
  </si>
  <si>
    <t>7A60190</t>
  </si>
  <si>
    <t>7A60225</t>
  </si>
  <si>
    <t>5C60253</t>
  </si>
  <si>
    <t>2</t>
    <phoneticPr fontId="3" type="noConversion"/>
  </si>
  <si>
    <t>VD61924</t>
  </si>
  <si>
    <t>3</t>
    <phoneticPr fontId="3" type="noConversion"/>
  </si>
  <si>
    <t>NU88545</t>
  </si>
  <si>
    <t>NU88567</t>
  </si>
  <si>
    <t>NU88568</t>
  </si>
  <si>
    <t>NU88569</t>
  </si>
  <si>
    <t>NU88570</t>
  </si>
  <si>
    <t>NU88571</t>
  </si>
  <si>
    <t>NU88592</t>
  </si>
  <si>
    <t>NU88593</t>
  </si>
  <si>
    <t>NU88665</t>
  </si>
  <si>
    <t>NU88867</t>
  </si>
  <si>
    <t>NU94459</t>
  </si>
  <si>
    <t>NU94484</t>
  </si>
  <si>
    <t>AC98344</t>
  </si>
  <si>
    <t>AD33978</t>
  </si>
  <si>
    <t>AD33979</t>
  </si>
  <si>
    <t>3GT</t>
    <phoneticPr fontId="3" type="noConversion"/>
  </si>
  <si>
    <t>G844437</t>
  </si>
  <si>
    <t>G844438</t>
  </si>
  <si>
    <t>G844439</t>
  </si>
  <si>
    <t>4</t>
    <phoneticPr fontId="3" type="noConversion"/>
  </si>
  <si>
    <t>420CI</t>
    <phoneticPr fontId="3" type="noConversion"/>
  </si>
  <si>
    <t>4GC</t>
    <phoneticPr fontId="3" type="noConversion"/>
  </si>
  <si>
    <t>BH09739</t>
  </si>
  <si>
    <t>BH09741</t>
  </si>
  <si>
    <t>鎔德</t>
    <phoneticPr fontId="3" type="noConversion"/>
  </si>
  <si>
    <t>5</t>
    <phoneticPr fontId="3" type="noConversion"/>
  </si>
  <si>
    <r>
      <t>5</t>
    </r>
    <r>
      <rPr>
        <sz val="10"/>
        <color rgb="FFFF0000"/>
        <rFont val="微軟正黑體"/>
        <family val="2"/>
        <charset val="136"/>
      </rPr>
      <t>20D</t>
    </r>
    <phoneticPr fontId="3" type="noConversion"/>
  </si>
  <si>
    <r>
      <t>G</t>
    </r>
    <r>
      <rPr>
        <sz val="10"/>
        <rFont val="微軟正黑體"/>
        <family val="2"/>
        <charset val="136"/>
      </rPr>
      <t>991663</t>
    </r>
    <phoneticPr fontId="3" type="noConversion"/>
  </si>
  <si>
    <t>G994003</t>
  </si>
  <si>
    <t>BH85016</t>
  </si>
  <si>
    <t>BH85021</t>
  </si>
  <si>
    <t>BH85308</t>
  </si>
  <si>
    <t>BH85576</t>
  </si>
  <si>
    <t>530D</t>
    <phoneticPr fontId="3" type="noConversion"/>
  </si>
  <si>
    <t>G471169</t>
    <phoneticPr fontId="3" type="noConversion"/>
  </si>
  <si>
    <t>6GT</t>
    <phoneticPr fontId="3" type="noConversion"/>
  </si>
  <si>
    <t>6GC</t>
    <phoneticPr fontId="3" type="noConversion"/>
  </si>
  <si>
    <t>7</t>
    <phoneticPr fontId="3" type="noConversion"/>
  </si>
  <si>
    <t>B194388</t>
  </si>
  <si>
    <t>B194390</t>
  </si>
  <si>
    <t>B194436</t>
  </si>
  <si>
    <t>B194450</t>
  </si>
  <si>
    <t>M2</t>
    <phoneticPr fontId="3" type="noConversion"/>
  </si>
  <si>
    <t>M240</t>
    <phoneticPr fontId="3" type="noConversion"/>
  </si>
  <si>
    <t>M3</t>
    <phoneticPr fontId="3" type="noConversion"/>
  </si>
  <si>
    <t>X1</t>
    <phoneticPr fontId="3" type="noConversion"/>
  </si>
  <si>
    <t>ED62036</t>
  </si>
  <si>
    <t>ED62037</t>
  </si>
  <si>
    <t>ED62040</t>
  </si>
  <si>
    <t>ED62041</t>
  </si>
  <si>
    <t>ED62706</t>
  </si>
  <si>
    <t>ED62921</t>
  </si>
  <si>
    <t>ED62972</t>
  </si>
  <si>
    <t>ED62986</t>
  </si>
  <si>
    <t>ED63730</t>
  </si>
  <si>
    <t>EE23202</t>
  </si>
  <si>
    <t>EE23203</t>
  </si>
  <si>
    <t>EE23486</t>
  </si>
  <si>
    <t>EE23532</t>
  </si>
  <si>
    <t>X3</t>
    <phoneticPr fontId="3" type="noConversion"/>
  </si>
  <si>
    <t>LC54368</t>
  </si>
  <si>
    <t>X4</t>
    <phoneticPr fontId="3" type="noConversion"/>
  </si>
  <si>
    <t>X5</t>
    <phoneticPr fontId="3" type="noConversion"/>
  </si>
  <si>
    <t>0Y28818</t>
  </si>
  <si>
    <t>0Y29413</t>
  </si>
  <si>
    <t>0Y29415</t>
  </si>
  <si>
    <t>0Y29523</t>
  </si>
  <si>
    <t>0Y29802</t>
  </si>
  <si>
    <t>X5 35I</t>
    <phoneticPr fontId="3" type="noConversion"/>
  </si>
  <si>
    <t>0X64805</t>
  </si>
  <si>
    <t>X6</t>
    <phoneticPr fontId="3" type="noConversion"/>
  </si>
  <si>
    <t>0Y34403</t>
  </si>
  <si>
    <t>A01</t>
    <phoneticPr fontId="3" type="noConversion"/>
  </si>
  <si>
    <t>7B05796</t>
  </si>
  <si>
    <t>7B06756</t>
  </si>
  <si>
    <t>120I</t>
    <phoneticPr fontId="3" type="noConversion"/>
  </si>
  <si>
    <t>5H24481</t>
    <phoneticPr fontId="3" type="noConversion"/>
  </si>
  <si>
    <t>7A59218</t>
  </si>
  <si>
    <t>7A59357</t>
  </si>
  <si>
    <t>V957522</t>
  </si>
  <si>
    <t>7A60330</t>
  </si>
  <si>
    <t>220IGT</t>
  </si>
  <si>
    <t>5J19213</t>
  </si>
  <si>
    <t>NU88520</t>
  </si>
  <si>
    <t>NU88540</t>
  </si>
  <si>
    <t>NU88566</t>
  </si>
  <si>
    <t>NU88666</t>
  </si>
  <si>
    <r>
      <t>3</t>
    </r>
    <r>
      <rPr>
        <sz val="10"/>
        <color rgb="FFFF0000"/>
        <rFont val="微軟正黑體"/>
        <family val="2"/>
        <charset val="136"/>
      </rPr>
      <t>20I</t>
    </r>
    <phoneticPr fontId="3" type="noConversion"/>
  </si>
  <si>
    <r>
      <t>N</t>
    </r>
    <r>
      <rPr>
        <sz val="10"/>
        <rFont val="微軟正黑體"/>
        <family val="2"/>
        <charset val="136"/>
      </rPr>
      <t>U94428</t>
    </r>
    <phoneticPr fontId="3" type="noConversion"/>
  </si>
  <si>
    <t>AD33750</t>
  </si>
  <si>
    <t>汎德台南</t>
    <phoneticPr fontId="3" type="noConversion"/>
  </si>
  <si>
    <t>320I TOURING</t>
    <phoneticPr fontId="3" type="noConversion"/>
  </si>
  <si>
    <t>AD33791</t>
    <phoneticPr fontId="3" type="noConversion"/>
  </si>
  <si>
    <t>G843324</t>
  </si>
  <si>
    <t>G843958</t>
  </si>
  <si>
    <t>G843960</t>
  </si>
  <si>
    <t>G845433</t>
  </si>
  <si>
    <t>G845624</t>
  </si>
  <si>
    <t>BH09591</t>
  </si>
  <si>
    <t>BH84934</t>
  </si>
  <si>
    <t>BH85822</t>
  </si>
  <si>
    <t>530I</t>
    <phoneticPr fontId="3" type="noConversion"/>
  </si>
  <si>
    <t>G875749</t>
    <phoneticPr fontId="3" type="noConversion"/>
  </si>
  <si>
    <t>G877170</t>
  </si>
  <si>
    <t>G877176</t>
    <phoneticPr fontId="3" type="noConversion"/>
  </si>
  <si>
    <t>G971366</t>
  </si>
  <si>
    <t>BH87758</t>
  </si>
  <si>
    <t>BH87894</t>
  </si>
  <si>
    <t>G809773</t>
  </si>
  <si>
    <t>B194448</t>
  </si>
  <si>
    <t>740LI</t>
    <phoneticPr fontId="3" type="noConversion"/>
  </si>
  <si>
    <r>
      <t>7</t>
    </r>
    <r>
      <rPr>
        <sz val="10"/>
        <color rgb="FFFF0000"/>
        <rFont val="微軟正黑體"/>
        <family val="2"/>
        <charset val="136"/>
      </rPr>
      <t>40LI</t>
    </r>
    <phoneticPr fontId="3" type="noConversion"/>
  </si>
  <si>
    <r>
      <t>G</t>
    </r>
    <r>
      <rPr>
        <sz val="10"/>
        <rFont val="微軟正黑體"/>
        <family val="2"/>
        <charset val="136"/>
      </rPr>
      <t>413509</t>
    </r>
    <phoneticPr fontId="3" type="noConversion"/>
  </si>
  <si>
    <t>賓歐</t>
    <phoneticPr fontId="3" type="noConversion"/>
  </si>
  <si>
    <t>VA09938</t>
    <phoneticPr fontId="3" type="noConversion"/>
  </si>
  <si>
    <t>ED62038</t>
  </si>
  <si>
    <t>ED62039</t>
  </si>
  <si>
    <t>ED62703</t>
  </si>
  <si>
    <t>ED62704</t>
  </si>
  <si>
    <t>ED62705</t>
  </si>
  <si>
    <t>ED63822</t>
  </si>
  <si>
    <t>X1 S20I</t>
    <phoneticPr fontId="3" type="noConversion"/>
  </si>
  <si>
    <t>EE23559</t>
    <phoneticPr fontId="3" type="noConversion"/>
  </si>
  <si>
    <t>LB59363</t>
  </si>
  <si>
    <t>LB59387</t>
  </si>
  <si>
    <t>X4 20I</t>
  </si>
  <si>
    <t>0X17396</t>
  </si>
  <si>
    <t>X4 20I M</t>
    <phoneticPr fontId="3" type="noConversion"/>
  </si>
  <si>
    <t>0X16643</t>
    <phoneticPr fontId="3" type="noConversion"/>
  </si>
  <si>
    <t>X4 28I</t>
    <phoneticPr fontId="3" type="noConversion"/>
  </si>
  <si>
    <t>0W45193</t>
    <phoneticPr fontId="3" type="noConversion"/>
  </si>
  <si>
    <t>尚德</t>
    <phoneticPr fontId="3" type="noConversion"/>
  </si>
  <si>
    <t>0Y28817</t>
  </si>
  <si>
    <t>0Y29031</t>
  </si>
  <si>
    <t>0Y29055</t>
  </si>
  <si>
    <t>0Y29776</t>
  </si>
  <si>
    <t>0Y30079</t>
  </si>
  <si>
    <t>0X65340</t>
  </si>
  <si>
    <r>
      <t>X</t>
    </r>
    <r>
      <rPr>
        <sz val="10"/>
        <color rgb="FFFF0000"/>
        <rFont val="微軟正黑體"/>
        <family val="2"/>
        <charset val="136"/>
      </rPr>
      <t>6 35I</t>
    </r>
    <phoneticPr fontId="3" type="noConversion"/>
  </si>
  <si>
    <r>
      <t>0</t>
    </r>
    <r>
      <rPr>
        <sz val="10"/>
        <color theme="1"/>
        <rFont val="微軟正黑體"/>
        <family val="2"/>
        <charset val="136"/>
      </rPr>
      <t>Y34660</t>
    </r>
    <phoneticPr fontId="3" type="noConversion"/>
  </si>
  <si>
    <t>A02</t>
    <phoneticPr fontId="3" type="noConversion"/>
  </si>
  <si>
    <t>5H24997</t>
  </si>
  <si>
    <t>5H25005</t>
  </si>
  <si>
    <t>5H25006</t>
  </si>
  <si>
    <t>7A59124</t>
  </si>
  <si>
    <t>5J19227</t>
  </si>
  <si>
    <t>NU88499</t>
  </si>
  <si>
    <t>NU88549</t>
  </si>
  <si>
    <t>318I</t>
    <phoneticPr fontId="3" type="noConversion"/>
  </si>
  <si>
    <t>NU88613</t>
    <phoneticPr fontId="3" type="noConversion"/>
  </si>
  <si>
    <r>
      <t>3</t>
    </r>
    <r>
      <rPr>
        <sz val="10"/>
        <color rgb="FFFF0000"/>
        <rFont val="微軟正黑體"/>
        <family val="2"/>
        <charset val="136"/>
      </rPr>
      <t>18I</t>
    </r>
    <phoneticPr fontId="3" type="noConversion"/>
  </si>
  <si>
    <t>NU88614</t>
    <phoneticPr fontId="3" type="noConversion"/>
  </si>
  <si>
    <r>
      <t>3</t>
    </r>
    <r>
      <rPr>
        <sz val="10"/>
        <color rgb="FFFF0000"/>
        <rFont val="微軟正黑體"/>
        <family val="2"/>
        <charset val="136"/>
      </rPr>
      <t>20IGT</t>
    </r>
    <phoneticPr fontId="3" type="noConversion"/>
  </si>
  <si>
    <r>
      <t>G</t>
    </r>
    <r>
      <rPr>
        <sz val="10"/>
        <rFont val="微軟正黑體"/>
        <family val="2"/>
        <charset val="136"/>
      </rPr>
      <t>842794</t>
    </r>
    <phoneticPr fontId="3" type="noConversion"/>
  </si>
  <si>
    <t>BH84939</t>
  </si>
  <si>
    <t>BH84940</t>
  </si>
  <si>
    <t>BH85236</t>
  </si>
  <si>
    <t>GA00564</t>
  </si>
  <si>
    <t>M140</t>
    <phoneticPr fontId="3" type="noConversion"/>
  </si>
  <si>
    <t>VD21518</t>
  </si>
  <si>
    <t>EA98987</t>
    <phoneticPr fontId="3" type="noConversion"/>
  </si>
  <si>
    <t>EE22189</t>
    <phoneticPr fontId="3" type="noConversion"/>
  </si>
  <si>
    <t>EE23379</t>
  </si>
  <si>
    <t>EE23497</t>
    <phoneticPr fontId="3" type="noConversion"/>
  </si>
  <si>
    <t>LB59384</t>
  </si>
  <si>
    <t>LB59399</t>
  </si>
  <si>
    <t>LC54369</t>
  </si>
  <si>
    <t>LC54419</t>
  </si>
  <si>
    <t>0X17014</t>
  </si>
  <si>
    <t>0Y28822</t>
  </si>
  <si>
    <t>0Y29411</t>
  </si>
  <si>
    <t>0Y29412</t>
  </si>
  <si>
    <t>0Y30274</t>
  </si>
  <si>
    <t>0X62652</t>
  </si>
  <si>
    <t>0X62660</t>
    <phoneticPr fontId="3" type="noConversion"/>
  </si>
  <si>
    <t>0X62751</t>
  </si>
  <si>
    <t>G876614</t>
  </si>
  <si>
    <t>BH09743</t>
  </si>
  <si>
    <t>BH85574</t>
  </si>
  <si>
    <t>B194347</t>
  </si>
  <si>
    <t>BH84941</t>
    <phoneticPr fontId="3" type="noConversion"/>
  </si>
  <si>
    <t>GA00577</t>
  </si>
  <si>
    <t>昌一</t>
    <phoneticPr fontId="3" type="noConversion"/>
  </si>
  <si>
    <t>5C60370</t>
  </si>
  <si>
    <t>BH85306</t>
  </si>
  <si>
    <r>
      <t>0</t>
    </r>
    <r>
      <rPr>
        <sz val="10"/>
        <rFont val="微軟正黑體"/>
        <family val="2"/>
        <charset val="136"/>
      </rPr>
      <t>V40707</t>
    </r>
    <phoneticPr fontId="3" type="noConversion"/>
  </si>
  <si>
    <r>
      <t>0</t>
    </r>
    <r>
      <rPr>
        <sz val="10"/>
        <color theme="1"/>
        <rFont val="微軟正黑體"/>
        <family val="2"/>
        <charset val="136"/>
      </rPr>
      <t>W60959</t>
    </r>
    <phoneticPr fontId="3" type="noConversion"/>
  </si>
  <si>
    <r>
      <t>0</t>
    </r>
    <r>
      <rPr>
        <sz val="10"/>
        <rFont val="微軟正黑體"/>
        <family val="2"/>
        <charset val="136"/>
      </rPr>
      <t>X17012</t>
    </r>
    <phoneticPr fontId="3" type="noConversion"/>
  </si>
  <si>
    <r>
      <t>5</t>
    </r>
    <r>
      <rPr>
        <sz val="10"/>
        <rFont val="微軟正黑體"/>
        <family val="2"/>
        <charset val="136"/>
      </rPr>
      <t>H24085</t>
    </r>
    <phoneticPr fontId="3" type="noConversion"/>
  </si>
  <si>
    <r>
      <t>5</t>
    </r>
    <r>
      <rPr>
        <sz val="10"/>
        <rFont val="微軟正黑體"/>
        <family val="2"/>
        <charset val="136"/>
      </rPr>
      <t>H24359</t>
    </r>
    <phoneticPr fontId="3" type="noConversion"/>
  </si>
  <si>
    <r>
      <t>5</t>
    </r>
    <r>
      <rPr>
        <sz val="10"/>
        <rFont val="微軟正黑體"/>
        <family val="2"/>
        <charset val="136"/>
      </rPr>
      <t>K52882</t>
    </r>
    <phoneticPr fontId="3" type="noConversion"/>
  </si>
  <si>
    <t>5K52988</t>
    <phoneticPr fontId="3" type="noConversion"/>
  </si>
  <si>
    <t>7A30558</t>
    <phoneticPr fontId="3" type="noConversion"/>
  </si>
  <si>
    <t>7A30731</t>
    <phoneticPr fontId="3" type="noConversion"/>
  </si>
  <si>
    <r>
      <t>A</t>
    </r>
    <r>
      <rPr>
        <sz val="10"/>
        <color theme="1"/>
        <rFont val="微軟正黑體"/>
        <family val="2"/>
        <charset val="136"/>
      </rPr>
      <t>C84733</t>
    </r>
    <phoneticPr fontId="3" type="noConversion"/>
  </si>
  <si>
    <t>B194269</t>
    <phoneticPr fontId="3" type="noConversion"/>
  </si>
  <si>
    <r>
      <t>B</t>
    </r>
    <r>
      <rPr>
        <sz val="10"/>
        <rFont val="微軟正黑體"/>
        <family val="2"/>
        <charset val="136"/>
      </rPr>
      <t>C88832</t>
    </r>
    <phoneticPr fontId="3" type="noConversion"/>
  </si>
  <si>
    <r>
      <t>B</t>
    </r>
    <r>
      <rPr>
        <sz val="10"/>
        <rFont val="微軟正黑體"/>
        <family val="2"/>
        <charset val="136"/>
      </rPr>
      <t>H08562</t>
    </r>
    <phoneticPr fontId="3" type="noConversion"/>
  </si>
  <si>
    <t>BH84531</t>
    <phoneticPr fontId="3" type="noConversion"/>
  </si>
  <si>
    <t>BH84750</t>
    <phoneticPr fontId="3" type="noConversion"/>
  </si>
  <si>
    <t>BH85293</t>
    <phoneticPr fontId="3" type="noConversion"/>
  </si>
  <si>
    <t>ED59367</t>
    <phoneticPr fontId="3" type="noConversion"/>
  </si>
  <si>
    <t>ED59387</t>
    <phoneticPr fontId="3" type="noConversion"/>
  </si>
  <si>
    <r>
      <t>E</t>
    </r>
    <r>
      <rPr>
        <sz val="10"/>
        <rFont val="微軟正黑體"/>
        <family val="2"/>
        <charset val="136"/>
      </rPr>
      <t>D61943</t>
    </r>
    <phoneticPr fontId="3" type="noConversion"/>
  </si>
  <si>
    <t>ED62304</t>
    <phoneticPr fontId="3" type="noConversion"/>
  </si>
  <si>
    <t>EE19862</t>
    <phoneticPr fontId="3" type="noConversion"/>
  </si>
  <si>
    <t>G414591</t>
    <phoneticPr fontId="3" type="noConversion"/>
  </si>
  <si>
    <t>G809210</t>
    <phoneticPr fontId="3" type="noConversion"/>
  </si>
  <si>
    <t>G875436</t>
    <phoneticPr fontId="3" type="noConversion"/>
  </si>
  <si>
    <t>G924005</t>
    <phoneticPr fontId="3" type="noConversion"/>
  </si>
  <si>
    <t>G924747</t>
    <phoneticPr fontId="3" type="noConversion"/>
  </si>
  <si>
    <t>G925871</t>
    <phoneticPr fontId="3" type="noConversion"/>
  </si>
  <si>
    <t>G991561</t>
    <phoneticPr fontId="3" type="noConversion"/>
  </si>
  <si>
    <t>G991771</t>
    <phoneticPr fontId="3" type="noConversion"/>
  </si>
  <si>
    <r>
      <t>G</t>
    </r>
    <r>
      <rPr>
        <sz val="10"/>
        <rFont val="微軟正黑體"/>
        <family val="2"/>
        <charset val="136"/>
      </rPr>
      <t>992329</t>
    </r>
    <phoneticPr fontId="3" type="noConversion"/>
  </si>
  <si>
    <r>
      <t>G</t>
    </r>
    <r>
      <rPr>
        <sz val="10"/>
        <rFont val="微軟正黑體"/>
        <family val="2"/>
        <charset val="136"/>
      </rPr>
      <t>992330</t>
    </r>
    <phoneticPr fontId="3" type="noConversion"/>
  </si>
  <si>
    <r>
      <t>N</t>
    </r>
    <r>
      <rPr>
        <sz val="10"/>
        <rFont val="微軟正黑體"/>
        <family val="2"/>
        <charset val="136"/>
      </rPr>
      <t>U94364</t>
    </r>
    <phoneticPr fontId="3" type="noConversion"/>
  </si>
  <si>
    <r>
      <t>N</t>
    </r>
    <r>
      <rPr>
        <sz val="10"/>
        <rFont val="微軟正黑體"/>
        <family val="2"/>
        <charset val="136"/>
      </rPr>
      <t>U94452</t>
    </r>
    <phoneticPr fontId="3" type="noConversion"/>
  </si>
  <si>
    <t>V433978</t>
    <phoneticPr fontId="3" type="noConversion"/>
  </si>
  <si>
    <r>
      <t>V</t>
    </r>
    <r>
      <rPr>
        <sz val="10"/>
        <rFont val="微軟正黑體"/>
        <family val="2"/>
        <charset val="136"/>
      </rPr>
      <t>867211</t>
    </r>
    <phoneticPr fontId="3" type="noConversion"/>
  </si>
  <si>
    <r>
      <t>V</t>
    </r>
    <r>
      <rPr>
        <sz val="10"/>
        <color theme="1"/>
        <rFont val="微軟正黑體"/>
        <family val="2"/>
        <charset val="136"/>
      </rPr>
      <t>957483</t>
    </r>
    <phoneticPr fontId="3" type="noConversion"/>
  </si>
  <si>
    <r>
      <t>V</t>
    </r>
    <r>
      <rPr>
        <sz val="10"/>
        <rFont val="微軟正黑體"/>
        <family val="2"/>
        <charset val="136"/>
      </rPr>
      <t>957568</t>
    </r>
    <phoneticPr fontId="3" type="noConversion"/>
  </si>
  <si>
    <t>V957571</t>
    <phoneticPr fontId="3" type="noConversion"/>
  </si>
  <si>
    <r>
      <t>V</t>
    </r>
    <r>
      <rPr>
        <sz val="10"/>
        <rFont val="微軟正黑體"/>
        <family val="2"/>
        <charset val="136"/>
      </rPr>
      <t>974736</t>
    </r>
    <phoneticPr fontId="3" type="noConversion"/>
  </si>
  <si>
    <t>V987831</t>
    <phoneticPr fontId="3" type="noConversion"/>
  </si>
  <si>
    <t>總計</t>
    <phoneticPr fontId="3" type="noConversion"/>
  </si>
  <si>
    <t>進折</t>
    <phoneticPr fontId="3" type="noConversion"/>
  </si>
  <si>
    <t>BMW</t>
    <phoneticPr fontId="3" type="noConversion"/>
  </si>
  <si>
    <t>V677824</t>
    <phoneticPr fontId="3" type="noConversion"/>
  </si>
  <si>
    <t>V911758</t>
    <phoneticPr fontId="3" type="noConversion"/>
  </si>
  <si>
    <t>V911764</t>
    <phoneticPr fontId="3" type="noConversion"/>
  </si>
  <si>
    <t>V911787</t>
    <phoneticPr fontId="3" type="noConversion"/>
  </si>
  <si>
    <t>V911791</t>
    <phoneticPr fontId="3" type="noConversion"/>
  </si>
  <si>
    <t>NT25843</t>
    <phoneticPr fontId="3" type="noConversion"/>
  </si>
  <si>
    <t>NT25957</t>
    <phoneticPr fontId="3" type="noConversion"/>
  </si>
  <si>
    <t>BH06420</t>
    <phoneticPr fontId="3" type="noConversion"/>
  </si>
  <si>
    <t>G921756</t>
    <phoneticPr fontId="3" type="noConversion"/>
  </si>
  <si>
    <t>G922050</t>
    <phoneticPr fontId="3" type="noConversion"/>
  </si>
  <si>
    <t>G922231</t>
    <phoneticPr fontId="3" type="noConversion"/>
  </si>
  <si>
    <t>G922232</t>
    <phoneticPr fontId="3" type="noConversion"/>
  </si>
  <si>
    <t>G922673</t>
    <phoneticPr fontId="3" type="noConversion"/>
  </si>
  <si>
    <t>G923548</t>
    <phoneticPr fontId="3" type="noConversion"/>
  </si>
  <si>
    <t>G923603</t>
    <phoneticPr fontId="3" type="noConversion"/>
  </si>
  <si>
    <t>G923604</t>
    <phoneticPr fontId="3" type="noConversion"/>
  </si>
  <si>
    <t>G923611</t>
    <phoneticPr fontId="3" type="noConversion"/>
  </si>
  <si>
    <t>G923612</t>
    <phoneticPr fontId="3" type="noConversion"/>
  </si>
  <si>
    <t>G924162</t>
    <phoneticPr fontId="3" type="noConversion"/>
  </si>
  <si>
    <t>G924443</t>
    <phoneticPr fontId="3" type="noConversion"/>
  </si>
  <si>
    <t>G925857</t>
    <phoneticPr fontId="3" type="noConversion"/>
  </si>
  <si>
    <t>G411952</t>
    <phoneticPr fontId="3" type="noConversion"/>
  </si>
  <si>
    <t>V954096</t>
    <phoneticPr fontId="3" type="noConversion"/>
  </si>
  <si>
    <t>V954313</t>
    <phoneticPr fontId="3" type="noConversion"/>
  </si>
  <si>
    <t>V954879</t>
    <phoneticPr fontId="3" type="noConversion"/>
  </si>
  <si>
    <t>5G53420</t>
    <phoneticPr fontId="3" type="noConversion"/>
  </si>
  <si>
    <t>G448641</t>
    <phoneticPr fontId="3" type="noConversion"/>
  </si>
  <si>
    <t>G832204</t>
    <phoneticPr fontId="3" type="noConversion"/>
  </si>
  <si>
    <t>BH06023</t>
    <phoneticPr fontId="3" type="noConversion"/>
  </si>
  <si>
    <t>5GT</t>
    <phoneticPr fontId="3" type="noConversion"/>
  </si>
  <si>
    <t>G267545</t>
    <phoneticPr fontId="3" type="noConversion"/>
  </si>
  <si>
    <t>G269331</t>
    <phoneticPr fontId="3" type="noConversion"/>
  </si>
  <si>
    <t>M240I</t>
    <phoneticPr fontId="3" type="noConversion"/>
  </si>
  <si>
    <t>V636827</t>
    <phoneticPr fontId="3" type="noConversion"/>
  </si>
  <si>
    <t>5F06075</t>
    <phoneticPr fontId="3" type="noConversion"/>
  </si>
  <si>
    <t>5H08958</t>
    <phoneticPr fontId="3" type="noConversion"/>
  </si>
  <si>
    <t>0B76812</t>
    <phoneticPr fontId="3" type="noConversion"/>
  </si>
  <si>
    <t>0T94868</t>
    <phoneticPr fontId="3" type="noConversion"/>
  </si>
  <si>
    <t>0V47445</t>
    <phoneticPr fontId="3" type="noConversion"/>
  </si>
  <si>
    <t>0V47446</t>
    <phoneticPr fontId="3" type="noConversion"/>
  </si>
  <si>
    <t>X5 25D</t>
    <phoneticPr fontId="3" type="noConversion"/>
  </si>
  <si>
    <t>0V51503</t>
    <phoneticPr fontId="3" type="noConversion"/>
  </si>
  <si>
    <t>2G27519</t>
    <phoneticPr fontId="3" type="noConversion"/>
  </si>
  <si>
    <t>F54 S</t>
    <phoneticPr fontId="3" type="noConversion"/>
  </si>
  <si>
    <t>2F54244</t>
    <phoneticPr fontId="3" type="noConversion"/>
  </si>
  <si>
    <t>2F37180</t>
    <phoneticPr fontId="3" type="noConversion"/>
  </si>
  <si>
    <t>3A99720</t>
    <phoneticPr fontId="3" type="noConversion"/>
  </si>
  <si>
    <t>C650 SPORT</t>
    <phoneticPr fontId="3" type="noConversion"/>
  </si>
  <si>
    <t>Z314803</t>
    <phoneticPr fontId="3" type="noConversion"/>
  </si>
  <si>
    <t>BMW</t>
    <phoneticPr fontId="3" type="noConversion"/>
  </si>
  <si>
    <t>BMW</t>
    <phoneticPr fontId="3" type="noConversion"/>
  </si>
  <si>
    <t>3</t>
  </si>
  <si>
    <t>BMW</t>
    <phoneticPr fontId="3" type="noConversion"/>
  </si>
  <si>
    <t>合計</t>
    <phoneticPr fontId="3" type="noConversion"/>
  </si>
  <si>
    <t>總存貨</t>
    <phoneticPr fontId="3" type="noConversion"/>
  </si>
  <si>
    <t>MINI</t>
    <phoneticPr fontId="3" type="noConversion"/>
  </si>
  <si>
    <t>Moto</t>
    <phoneticPr fontId="3" type="noConversion"/>
  </si>
  <si>
    <t>試乘車</t>
    <phoneticPr fontId="3" type="noConversion"/>
  </si>
  <si>
    <t>BPS</t>
    <phoneticPr fontId="3" type="noConversion"/>
  </si>
  <si>
    <t>TOTAL</t>
    <phoneticPr fontId="3" type="noConversion"/>
  </si>
  <si>
    <t>進貨廠商</t>
    <phoneticPr fontId="3" type="noConversion"/>
  </si>
  <si>
    <t>車型</t>
    <phoneticPr fontId="3" type="noConversion"/>
  </si>
  <si>
    <t>車系</t>
    <phoneticPr fontId="3" type="noConversion"/>
  </si>
  <si>
    <t>車身號碼</t>
    <phoneticPr fontId="3" type="noConversion"/>
  </si>
  <si>
    <t>出廠年月</t>
    <phoneticPr fontId="3" type="noConversion"/>
  </si>
  <si>
    <t>車款含稅+選配+調入成本</t>
    <phoneticPr fontId="3" type="noConversion"/>
  </si>
  <si>
    <t>上月存貨</t>
    <phoneticPr fontId="3" type="noConversion"/>
  </si>
  <si>
    <t>本月進貨</t>
    <phoneticPr fontId="3" type="noConversion"/>
  </si>
  <si>
    <t>合計</t>
    <phoneticPr fontId="3" type="noConversion"/>
  </si>
  <si>
    <t>銷貨</t>
    <phoneticPr fontId="3" type="noConversion"/>
  </si>
  <si>
    <t>成本</t>
    <phoneticPr fontId="3" type="noConversion"/>
  </si>
  <si>
    <t>本月存貨</t>
    <phoneticPr fontId="3" type="noConversion"/>
  </si>
  <si>
    <t>部門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</si>
</sst>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_-* #,##0.00_-;\-* #,##0.00_-;_-* &quot;-&quot;??_-;_-@_-"/>
    <numFmt numFmtId="177" formatCode="0.00%;[Red]\(0.00%\)"/>
    <numFmt numFmtId="178" formatCode="yyyy/m/d;@"/>
    <numFmt numFmtId="179" formatCode="#,##0_ ;[Red]\-#,##0\ "/>
    <numFmt numFmtId="180" formatCode="_-* #,##0_-;\-* #,##0_-;_-* &quot;-&quot;??_-;_-@_-"/>
  </numFmts>
  <fonts count="22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18"/>
      <color indexed="10"/>
      <name val="微軟正黑體"/>
      <family val="2"/>
      <charset val="136"/>
    </font>
    <font>
      <sz val="9"/>
      <name val="新細明體"/>
      <family val="1"/>
      <charset val="136"/>
    </font>
    <font>
      <sz val="10"/>
      <color indexed="10"/>
      <name val="微軟正黑體"/>
      <family val="2"/>
      <charset val="136"/>
    </font>
    <font>
      <sz val="10"/>
      <name val="微軟正黑體"/>
      <family val="2"/>
      <charset val="136"/>
    </font>
    <font>
      <sz val="10"/>
      <color indexed="8"/>
      <name val="微軟正黑體"/>
      <family val="2"/>
      <charset val="136"/>
    </font>
    <font>
      <sz val="9"/>
      <color rgb="FFFF0000"/>
      <name val="微軟正黑體"/>
      <family val="2"/>
      <charset val="136"/>
    </font>
    <font>
      <sz val="10"/>
      <color rgb="FF002060"/>
      <name val="微軟正黑體"/>
      <family val="2"/>
      <charset val="136"/>
    </font>
    <font>
      <sz val="10"/>
      <color rgb="FFFF0000"/>
      <name val="微軟正黑體"/>
      <family val="2"/>
      <charset val="136"/>
    </font>
    <font>
      <sz val="10"/>
      <color theme="1"/>
      <name val="微軟正黑體"/>
      <family val="2"/>
      <charset val="136"/>
    </font>
    <font>
      <sz val="11"/>
      <color indexed="8"/>
      <name val="Calibri"/>
      <family val="2"/>
    </font>
    <font>
      <sz val="10"/>
      <color rgb="FF00B050"/>
      <name val="微軟正黑體"/>
      <family val="2"/>
      <charset val="136"/>
    </font>
    <font>
      <sz val="10"/>
      <color rgb="FF7030A0"/>
      <name val="微軟正黑體"/>
      <family val="2"/>
      <charset val="136"/>
    </font>
    <font>
      <sz val="10"/>
      <color rgb="FF0070C0"/>
      <name val="微軟正黑體"/>
      <family val="2"/>
      <charset val="136"/>
    </font>
    <font>
      <sz val="9"/>
      <color rgb="FF7030A0"/>
      <name val="微軟正黑體"/>
      <family val="2"/>
      <charset val="136"/>
    </font>
    <font>
      <sz val="10"/>
      <color rgb="FF00B0F0"/>
      <name val="微軟正黑體"/>
      <family val="2"/>
      <charset val="136"/>
    </font>
    <font>
      <b/>
      <sz val="10"/>
      <name val="微軟正黑體"/>
      <family val="2"/>
      <charset val="136"/>
    </font>
    <font>
      <b/>
      <sz val="10"/>
      <color rgb="FFFF0000"/>
      <name val="微軟正黑體"/>
      <family val="2"/>
      <charset val="136"/>
    </font>
    <font>
      <sz val="10"/>
      <color rgb="FF0000FF"/>
      <name val="微軟正黑體"/>
      <family val="2"/>
      <charset val="136"/>
    </font>
    <font>
      <b/>
      <sz val="9"/>
      <color indexed="81"/>
      <name val="Tahoma"/>
      <family val="2"/>
    </font>
    <font>
      <sz val="12"/>
      <color indexed="81"/>
      <name val="細明體"/>
      <family val="3"/>
      <charset val="136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26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</borders>
  <cellStyleXfs count="5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1" fillId="0" borderId="0" applyFill="0" applyProtection="0"/>
    <xf numFmtId="0" fontId="11" fillId="0" borderId="0" applyFill="0" applyProtection="0"/>
  </cellStyleXfs>
  <cellXfs count="294">
    <xf numFmtId="0" fontId="0" fillId="0" borderId="0" xfId="0">
      <alignment vertical="center"/>
    </xf>
    <xf numFmtId="0" fontId="4" fillId="0" borderId="0" xfId="0" applyFont="1" applyFill="1" applyBorder="1" applyAlignment="1">
      <alignment horizontal="center" vertical="center" shrinkToFit="1"/>
    </xf>
    <xf numFmtId="38" fontId="5" fillId="0" borderId="0" xfId="1" applyNumberFormat="1" applyFont="1" applyFill="1">
      <alignment vertical="center"/>
    </xf>
    <xf numFmtId="0" fontId="5" fillId="0" borderId="0" xfId="0" applyFont="1" applyFill="1">
      <alignment vertical="center"/>
    </xf>
    <xf numFmtId="0" fontId="6" fillId="0" borderId="4" xfId="0" applyFont="1" applyFill="1" applyBorder="1" applyAlignment="1">
      <alignment horizontal="center" vertical="center" shrinkToFit="1"/>
    </xf>
    <xf numFmtId="178" fontId="6" fillId="0" borderId="5" xfId="0" applyNumberFormat="1" applyFont="1" applyFill="1" applyBorder="1" applyAlignment="1">
      <alignment horizontal="left" vertical="center" shrinkToFit="1"/>
    </xf>
    <xf numFmtId="49" fontId="7" fillId="0" borderId="5" xfId="0" applyNumberFormat="1" applyFont="1" applyFill="1" applyBorder="1" applyAlignment="1">
      <alignment horizontal="center" vertical="center" shrinkToFit="1"/>
    </xf>
    <xf numFmtId="49" fontId="8" fillId="0" borderId="5" xfId="0" applyNumberFormat="1" applyFont="1" applyFill="1" applyBorder="1" applyAlignment="1">
      <alignment horizontal="center" vertical="center" shrinkToFit="1"/>
    </xf>
    <xf numFmtId="0" fontId="9" fillId="0" borderId="5" xfId="0" applyFont="1" applyFill="1" applyBorder="1" applyAlignment="1">
      <alignment horizontal="left" vertical="center" shrinkToFit="1"/>
    </xf>
    <xf numFmtId="0" fontId="10" fillId="0" borderId="6" xfId="0" applyNumberFormat="1" applyFont="1" applyFill="1" applyBorder="1" applyAlignment="1">
      <alignment horizontal="center" vertical="center" shrinkToFit="1"/>
    </xf>
    <xf numFmtId="0" fontId="9" fillId="0" borderId="6" xfId="0" applyNumberFormat="1" applyFont="1" applyFill="1" applyBorder="1" applyAlignment="1">
      <alignment horizontal="center" vertical="center" shrinkToFit="1"/>
    </xf>
    <xf numFmtId="38" fontId="9" fillId="0" borderId="6" xfId="1" applyNumberFormat="1" applyFont="1" applyFill="1" applyBorder="1" applyAlignment="1">
      <alignment horizontal="center" vertical="center" shrinkToFit="1"/>
    </xf>
    <xf numFmtId="38" fontId="5" fillId="0" borderId="6" xfId="1" applyNumberFormat="1" applyFont="1" applyFill="1" applyBorder="1" applyAlignment="1">
      <alignment horizontal="center" vertical="center" shrinkToFit="1"/>
    </xf>
    <xf numFmtId="38" fontId="5" fillId="0" borderId="7" xfId="1" applyNumberFormat="1" applyFont="1" applyFill="1" applyBorder="1" applyAlignment="1">
      <alignment horizontal="center" vertical="center" shrinkToFit="1"/>
    </xf>
    <xf numFmtId="38" fontId="5" fillId="0" borderId="0" xfId="1" applyNumberFormat="1" applyFont="1" applyFill="1" applyBorder="1" applyAlignment="1">
      <alignment horizontal="center" vertical="center" shrinkToFit="1"/>
    </xf>
    <xf numFmtId="0" fontId="5" fillId="0" borderId="0" xfId="0" applyFont="1" applyFill="1" applyAlignment="1">
      <alignment horizontal="center" vertical="center"/>
    </xf>
    <xf numFmtId="0" fontId="5" fillId="0" borderId="8" xfId="0" applyFont="1" applyFill="1" applyBorder="1" applyAlignment="1">
      <alignment horizontal="center" vertical="center" shrinkToFit="1"/>
    </xf>
    <xf numFmtId="178" fontId="10" fillId="0" borderId="9" xfId="0" applyNumberFormat="1" applyFont="1" applyFill="1" applyBorder="1" applyAlignment="1">
      <alignment horizontal="left"/>
    </xf>
    <xf numFmtId="49" fontId="7" fillId="0" borderId="10" xfId="0" applyNumberFormat="1" applyFont="1" applyFill="1" applyBorder="1" applyAlignment="1">
      <alignment horizontal="center" vertical="center" shrinkToFit="1"/>
    </xf>
    <xf numFmtId="49" fontId="8" fillId="0" borderId="10" xfId="0" applyNumberFormat="1" applyFont="1" applyFill="1" applyBorder="1" applyAlignment="1">
      <alignment horizontal="center" vertical="center" shrinkToFit="1"/>
    </xf>
    <xf numFmtId="0" fontId="9" fillId="0" borderId="10" xfId="0" applyFont="1" applyFill="1" applyBorder="1" applyAlignment="1">
      <alignment horizontal="left" vertical="center" shrinkToFit="1"/>
    </xf>
    <xf numFmtId="0" fontId="10" fillId="0" borderId="10" xfId="0" applyFont="1" applyFill="1" applyBorder="1" applyAlignment="1">
      <alignment horizontal="left" vertical="center" shrinkToFit="1"/>
    </xf>
    <xf numFmtId="0" fontId="9" fillId="0" borderId="10" xfId="0" applyFont="1" applyFill="1" applyBorder="1" applyAlignment="1">
      <alignment horizontal="center" vertical="center" shrinkToFit="1"/>
    </xf>
    <xf numFmtId="38" fontId="9" fillId="0" borderId="9" xfId="1" applyNumberFormat="1" applyFont="1" applyFill="1" applyBorder="1" applyAlignment="1">
      <alignment horizontal="right" vertical="center" shrinkToFit="1"/>
    </xf>
    <xf numFmtId="38" fontId="5" fillId="0" borderId="9" xfId="1" applyNumberFormat="1" applyFont="1" applyFill="1" applyBorder="1" applyAlignment="1">
      <alignment vertical="center" shrinkToFit="1"/>
    </xf>
    <xf numFmtId="38" fontId="6" fillId="0" borderId="9" xfId="1" applyNumberFormat="1" applyFont="1" applyFill="1" applyBorder="1" applyAlignment="1">
      <alignment horizontal="right" vertical="center" shrinkToFit="1"/>
    </xf>
    <xf numFmtId="38" fontId="6" fillId="0" borderId="9" xfId="1" applyNumberFormat="1" applyFont="1" applyFill="1" applyBorder="1" applyAlignment="1">
      <alignment horizontal="center" vertical="center" shrinkToFit="1"/>
    </xf>
    <xf numFmtId="38" fontId="10" fillId="0" borderId="11" xfId="1" applyNumberFormat="1" applyFont="1" applyFill="1" applyBorder="1" applyAlignment="1">
      <alignment vertical="center" shrinkToFit="1"/>
    </xf>
    <xf numFmtId="38" fontId="10" fillId="0" borderId="0" xfId="1" applyNumberFormat="1" applyFont="1" applyFill="1" applyBorder="1" applyAlignment="1">
      <alignment vertical="center" shrinkToFit="1"/>
    </xf>
    <xf numFmtId="178" fontId="5" fillId="0" borderId="9" xfId="0" applyNumberFormat="1" applyFont="1" applyFill="1" applyBorder="1" applyAlignment="1">
      <alignment horizontal="left" vertical="center" shrinkToFit="1"/>
    </xf>
    <xf numFmtId="0" fontId="5" fillId="0" borderId="10" xfId="0" applyNumberFormat="1" applyFont="1" applyFill="1" applyBorder="1" applyAlignment="1">
      <alignment vertical="center" shrinkToFit="1"/>
    </xf>
    <xf numFmtId="0" fontId="9" fillId="0" borderId="10" xfId="0" applyNumberFormat="1" applyFont="1" applyFill="1" applyBorder="1" applyAlignment="1">
      <alignment horizontal="center" vertical="center" shrinkToFit="1"/>
    </xf>
    <xf numFmtId="0" fontId="5" fillId="0" borderId="10" xfId="0" applyFont="1" applyFill="1" applyBorder="1" applyAlignment="1">
      <alignment vertical="center" shrinkToFit="1"/>
    </xf>
    <xf numFmtId="0" fontId="9" fillId="0" borderId="12" xfId="0" applyFont="1" applyFill="1" applyBorder="1" applyAlignment="1">
      <alignment horizontal="center" vertical="center" shrinkToFit="1"/>
    </xf>
    <xf numFmtId="38" fontId="9" fillId="0" borderId="13" xfId="1" applyNumberFormat="1" applyFont="1" applyFill="1" applyBorder="1" applyAlignment="1">
      <alignment horizontal="right" vertical="center" shrinkToFit="1"/>
    </xf>
    <xf numFmtId="38" fontId="5" fillId="0" borderId="13" xfId="1" applyNumberFormat="1" applyFont="1" applyFill="1" applyBorder="1" applyAlignment="1">
      <alignment vertical="center" shrinkToFit="1"/>
    </xf>
    <xf numFmtId="38" fontId="6" fillId="0" borderId="13" xfId="1" applyNumberFormat="1" applyFont="1" applyFill="1" applyBorder="1" applyAlignment="1">
      <alignment horizontal="center" vertical="center" shrinkToFit="1"/>
    </xf>
    <xf numFmtId="0" fontId="5" fillId="0" borderId="10" xfId="0" applyFont="1" applyFill="1" applyBorder="1" applyAlignment="1">
      <alignment horizontal="left" vertical="center" shrinkToFit="1"/>
    </xf>
    <xf numFmtId="178" fontId="10" fillId="2" borderId="12" xfId="0" applyNumberFormat="1" applyFont="1" applyFill="1" applyBorder="1" applyAlignment="1">
      <alignment horizontal="left"/>
    </xf>
    <xf numFmtId="49" fontId="7" fillId="2" borderId="12" xfId="0" applyNumberFormat="1" applyFont="1" applyFill="1" applyBorder="1" applyAlignment="1">
      <alignment horizontal="center" vertical="center" shrinkToFit="1"/>
    </xf>
    <xf numFmtId="49" fontId="8" fillId="2" borderId="12" xfId="0" applyNumberFormat="1" applyFont="1" applyFill="1" applyBorder="1" applyAlignment="1">
      <alignment horizontal="center" vertical="center" shrinkToFit="1"/>
    </xf>
    <xf numFmtId="0" fontId="9" fillId="2" borderId="12" xfId="0" applyFont="1" applyFill="1" applyBorder="1" applyAlignment="1">
      <alignment horizontal="left" vertical="center" shrinkToFit="1"/>
    </xf>
    <xf numFmtId="0" fontId="5" fillId="2" borderId="13" xfId="0" applyFont="1" applyFill="1" applyBorder="1" applyAlignment="1">
      <alignment vertical="center" shrinkToFit="1"/>
    </xf>
    <xf numFmtId="0" fontId="9" fillId="2" borderId="13" xfId="0" applyFont="1" applyFill="1" applyBorder="1" applyAlignment="1">
      <alignment horizontal="center" vertical="center" shrinkToFit="1"/>
    </xf>
    <xf numFmtId="38" fontId="9" fillId="2" borderId="13" xfId="1" applyNumberFormat="1" applyFont="1" applyFill="1" applyBorder="1" applyAlignment="1">
      <alignment horizontal="right" vertical="center" shrinkToFit="1"/>
    </xf>
    <xf numFmtId="38" fontId="5" fillId="2" borderId="13" xfId="1" applyNumberFormat="1" applyFont="1" applyFill="1" applyBorder="1" applyAlignment="1">
      <alignment vertical="center" shrinkToFit="1"/>
    </xf>
    <xf numFmtId="38" fontId="6" fillId="2" borderId="13" xfId="1" applyNumberFormat="1" applyFont="1" applyFill="1" applyBorder="1" applyAlignment="1">
      <alignment horizontal="right" vertical="center" shrinkToFit="1"/>
    </xf>
    <xf numFmtId="38" fontId="6" fillId="2" borderId="13" xfId="1" applyNumberFormat="1" applyFont="1" applyFill="1" applyBorder="1" applyAlignment="1">
      <alignment horizontal="center" vertical="center" shrinkToFit="1"/>
    </xf>
    <xf numFmtId="38" fontId="10" fillId="2" borderId="11" xfId="1" applyNumberFormat="1" applyFont="1" applyFill="1" applyBorder="1" applyAlignment="1">
      <alignment vertical="center" shrinkToFit="1"/>
    </xf>
    <xf numFmtId="178" fontId="5" fillId="2" borderId="12" xfId="0" applyNumberFormat="1" applyFont="1" applyFill="1" applyBorder="1" applyAlignment="1">
      <alignment horizontal="left" vertical="center" shrinkToFit="1"/>
    </xf>
    <xf numFmtId="0" fontId="10" fillId="2" borderId="9" xfId="0" applyFont="1" applyFill="1" applyBorder="1" applyAlignment="1">
      <alignment horizontal="left" vertical="center" shrinkToFit="1"/>
    </xf>
    <xf numFmtId="0" fontId="9" fillId="2" borderId="9" xfId="0" applyFont="1" applyFill="1" applyBorder="1" applyAlignment="1">
      <alignment horizontal="center" vertical="center" shrinkToFit="1"/>
    </xf>
    <xf numFmtId="38" fontId="9" fillId="2" borderId="9" xfId="1" applyNumberFormat="1" applyFont="1" applyFill="1" applyBorder="1" applyAlignment="1">
      <alignment horizontal="right" vertical="center" shrinkToFit="1"/>
    </xf>
    <xf numFmtId="38" fontId="5" fillId="2" borderId="9" xfId="1" applyNumberFormat="1" applyFont="1" applyFill="1" applyBorder="1" applyAlignment="1">
      <alignment vertical="center" shrinkToFit="1"/>
    </xf>
    <xf numFmtId="38" fontId="6" fillId="2" borderId="9" xfId="1" applyNumberFormat="1" applyFont="1" applyFill="1" applyBorder="1" applyAlignment="1">
      <alignment horizontal="right" vertical="center" shrinkToFit="1"/>
    </xf>
    <xf numFmtId="38" fontId="6" fillId="2" borderId="9" xfId="1" applyNumberFormat="1" applyFont="1" applyFill="1" applyBorder="1" applyAlignment="1">
      <alignment horizontal="center" vertical="center" shrinkToFit="1"/>
    </xf>
    <xf numFmtId="178" fontId="5" fillId="0" borderId="10" xfId="0" applyNumberFormat="1" applyFont="1" applyFill="1" applyBorder="1" applyAlignment="1">
      <alignment horizontal="left" vertical="center" shrinkToFit="1"/>
    </xf>
    <xf numFmtId="0" fontId="5" fillId="0" borderId="9" xfId="0" applyFont="1" applyFill="1" applyBorder="1" applyAlignment="1">
      <alignment horizontal="left" vertical="center" shrinkToFit="1"/>
    </xf>
    <xf numFmtId="0" fontId="9" fillId="0" borderId="9" xfId="0" applyFont="1" applyFill="1" applyBorder="1" applyAlignment="1">
      <alignment horizontal="center" vertical="center" shrinkToFit="1"/>
    </xf>
    <xf numFmtId="38" fontId="10" fillId="0" borderId="14" xfId="1" applyNumberFormat="1" applyFont="1" applyFill="1" applyBorder="1" applyAlignment="1">
      <alignment vertical="center" shrinkToFit="1"/>
    </xf>
    <xf numFmtId="178" fontId="10" fillId="0" borderId="10" xfId="0" applyNumberFormat="1" applyFont="1" applyFill="1" applyBorder="1" applyAlignment="1">
      <alignment horizontal="left"/>
    </xf>
    <xf numFmtId="0" fontId="10" fillId="0" borderId="9" xfId="0" applyFont="1" applyFill="1" applyBorder="1" applyAlignment="1">
      <alignment horizontal="left" vertical="center" shrinkToFit="1"/>
    </xf>
    <xf numFmtId="0" fontId="5" fillId="0" borderId="9" xfId="0" applyNumberFormat="1" applyFont="1" applyFill="1" applyBorder="1" applyAlignment="1">
      <alignment vertical="center" shrinkToFit="1"/>
    </xf>
    <xf numFmtId="0" fontId="9" fillId="0" borderId="9" xfId="0" applyNumberFormat="1" applyFont="1" applyFill="1" applyBorder="1" applyAlignment="1">
      <alignment horizontal="center" vertical="center" shrinkToFit="1"/>
    </xf>
    <xf numFmtId="178" fontId="5" fillId="0" borderId="12" xfId="0" applyNumberFormat="1" applyFont="1" applyFill="1" applyBorder="1" applyAlignment="1">
      <alignment horizontal="left" vertical="center" shrinkToFit="1"/>
    </xf>
    <xf numFmtId="49" fontId="7" fillId="0" borderId="12" xfId="0" applyNumberFormat="1" applyFont="1" applyFill="1" applyBorder="1" applyAlignment="1">
      <alignment horizontal="center" vertical="center" shrinkToFit="1"/>
    </xf>
    <xf numFmtId="49" fontId="8" fillId="0" borderId="12" xfId="0" applyNumberFormat="1" applyFont="1" applyFill="1" applyBorder="1" applyAlignment="1">
      <alignment horizontal="center" vertical="center" shrinkToFit="1"/>
    </xf>
    <xf numFmtId="0" fontId="9" fillId="0" borderId="12" xfId="0" applyFont="1" applyFill="1" applyBorder="1" applyAlignment="1">
      <alignment horizontal="left" vertical="center" shrinkToFit="1"/>
    </xf>
    <xf numFmtId="0" fontId="10" fillId="0" borderId="13" xfId="0" applyFont="1" applyFill="1" applyBorder="1" applyAlignment="1">
      <alignment horizontal="left" vertical="center" shrinkToFit="1"/>
    </xf>
    <xf numFmtId="0" fontId="9" fillId="0" borderId="13" xfId="0" applyFont="1" applyFill="1" applyBorder="1" applyAlignment="1">
      <alignment horizontal="center" vertical="center" shrinkToFit="1"/>
    </xf>
    <xf numFmtId="178" fontId="6" fillId="0" borderId="12" xfId="3" applyNumberFormat="1" applyFont="1" applyFill="1" applyBorder="1" applyAlignment="1" applyProtection="1">
      <alignment horizontal="left"/>
    </xf>
    <xf numFmtId="0" fontId="5" fillId="0" borderId="13" xfId="0" applyFont="1" applyFill="1" applyBorder="1" applyAlignment="1">
      <alignment vertical="center" shrinkToFit="1"/>
    </xf>
    <xf numFmtId="0" fontId="5" fillId="0" borderId="13" xfId="0" applyFont="1" applyFill="1" applyBorder="1" applyAlignment="1">
      <alignment horizontal="left" vertical="center" shrinkToFit="1"/>
    </xf>
    <xf numFmtId="0" fontId="5" fillId="0" borderId="13" xfId="0" applyNumberFormat="1" applyFont="1" applyFill="1" applyBorder="1" applyAlignment="1">
      <alignment vertical="center" shrinkToFit="1"/>
    </xf>
    <xf numFmtId="0" fontId="9" fillId="0" borderId="13" xfId="0" applyNumberFormat="1" applyFont="1" applyFill="1" applyBorder="1" applyAlignment="1">
      <alignment horizontal="center" vertical="center" shrinkToFit="1"/>
    </xf>
    <xf numFmtId="38" fontId="6" fillId="0" borderId="13" xfId="1" applyNumberFormat="1" applyFont="1" applyFill="1" applyBorder="1" applyAlignment="1">
      <alignment horizontal="right" vertical="center" shrinkToFit="1"/>
    </xf>
    <xf numFmtId="0" fontId="10" fillId="0" borderId="8" xfId="0" applyFont="1" applyFill="1" applyBorder="1" applyAlignment="1">
      <alignment horizontal="center" vertical="center" shrinkToFit="1"/>
    </xf>
    <xf numFmtId="178" fontId="10" fillId="0" borderId="12" xfId="0" applyNumberFormat="1" applyFont="1" applyFill="1" applyBorder="1" applyAlignment="1">
      <alignment horizontal="left"/>
    </xf>
    <xf numFmtId="178" fontId="5" fillId="0" borderId="9" xfId="0" applyNumberFormat="1" applyFont="1" applyFill="1" applyBorder="1" applyAlignment="1">
      <alignment horizontal="left"/>
    </xf>
    <xf numFmtId="0" fontId="9" fillId="0" borderId="12" xfId="0" applyNumberFormat="1" applyFont="1" applyFill="1" applyBorder="1" applyAlignment="1">
      <alignment horizontal="center" vertical="center" shrinkToFit="1"/>
    </xf>
    <xf numFmtId="0" fontId="9" fillId="0" borderId="8" xfId="0" applyFont="1" applyFill="1" applyBorder="1" applyAlignment="1">
      <alignment horizontal="center" vertical="center" shrinkToFit="1"/>
    </xf>
    <xf numFmtId="178" fontId="5" fillId="0" borderId="12" xfId="0" applyNumberFormat="1" applyFont="1" applyFill="1" applyBorder="1" applyAlignment="1">
      <alignment horizontal="left"/>
    </xf>
    <xf numFmtId="0" fontId="5" fillId="0" borderId="9" xfId="0" applyFont="1" applyFill="1" applyBorder="1" applyAlignment="1">
      <alignment vertical="center" shrinkToFit="1"/>
    </xf>
    <xf numFmtId="178" fontId="6" fillId="0" borderId="10" xfId="3" applyNumberFormat="1" applyFont="1" applyFill="1" applyBorder="1" applyAlignment="1" applyProtection="1">
      <alignment horizontal="left"/>
    </xf>
    <xf numFmtId="0" fontId="12" fillId="0" borderId="8" xfId="0" applyFont="1" applyFill="1" applyBorder="1" applyAlignment="1">
      <alignment horizontal="center" vertical="center" shrinkToFit="1"/>
    </xf>
    <xf numFmtId="38" fontId="12" fillId="0" borderId="0" xfId="1" applyNumberFormat="1" applyFont="1" applyFill="1" applyBorder="1" applyAlignment="1">
      <alignment vertical="center" shrinkToFit="1"/>
    </xf>
    <xf numFmtId="0" fontId="13" fillId="0" borderId="8" xfId="0" applyFont="1" applyFill="1" applyBorder="1" applyAlignment="1">
      <alignment horizontal="center" vertical="center" shrinkToFit="1"/>
    </xf>
    <xf numFmtId="38" fontId="13" fillId="0" borderId="0" xfId="1" applyNumberFormat="1" applyFont="1" applyFill="1" applyBorder="1" applyAlignment="1">
      <alignment vertical="center" shrinkToFit="1"/>
    </xf>
    <xf numFmtId="0" fontId="5" fillId="0" borderId="15" xfId="0" applyFont="1" applyFill="1" applyBorder="1" applyAlignment="1">
      <alignment horizontal="center" vertical="center" shrinkToFit="1"/>
    </xf>
    <xf numFmtId="178" fontId="5" fillId="0" borderId="16" xfId="0" applyNumberFormat="1" applyFont="1" applyFill="1" applyBorder="1" applyAlignment="1">
      <alignment horizontal="left" vertical="center" shrinkToFit="1"/>
    </xf>
    <xf numFmtId="49" fontId="7" fillId="0" borderId="16" xfId="0" applyNumberFormat="1" applyFont="1" applyFill="1" applyBorder="1" applyAlignment="1">
      <alignment horizontal="center" vertical="center" shrinkToFit="1"/>
    </xf>
    <xf numFmtId="49" fontId="8" fillId="0" borderId="16" xfId="0" applyNumberFormat="1" applyFont="1" applyFill="1" applyBorder="1" applyAlignment="1">
      <alignment horizontal="center" vertical="center" shrinkToFit="1"/>
    </xf>
    <xf numFmtId="0" fontId="9" fillId="0" borderId="17" xfId="0" applyFont="1" applyFill="1" applyBorder="1" applyAlignment="1">
      <alignment horizontal="left" vertical="center" shrinkToFit="1"/>
    </xf>
    <xf numFmtId="0" fontId="5" fillId="0" borderId="17" xfId="0" applyNumberFormat="1" applyFont="1" applyFill="1" applyBorder="1" applyAlignment="1">
      <alignment horizontal="center" vertical="center" shrinkToFit="1"/>
    </xf>
    <xf numFmtId="0" fontId="9" fillId="0" borderId="17" xfId="0" applyNumberFormat="1" applyFont="1" applyFill="1" applyBorder="1" applyAlignment="1">
      <alignment horizontal="center" vertical="center" shrinkToFit="1"/>
    </xf>
    <xf numFmtId="38" fontId="9" fillId="0" borderId="17" xfId="1" applyNumberFormat="1" applyFont="1" applyFill="1" applyBorder="1" applyAlignment="1">
      <alignment vertical="center" shrinkToFit="1"/>
    </xf>
    <xf numFmtId="38" fontId="5" fillId="0" borderId="17" xfId="1" applyNumberFormat="1" applyFont="1" applyFill="1" applyBorder="1" applyAlignment="1">
      <alignment vertical="center" shrinkToFit="1"/>
    </xf>
    <xf numFmtId="38" fontId="5" fillId="0" borderId="18" xfId="1" applyNumberFormat="1" applyFont="1" applyFill="1" applyBorder="1" applyAlignment="1">
      <alignment vertical="center" shrinkToFit="1"/>
    </xf>
    <xf numFmtId="38" fontId="5" fillId="0" borderId="19" xfId="1" applyNumberFormat="1" applyFont="1" applyFill="1" applyBorder="1" applyAlignment="1">
      <alignment vertical="center" shrinkToFi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shrinkToFit="1"/>
    </xf>
    <xf numFmtId="178" fontId="5" fillId="0" borderId="0" xfId="0" applyNumberFormat="1" applyFont="1" applyFill="1" applyBorder="1" applyAlignment="1">
      <alignment horizontal="left" vertical="center" shrinkToFit="1"/>
    </xf>
    <xf numFmtId="49" fontId="7" fillId="0" borderId="0" xfId="0" applyNumberFormat="1" applyFont="1" applyFill="1" applyBorder="1" applyAlignment="1">
      <alignment horizontal="center" vertical="center" shrinkToFit="1"/>
    </xf>
    <xf numFmtId="49" fontId="8" fillId="0" borderId="0" xfId="0" applyNumberFormat="1" applyFont="1" applyFill="1" applyBorder="1" applyAlignment="1">
      <alignment horizontal="center" vertical="center" shrinkToFit="1"/>
    </xf>
    <xf numFmtId="0" fontId="9" fillId="0" borderId="0" xfId="0" applyFont="1" applyFill="1" applyBorder="1" applyAlignment="1">
      <alignment horizontal="left" vertical="center" shrinkToFit="1"/>
    </xf>
    <xf numFmtId="0" fontId="5" fillId="0" borderId="0" xfId="0" applyNumberFormat="1" applyFont="1" applyFill="1" applyBorder="1" applyAlignment="1">
      <alignment horizontal="center" vertical="center" shrinkToFit="1"/>
    </xf>
    <xf numFmtId="0" fontId="9" fillId="0" borderId="0" xfId="0" applyNumberFormat="1" applyFont="1" applyFill="1" applyBorder="1" applyAlignment="1">
      <alignment horizontal="center" vertical="center" shrinkToFit="1"/>
    </xf>
    <xf numFmtId="38" fontId="9" fillId="0" borderId="0" xfId="1" applyNumberFormat="1" applyFont="1" applyFill="1" applyBorder="1" applyAlignment="1">
      <alignment vertical="center" shrinkToFit="1"/>
    </xf>
    <xf numFmtId="38" fontId="5" fillId="0" borderId="0" xfId="1" applyNumberFormat="1" applyFont="1" applyFill="1" applyBorder="1" applyAlignment="1">
      <alignment vertical="center" shrinkToFit="1"/>
    </xf>
    <xf numFmtId="38" fontId="5" fillId="0" borderId="0" xfId="0" applyNumberFormat="1" applyFont="1" applyFill="1" applyAlignment="1">
      <alignment vertical="center" shrinkToFit="1"/>
    </xf>
    <xf numFmtId="178" fontId="5" fillId="0" borderId="0" xfId="0" applyNumberFormat="1" applyFont="1" applyFill="1" applyAlignment="1">
      <alignment horizontal="left" vertical="center" shrinkToFit="1"/>
    </xf>
    <xf numFmtId="49" fontId="7" fillId="0" borderId="0" xfId="0" applyNumberFormat="1" applyFont="1" applyFill="1" applyAlignment="1">
      <alignment vertical="center" shrinkToFit="1"/>
    </xf>
    <xf numFmtId="49" fontId="8" fillId="0" borderId="0" xfId="0" applyNumberFormat="1" applyFont="1" applyFill="1" applyAlignment="1">
      <alignment vertical="center" shrinkToFit="1"/>
    </xf>
    <xf numFmtId="38" fontId="9" fillId="0" borderId="0" xfId="0" applyNumberFormat="1" applyFont="1" applyFill="1" applyAlignment="1">
      <alignment horizontal="left" vertical="center" shrinkToFit="1"/>
    </xf>
    <xf numFmtId="38" fontId="9" fillId="0" borderId="0" xfId="0" applyNumberFormat="1" applyFont="1" applyFill="1" applyAlignment="1">
      <alignment horizontal="center" vertical="center" shrinkToFit="1"/>
    </xf>
    <xf numFmtId="38" fontId="9" fillId="0" borderId="0" xfId="1" applyNumberFormat="1" applyFont="1" applyFill="1" applyAlignment="1">
      <alignment vertical="center" shrinkToFit="1"/>
    </xf>
    <xf numFmtId="38" fontId="5" fillId="0" borderId="0" xfId="1" applyNumberFormat="1" applyFont="1" applyFill="1" applyAlignment="1">
      <alignment vertical="center" shrinkToFit="1"/>
    </xf>
    <xf numFmtId="38" fontId="10" fillId="0" borderId="0" xfId="1" applyNumberFormat="1" applyFont="1" applyFill="1" applyAlignment="1">
      <alignment vertical="center" shrinkToFit="1"/>
    </xf>
    <xf numFmtId="38" fontId="6" fillId="0" borderId="4" xfId="0" applyNumberFormat="1" applyFont="1" applyFill="1" applyBorder="1" applyAlignment="1">
      <alignment horizontal="center" vertical="center" shrinkToFit="1"/>
    </xf>
    <xf numFmtId="0" fontId="5" fillId="0" borderId="6" xfId="0" applyNumberFormat="1" applyFont="1" applyFill="1" applyBorder="1" applyAlignment="1">
      <alignment horizontal="center" vertical="center" shrinkToFit="1"/>
    </xf>
    <xf numFmtId="0" fontId="10" fillId="0" borderId="9" xfId="0" applyFont="1" applyFill="1" applyBorder="1" applyAlignment="1">
      <alignment vertical="center" shrinkToFit="1"/>
    </xf>
    <xf numFmtId="38" fontId="9" fillId="0" borderId="9" xfId="1" applyNumberFormat="1" applyFont="1" applyFill="1" applyBorder="1" applyAlignment="1">
      <alignment vertical="center" shrinkToFit="1"/>
    </xf>
    <xf numFmtId="179" fontId="5" fillId="0" borderId="9" xfId="1" applyNumberFormat="1" applyFont="1" applyFill="1" applyBorder="1" applyAlignment="1">
      <alignment vertical="center" shrinkToFit="1"/>
    </xf>
    <xf numFmtId="38" fontId="5" fillId="0" borderId="9" xfId="1" applyNumberFormat="1" applyFont="1" applyFill="1" applyBorder="1" applyAlignment="1">
      <alignment horizontal="center" vertical="center" shrinkToFit="1"/>
    </xf>
    <xf numFmtId="38" fontId="5" fillId="0" borderId="11" xfId="1" applyNumberFormat="1" applyFont="1" applyFill="1" applyBorder="1" applyAlignment="1">
      <alignment vertical="center" shrinkToFit="1"/>
    </xf>
    <xf numFmtId="0" fontId="5" fillId="3" borderId="0" xfId="0" applyFont="1" applyFill="1">
      <alignment vertical="center"/>
    </xf>
    <xf numFmtId="38" fontId="14" fillId="0" borderId="0" xfId="1" applyNumberFormat="1" applyFont="1" applyFill="1" applyBorder="1" applyAlignment="1">
      <alignment vertical="center" shrinkToFit="1"/>
    </xf>
    <xf numFmtId="178" fontId="10" fillId="0" borderId="9" xfId="0" applyNumberFormat="1" applyFont="1" applyFill="1" applyBorder="1" applyAlignment="1">
      <alignment horizontal="left" vertical="center" shrinkToFit="1"/>
    </xf>
    <xf numFmtId="178" fontId="6" fillId="0" borderId="9" xfId="3" applyNumberFormat="1" applyFont="1" applyFill="1" applyBorder="1" applyAlignment="1" applyProtection="1">
      <alignment horizontal="left"/>
    </xf>
    <xf numFmtId="38" fontId="5" fillId="0" borderId="14" xfId="1" applyNumberFormat="1" applyFont="1" applyFill="1" applyBorder="1" applyAlignment="1">
      <alignment vertical="center" shrinkToFit="1"/>
    </xf>
    <xf numFmtId="0" fontId="5" fillId="0" borderId="0" xfId="0" applyFont="1" applyFill="1" applyBorder="1">
      <alignment vertical="center"/>
    </xf>
    <xf numFmtId="0" fontId="5" fillId="0" borderId="0" xfId="0" applyFont="1" applyFill="1" applyAlignment="1">
      <alignment horizontal="left" vertical="center"/>
    </xf>
    <xf numFmtId="0" fontId="9" fillId="0" borderId="0" xfId="0" applyFont="1" applyFill="1" applyBorder="1" applyAlignment="1">
      <alignment horizontal="center" vertical="center"/>
    </xf>
    <xf numFmtId="0" fontId="6" fillId="0" borderId="0" xfId="0" applyNumberFormat="1" applyFont="1" applyFill="1" applyBorder="1">
      <alignment vertical="center"/>
    </xf>
    <xf numFmtId="180" fontId="5" fillId="0" borderId="0" xfId="1" applyNumberFormat="1" applyFont="1" applyFill="1" applyBorder="1">
      <alignment vertical="center"/>
    </xf>
    <xf numFmtId="38" fontId="6" fillId="0" borderId="0" xfId="0" applyNumberFormat="1" applyFont="1" applyFill="1" applyBorder="1">
      <alignment vertical="center"/>
    </xf>
    <xf numFmtId="38" fontId="6" fillId="0" borderId="0" xfId="0" applyNumberFormat="1" applyFont="1" applyFill="1" applyBorder="1" applyAlignment="1">
      <alignment horizontal="center" vertical="center"/>
    </xf>
    <xf numFmtId="38" fontId="5" fillId="0" borderId="0" xfId="0" applyNumberFormat="1" applyFont="1" applyFill="1" applyBorder="1">
      <alignment vertical="center"/>
    </xf>
    <xf numFmtId="180" fontId="5" fillId="0" borderId="0" xfId="1" applyNumberFormat="1" applyFont="1" applyFill="1">
      <alignment vertical="center"/>
    </xf>
    <xf numFmtId="177" fontId="5" fillId="0" borderId="0" xfId="2" applyNumberFormat="1" applyFont="1" applyFill="1">
      <alignment vertical="center"/>
    </xf>
    <xf numFmtId="180" fontId="5" fillId="0" borderId="0" xfId="0" applyNumberFormat="1" applyFont="1" applyFill="1">
      <alignment vertical="center"/>
    </xf>
    <xf numFmtId="0" fontId="5" fillId="0" borderId="8" xfId="0" applyFont="1" applyFill="1" applyBorder="1">
      <alignment vertical="center"/>
    </xf>
    <xf numFmtId="0" fontId="5" fillId="0" borderId="9" xfId="0" applyFont="1" applyFill="1" applyBorder="1">
      <alignment vertical="center"/>
    </xf>
    <xf numFmtId="0" fontId="5" fillId="0" borderId="11" xfId="0" applyFont="1" applyFill="1" applyBorder="1">
      <alignment vertical="center"/>
    </xf>
    <xf numFmtId="0" fontId="14" fillId="0" borderId="8" xfId="0" applyFont="1" applyFill="1" applyBorder="1" applyAlignment="1">
      <alignment horizontal="center" vertical="center" shrinkToFit="1"/>
    </xf>
    <xf numFmtId="49" fontId="15" fillId="0" borderId="10" xfId="0" applyNumberFormat="1" applyFont="1" applyFill="1" applyBorder="1" applyAlignment="1">
      <alignment horizontal="center" vertical="center" shrinkToFit="1"/>
    </xf>
    <xf numFmtId="0" fontId="13" fillId="0" borderId="20" xfId="0" applyFont="1" applyFill="1" applyBorder="1" applyAlignment="1">
      <alignment horizontal="center" vertical="center" shrinkToFit="1"/>
    </xf>
    <xf numFmtId="0" fontId="10" fillId="0" borderId="13" xfId="0" applyNumberFormat="1" applyFont="1" applyFill="1" applyBorder="1" applyAlignment="1">
      <alignment vertical="center" shrinkToFit="1"/>
    </xf>
    <xf numFmtId="38" fontId="9" fillId="0" borderId="13" xfId="1" applyNumberFormat="1" applyFont="1" applyFill="1" applyBorder="1" applyAlignment="1">
      <alignment vertical="center" shrinkToFit="1"/>
    </xf>
    <xf numFmtId="0" fontId="5" fillId="0" borderId="0" xfId="0" applyNumberFormat="1" applyFont="1" applyFill="1" applyBorder="1">
      <alignment vertical="center"/>
    </xf>
    <xf numFmtId="38" fontId="5" fillId="0" borderId="0" xfId="0" applyNumberFormat="1" applyFont="1" applyFill="1" applyBorder="1" applyAlignment="1">
      <alignment horizontal="center" vertical="center"/>
    </xf>
    <xf numFmtId="38" fontId="5" fillId="0" borderId="15" xfId="0" applyNumberFormat="1" applyFont="1" applyFill="1" applyBorder="1" applyAlignment="1">
      <alignment horizontal="center" vertical="center" shrinkToFit="1"/>
    </xf>
    <xf numFmtId="38" fontId="9" fillId="0" borderId="16" xfId="0" applyNumberFormat="1" applyFont="1" applyFill="1" applyBorder="1" applyAlignment="1">
      <alignment horizontal="left" vertical="center" shrinkToFit="1"/>
    </xf>
    <xf numFmtId="0" fontId="10" fillId="0" borderId="17" xfId="0" applyNumberFormat="1" applyFont="1" applyFill="1" applyBorder="1" applyAlignment="1">
      <alignment horizontal="center" vertical="center" shrinkToFit="1"/>
    </xf>
    <xf numFmtId="38" fontId="5" fillId="0" borderId="21" xfId="1" applyNumberFormat="1" applyFont="1" applyFill="1" applyBorder="1" applyAlignment="1">
      <alignment vertical="center" shrinkToFit="1"/>
    </xf>
    <xf numFmtId="38" fontId="5" fillId="0" borderId="0" xfId="0" applyNumberFormat="1" applyFont="1" applyFill="1" applyBorder="1" applyAlignment="1">
      <alignment horizontal="center" vertical="center" shrinkToFit="1"/>
    </xf>
    <xf numFmtId="38" fontId="9" fillId="0" borderId="0" xfId="0" applyNumberFormat="1" applyFont="1" applyFill="1" applyBorder="1" applyAlignment="1">
      <alignment horizontal="left" vertical="center" shrinkToFit="1"/>
    </xf>
    <xf numFmtId="0" fontId="10" fillId="0" borderId="0" xfId="0" applyNumberFormat="1" applyFont="1" applyFill="1" applyBorder="1" applyAlignment="1">
      <alignment horizontal="center" vertical="center" shrinkToFit="1"/>
    </xf>
    <xf numFmtId="0" fontId="5" fillId="0" borderId="0" xfId="0" applyFont="1">
      <alignment vertical="center"/>
    </xf>
    <xf numFmtId="38" fontId="9" fillId="0" borderId="0" xfId="1" applyNumberFormat="1" applyFont="1" applyFill="1" applyBorder="1" applyAlignment="1">
      <alignment horizontal="center" vertical="center" shrinkToFit="1"/>
    </xf>
    <xf numFmtId="38" fontId="10" fillId="0" borderId="0" xfId="1" applyNumberFormat="1" applyFont="1" applyFill="1" applyBorder="1" applyAlignment="1">
      <alignment horizontal="center" vertical="center" shrinkToFit="1"/>
    </xf>
    <xf numFmtId="0" fontId="5" fillId="0" borderId="0" xfId="0" applyFont="1" applyBorder="1">
      <alignment vertical="center"/>
    </xf>
    <xf numFmtId="38" fontId="9" fillId="0" borderId="0" xfId="0" applyNumberFormat="1" applyFont="1" applyFill="1" applyBorder="1" applyAlignment="1">
      <alignment horizontal="center" vertical="center" shrinkToFit="1"/>
    </xf>
    <xf numFmtId="38" fontId="5" fillId="0" borderId="19" xfId="1" applyNumberFormat="1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 shrinkToFit="1"/>
    </xf>
    <xf numFmtId="178" fontId="5" fillId="0" borderId="5" xfId="0" applyNumberFormat="1" applyFont="1" applyFill="1" applyBorder="1" applyAlignment="1">
      <alignment horizontal="left" vertical="center" shrinkToFit="1"/>
    </xf>
    <xf numFmtId="38" fontId="5" fillId="0" borderId="0" xfId="0" applyNumberFormat="1" applyFont="1" applyFill="1">
      <alignment vertical="center"/>
    </xf>
    <xf numFmtId="0" fontId="5" fillId="3" borderId="0" xfId="0" applyFont="1" applyFill="1" applyBorder="1">
      <alignment vertical="center"/>
    </xf>
    <xf numFmtId="0" fontId="10" fillId="0" borderId="9" xfId="0" applyNumberFormat="1" applyFont="1" applyFill="1" applyBorder="1" applyAlignment="1">
      <alignment vertical="center" shrinkToFit="1"/>
    </xf>
    <xf numFmtId="0" fontId="9" fillId="0" borderId="0" xfId="0" applyFont="1" applyFill="1">
      <alignment vertical="center"/>
    </xf>
    <xf numFmtId="0" fontId="9" fillId="0" borderId="8" xfId="0" applyFont="1" applyFill="1" applyBorder="1" applyAlignment="1">
      <alignment horizontal="center" vertical="center"/>
    </xf>
    <xf numFmtId="0" fontId="6" fillId="0" borderId="9" xfId="0" applyNumberFormat="1" applyFont="1" applyFill="1" applyBorder="1">
      <alignment vertical="center"/>
    </xf>
    <xf numFmtId="180" fontId="5" fillId="0" borderId="9" xfId="1" applyNumberFormat="1" applyFont="1" applyFill="1" applyBorder="1">
      <alignment vertical="center"/>
    </xf>
    <xf numFmtId="38" fontId="6" fillId="0" borderId="9" xfId="0" applyNumberFormat="1" applyFont="1" applyFill="1" applyBorder="1">
      <alignment vertical="center"/>
    </xf>
    <xf numFmtId="38" fontId="6" fillId="0" borderId="9" xfId="0" applyNumberFormat="1" applyFont="1" applyFill="1" applyBorder="1" applyAlignment="1">
      <alignment horizontal="center" vertical="center"/>
    </xf>
    <xf numFmtId="38" fontId="5" fillId="0" borderId="9" xfId="0" applyNumberFormat="1" applyFont="1" applyFill="1" applyBorder="1">
      <alignment vertical="center"/>
    </xf>
    <xf numFmtId="38" fontId="5" fillId="0" borderId="11" xfId="0" applyNumberFormat="1" applyFont="1" applyFill="1" applyBorder="1">
      <alignment vertical="center"/>
    </xf>
    <xf numFmtId="0" fontId="5" fillId="3" borderId="9" xfId="0" applyFont="1" applyFill="1" applyBorder="1">
      <alignment vertical="center"/>
    </xf>
    <xf numFmtId="0" fontId="5" fillId="3" borderId="11" xfId="0" applyFont="1" applyFill="1" applyBorder="1">
      <alignment vertical="center"/>
    </xf>
    <xf numFmtId="0" fontId="5" fillId="3" borderId="8" xfId="0" applyFont="1" applyFill="1" applyBorder="1">
      <alignment vertical="center"/>
    </xf>
    <xf numFmtId="0" fontId="10" fillId="0" borderId="9" xfId="1" applyNumberFormat="1" applyFont="1" applyFill="1" applyBorder="1" applyAlignment="1">
      <alignment vertical="center" shrinkToFit="1"/>
    </xf>
    <xf numFmtId="0" fontId="9" fillId="0" borderId="9" xfId="1" applyNumberFormat="1" applyFont="1" applyFill="1" applyBorder="1" applyAlignment="1">
      <alignment horizontal="center" vertical="center" shrinkToFit="1"/>
    </xf>
    <xf numFmtId="38" fontId="6" fillId="3" borderId="0" xfId="0" applyNumberFormat="1" applyFont="1" applyFill="1" applyBorder="1" applyAlignment="1">
      <alignment horizontal="center" vertical="center"/>
    </xf>
    <xf numFmtId="38" fontId="5" fillId="3" borderId="0" xfId="0" applyNumberFormat="1" applyFont="1" applyFill="1" applyBorder="1">
      <alignment vertical="center"/>
    </xf>
    <xf numFmtId="180" fontId="5" fillId="3" borderId="0" xfId="1" applyNumberFormat="1" applyFont="1" applyFill="1">
      <alignment vertical="center"/>
    </xf>
    <xf numFmtId="38" fontId="5" fillId="3" borderId="0" xfId="1" applyNumberFormat="1" applyFont="1" applyFill="1">
      <alignment vertical="center"/>
    </xf>
    <xf numFmtId="177" fontId="5" fillId="3" borderId="0" xfId="2" applyNumberFormat="1" applyFont="1" applyFill="1">
      <alignment vertical="center"/>
    </xf>
    <xf numFmtId="0" fontId="5" fillId="3" borderId="0" xfId="0" applyFont="1" applyFill="1" applyAlignment="1">
      <alignment horizontal="left" vertical="center"/>
    </xf>
    <xf numFmtId="0" fontId="5" fillId="3" borderId="0" xfId="0" applyFont="1" applyFill="1" applyAlignment="1">
      <alignment horizontal="center" vertical="center"/>
    </xf>
    <xf numFmtId="0" fontId="9" fillId="3" borderId="0" xfId="0" applyFont="1" applyFill="1" applyBorder="1" applyAlignment="1">
      <alignment horizontal="center" vertical="center"/>
    </xf>
    <xf numFmtId="0" fontId="6" fillId="3" borderId="0" xfId="0" applyNumberFormat="1" applyFont="1" applyFill="1" applyBorder="1">
      <alignment vertical="center"/>
    </xf>
    <xf numFmtId="180" fontId="5" fillId="3" borderId="0" xfId="1" applyNumberFormat="1" applyFont="1" applyFill="1" applyBorder="1">
      <alignment vertical="center"/>
    </xf>
    <xf numFmtId="38" fontId="6" fillId="3" borderId="0" xfId="0" applyNumberFormat="1" applyFont="1" applyFill="1" applyBorder="1">
      <alignment vertical="center"/>
    </xf>
    <xf numFmtId="38" fontId="5" fillId="3" borderId="0" xfId="0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5" fillId="3" borderId="0" xfId="0" applyNumberFormat="1" applyFont="1" applyFill="1" applyBorder="1">
      <alignment vertical="center"/>
    </xf>
    <xf numFmtId="38" fontId="16" fillId="0" borderId="0" xfId="1" applyNumberFormat="1" applyFont="1" applyFill="1" applyBorder="1" applyAlignment="1">
      <alignment vertical="center" shrinkToFit="1"/>
    </xf>
    <xf numFmtId="0" fontId="5" fillId="0" borderId="9" xfId="1" applyNumberFormat="1" applyFont="1" applyFill="1" applyBorder="1" applyAlignment="1">
      <alignment vertical="center" shrinkToFit="1"/>
    </xf>
    <xf numFmtId="0" fontId="8" fillId="0" borderId="10" xfId="0" applyNumberFormat="1" applyFont="1" applyFill="1" applyBorder="1" applyAlignment="1">
      <alignment horizontal="center" vertical="center" shrinkToFit="1"/>
    </xf>
    <xf numFmtId="38" fontId="6" fillId="0" borderId="9" xfId="1" applyNumberFormat="1" applyFont="1" applyFill="1" applyBorder="1" applyAlignment="1">
      <alignment vertical="center" shrinkToFit="1"/>
    </xf>
    <xf numFmtId="38" fontId="6" fillId="3" borderId="9" xfId="0" applyNumberFormat="1" applyFont="1" applyFill="1" applyBorder="1" applyAlignment="1">
      <alignment horizontal="center" vertical="center"/>
    </xf>
    <xf numFmtId="38" fontId="5" fillId="3" borderId="9" xfId="0" applyNumberFormat="1" applyFont="1" applyFill="1" applyBorder="1">
      <alignment vertical="center"/>
    </xf>
    <xf numFmtId="38" fontId="5" fillId="3" borderId="11" xfId="0" applyNumberFormat="1" applyFont="1" applyFill="1" applyBorder="1">
      <alignment vertical="center"/>
    </xf>
    <xf numFmtId="0" fontId="9" fillId="3" borderId="8" xfId="0" applyFont="1" applyFill="1" applyBorder="1" applyAlignment="1">
      <alignment horizontal="center" vertical="center"/>
    </xf>
    <xf numFmtId="0" fontId="6" fillId="3" borderId="9" xfId="0" applyNumberFormat="1" applyFont="1" applyFill="1" applyBorder="1">
      <alignment vertical="center"/>
    </xf>
    <xf numFmtId="180" fontId="5" fillId="3" borderId="9" xfId="1" applyNumberFormat="1" applyFont="1" applyFill="1" applyBorder="1">
      <alignment vertical="center"/>
    </xf>
    <xf numFmtId="38" fontId="6" fillId="3" borderId="9" xfId="0" applyNumberFormat="1" applyFont="1" applyFill="1" applyBorder="1">
      <alignment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NumberFormat="1" applyFont="1" applyFill="1" applyBorder="1">
      <alignment vertical="center"/>
    </xf>
    <xf numFmtId="38" fontId="5" fillId="3" borderId="9" xfId="0" applyNumberFormat="1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NumberFormat="1" applyFont="1" applyFill="1" applyBorder="1">
      <alignment vertical="center"/>
    </xf>
    <xf numFmtId="0" fontId="14" fillId="0" borderId="0" xfId="0" applyFont="1" applyFill="1">
      <alignment vertical="center"/>
    </xf>
    <xf numFmtId="0" fontId="16" fillId="0" borderId="8" xfId="0" applyFont="1" applyFill="1" applyBorder="1" applyAlignment="1">
      <alignment horizontal="center" vertical="center" shrinkToFit="1"/>
    </xf>
    <xf numFmtId="0" fontId="9" fillId="0" borderId="16" xfId="0" applyFont="1" applyFill="1" applyBorder="1" applyAlignment="1">
      <alignment horizontal="left" vertical="center" shrinkToFit="1"/>
    </xf>
    <xf numFmtId="0" fontId="5" fillId="0" borderId="22" xfId="0" applyFont="1" applyFill="1" applyBorder="1" applyAlignment="1">
      <alignment horizontal="center" vertical="center" shrinkToFit="1"/>
    </xf>
    <xf numFmtId="178" fontId="5" fillId="0" borderId="2" xfId="0" applyNumberFormat="1" applyFont="1" applyFill="1" applyBorder="1" applyAlignment="1">
      <alignment horizontal="left" vertical="center" shrinkToFit="1"/>
    </xf>
    <xf numFmtId="49" fontId="7" fillId="0" borderId="2" xfId="0" applyNumberFormat="1" applyFont="1" applyFill="1" applyBorder="1" applyAlignment="1">
      <alignment horizontal="center" vertical="center" shrinkToFit="1"/>
    </xf>
    <xf numFmtId="49" fontId="8" fillId="0" borderId="2" xfId="0" applyNumberFormat="1" applyFont="1" applyFill="1" applyBorder="1" applyAlignment="1">
      <alignment horizontal="center" vertical="center" shrinkToFit="1"/>
    </xf>
    <xf numFmtId="0" fontId="9" fillId="0" borderId="2" xfId="0" applyFont="1" applyFill="1" applyBorder="1" applyAlignment="1">
      <alignment horizontal="left" vertical="center" shrinkToFit="1"/>
    </xf>
    <xf numFmtId="0" fontId="5" fillId="0" borderId="23" xfId="0" applyNumberFormat="1" applyFont="1" applyFill="1" applyBorder="1" applyAlignment="1">
      <alignment horizontal="center" vertical="center" shrinkToFit="1"/>
    </xf>
    <xf numFmtId="0" fontId="9" fillId="0" borderId="23" xfId="0" applyNumberFormat="1" applyFont="1" applyFill="1" applyBorder="1" applyAlignment="1">
      <alignment horizontal="center" vertical="center" shrinkToFit="1"/>
    </xf>
    <xf numFmtId="38" fontId="9" fillId="0" borderId="23" xfId="1" applyNumberFormat="1" applyFont="1" applyFill="1" applyBorder="1" applyAlignment="1">
      <alignment vertical="center" shrinkToFit="1"/>
    </xf>
    <xf numFmtId="38" fontId="5" fillId="0" borderId="23" xfId="1" applyNumberFormat="1" applyFont="1" applyFill="1" applyBorder="1" applyAlignment="1">
      <alignment vertical="center" shrinkToFit="1"/>
    </xf>
    <xf numFmtId="38" fontId="5" fillId="0" borderId="24" xfId="1" applyNumberFormat="1" applyFont="1" applyFill="1" applyBorder="1" applyAlignment="1">
      <alignment vertical="center" shrinkToFit="1"/>
    </xf>
    <xf numFmtId="0" fontId="6" fillId="0" borderId="0" xfId="0" applyFont="1" applyFill="1" applyBorder="1" applyAlignment="1">
      <alignment vertical="center" shrinkToFit="1"/>
    </xf>
    <xf numFmtId="178" fontId="6" fillId="0" borderId="0" xfId="0" applyNumberFormat="1" applyFont="1" applyFill="1" applyBorder="1" applyAlignment="1">
      <alignment horizontal="left" vertical="center" shrinkToFit="1"/>
    </xf>
    <xf numFmtId="49" fontId="7" fillId="0" borderId="0" xfId="0" applyNumberFormat="1" applyFont="1" applyFill="1" applyBorder="1" applyAlignment="1">
      <alignment vertical="center" shrinkToFit="1"/>
    </xf>
    <xf numFmtId="49" fontId="8" fillId="0" borderId="0" xfId="0" applyNumberFormat="1" applyFont="1" applyFill="1" applyBorder="1" applyAlignment="1">
      <alignment vertical="center" shrinkToFit="1"/>
    </xf>
    <xf numFmtId="0" fontId="6" fillId="0" borderId="0" xfId="0" applyNumberFormat="1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vertical="center" shrinkToFit="1"/>
    </xf>
    <xf numFmtId="0" fontId="17" fillId="0" borderId="0" xfId="0" applyNumberFormat="1" applyFont="1" applyFill="1" applyBorder="1" applyAlignment="1">
      <alignment vertical="center" shrinkToFit="1"/>
    </xf>
    <xf numFmtId="0" fontId="18" fillId="0" borderId="0" xfId="0" applyNumberFormat="1" applyFont="1" applyFill="1" applyBorder="1" applyAlignment="1">
      <alignment horizontal="center" vertical="center" shrinkToFit="1"/>
    </xf>
    <xf numFmtId="0" fontId="5" fillId="0" borderId="0" xfId="0" applyNumberFormat="1" applyFont="1" applyFill="1" applyBorder="1" applyAlignment="1">
      <alignment vertical="center" shrinkToFit="1"/>
    </xf>
    <xf numFmtId="38" fontId="6" fillId="0" borderId="0" xfId="1" applyNumberFormat="1" applyFont="1" applyFill="1" applyBorder="1" applyAlignment="1">
      <alignment horizontal="right" vertical="center" shrinkToFit="1"/>
    </xf>
    <xf numFmtId="38" fontId="5" fillId="0" borderId="0" xfId="0" applyNumberFormat="1" applyFont="1" applyFill="1" applyBorder="1" applyAlignment="1">
      <alignment vertical="center" shrinkToFit="1"/>
    </xf>
    <xf numFmtId="0" fontId="18" fillId="0" borderId="8" xfId="0" applyFont="1" applyFill="1" applyBorder="1" applyAlignment="1">
      <alignment horizontal="center" vertical="center" shrinkToFit="1"/>
    </xf>
    <xf numFmtId="178" fontId="10" fillId="0" borderId="10" xfId="0" applyNumberFormat="1" applyFont="1" applyFill="1" applyBorder="1" applyAlignment="1">
      <alignment horizontal="left" vertical="center" shrinkToFit="1"/>
    </xf>
    <xf numFmtId="38" fontId="9" fillId="0" borderId="9" xfId="1" applyNumberFormat="1" applyFont="1" applyFill="1" applyBorder="1" applyAlignment="1">
      <alignment horizontal="center" vertical="center" shrinkToFit="1"/>
    </xf>
    <xf numFmtId="38" fontId="19" fillId="0" borderId="0" xfId="1" applyNumberFormat="1" applyFont="1" applyFill="1" applyBorder="1" applyAlignment="1">
      <alignment vertical="center" shrinkToFit="1"/>
    </xf>
    <xf numFmtId="0" fontId="10" fillId="4" borderId="8" xfId="0" applyFont="1" applyFill="1" applyBorder="1" applyAlignment="1">
      <alignment horizontal="center" vertical="center" shrinkToFit="1"/>
    </xf>
    <xf numFmtId="178" fontId="10" fillId="4" borderId="10" xfId="0" applyNumberFormat="1" applyFont="1" applyFill="1" applyBorder="1" applyAlignment="1">
      <alignment horizontal="left" vertical="center" shrinkToFit="1"/>
    </xf>
    <xf numFmtId="49" fontId="7" fillId="4" borderId="10" xfId="0" applyNumberFormat="1" applyFont="1" applyFill="1" applyBorder="1" applyAlignment="1">
      <alignment horizontal="center" vertical="center" shrinkToFit="1"/>
    </xf>
    <xf numFmtId="49" fontId="8" fillId="4" borderId="10" xfId="0" applyNumberFormat="1" applyFont="1" applyFill="1" applyBorder="1" applyAlignment="1">
      <alignment horizontal="center" vertical="center" shrinkToFit="1"/>
    </xf>
    <xf numFmtId="0" fontId="9" fillId="4" borderId="10" xfId="0" applyFont="1" applyFill="1" applyBorder="1" applyAlignment="1">
      <alignment horizontal="left" vertical="center" shrinkToFit="1"/>
    </xf>
    <xf numFmtId="0" fontId="5" fillId="4" borderId="9" xfId="1" applyNumberFormat="1" applyFont="1" applyFill="1" applyBorder="1" applyAlignment="1">
      <alignment vertical="center" shrinkToFit="1"/>
    </xf>
    <xf numFmtId="0" fontId="9" fillId="4" borderId="9" xfId="1" applyNumberFormat="1" applyFont="1" applyFill="1" applyBorder="1" applyAlignment="1">
      <alignment horizontal="center" vertical="center" shrinkToFit="1"/>
    </xf>
    <xf numFmtId="38" fontId="9" fillId="4" borderId="9" xfId="1" applyNumberFormat="1" applyFont="1" applyFill="1" applyBorder="1" applyAlignment="1">
      <alignment vertical="center" shrinkToFit="1"/>
    </xf>
    <xf numFmtId="38" fontId="5" fillId="4" borderId="9" xfId="1" applyNumberFormat="1" applyFont="1" applyFill="1" applyBorder="1" applyAlignment="1">
      <alignment vertical="center" shrinkToFit="1"/>
    </xf>
    <xf numFmtId="38" fontId="5" fillId="4" borderId="9" xfId="1" applyNumberFormat="1" applyFont="1" applyFill="1" applyBorder="1" applyAlignment="1">
      <alignment horizontal="center" vertical="center" shrinkToFit="1"/>
    </xf>
    <xf numFmtId="38" fontId="5" fillId="4" borderId="14" xfId="1" applyNumberFormat="1" applyFont="1" applyFill="1" applyBorder="1" applyAlignment="1">
      <alignment vertical="center" shrinkToFit="1"/>
    </xf>
    <xf numFmtId="49" fontId="7" fillId="5" borderId="10" xfId="0" applyNumberFormat="1" applyFont="1" applyFill="1" applyBorder="1" applyAlignment="1">
      <alignment horizontal="center" vertical="center" shrinkToFit="1"/>
    </xf>
    <xf numFmtId="49" fontId="8" fillId="5" borderId="10" xfId="0" applyNumberFormat="1" applyFont="1" applyFill="1" applyBorder="1" applyAlignment="1">
      <alignment horizontal="center" vertical="center" shrinkToFit="1"/>
    </xf>
    <xf numFmtId="0" fontId="9" fillId="5" borderId="10" xfId="0" applyFont="1" applyFill="1" applyBorder="1" applyAlignment="1">
      <alignment horizontal="left" vertical="center" shrinkToFit="1"/>
    </xf>
    <xf numFmtId="0" fontId="5" fillId="5" borderId="9" xfId="0" applyNumberFormat="1" applyFont="1" applyFill="1" applyBorder="1" applyAlignment="1">
      <alignment vertical="center" shrinkToFit="1"/>
    </xf>
    <xf numFmtId="0" fontId="9" fillId="5" borderId="9" xfId="0" applyNumberFormat="1" applyFont="1" applyFill="1" applyBorder="1" applyAlignment="1">
      <alignment horizontal="center" vertical="center" shrinkToFit="1"/>
    </xf>
    <xf numFmtId="38" fontId="9" fillId="5" borderId="9" xfId="1" applyNumberFormat="1" applyFont="1" applyFill="1" applyBorder="1" applyAlignment="1">
      <alignment vertical="center" shrinkToFit="1"/>
    </xf>
    <xf numFmtId="38" fontId="5" fillId="5" borderId="9" xfId="1" applyNumberFormat="1" applyFont="1" applyFill="1" applyBorder="1" applyAlignment="1">
      <alignment vertical="center" shrinkToFit="1"/>
    </xf>
    <xf numFmtId="38" fontId="5" fillId="5" borderId="9" xfId="1" applyNumberFormat="1" applyFont="1" applyFill="1" applyBorder="1" applyAlignment="1">
      <alignment horizontal="center" vertical="center" shrinkToFit="1"/>
    </xf>
    <xf numFmtId="38" fontId="5" fillId="5" borderId="14" xfId="1" applyNumberFormat="1" applyFont="1" applyFill="1" applyBorder="1" applyAlignment="1">
      <alignment vertical="center" shrinkToFit="1"/>
    </xf>
    <xf numFmtId="0" fontId="5" fillId="4" borderId="9" xfId="0" applyFont="1" applyFill="1" applyBorder="1" applyAlignment="1">
      <alignment vertical="center" shrinkToFit="1"/>
    </xf>
    <xf numFmtId="0" fontId="9" fillId="4" borderId="9" xfId="0" applyFont="1" applyFill="1" applyBorder="1" applyAlignment="1">
      <alignment horizontal="center" vertical="center" shrinkToFit="1"/>
    </xf>
    <xf numFmtId="38" fontId="6" fillId="4" borderId="9" xfId="1" applyNumberFormat="1" applyFont="1" applyFill="1" applyBorder="1" applyAlignment="1">
      <alignment vertical="center" shrinkToFit="1"/>
    </xf>
    <xf numFmtId="38" fontId="6" fillId="4" borderId="9" xfId="1" applyNumberFormat="1" applyFont="1" applyFill="1" applyBorder="1" applyAlignment="1">
      <alignment horizontal="center" vertical="center" shrinkToFit="1"/>
    </xf>
    <xf numFmtId="37" fontId="5" fillId="0" borderId="0" xfId="1" applyNumberFormat="1" applyFont="1" applyFill="1" applyBorder="1" applyAlignment="1">
      <alignment vertical="center" shrinkToFit="1"/>
    </xf>
    <xf numFmtId="0" fontId="9" fillId="0" borderId="10" xfId="0" applyNumberFormat="1" applyFont="1" applyFill="1" applyBorder="1" applyAlignment="1">
      <alignment horizontal="left" vertical="center" shrinkToFit="1"/>
    </xf>
    <xf numFmtId="180" fontId="14" fillId="0" borderId="0" xfId="0" applyNumberFormat="1" applyFont="1" applyFill="1">
      <alignment vertical="center"/>
    </xf>
    <xf numFmtId="0" fontId="14" fillId="0" borderId="0" xfId="0" applyFont="1" applyFill="1" applyBorder="1">
      <alignment vertical="center"/>
    </xf>
    <xf numFmtId="0" fontId="14" fillId="3" borderId="0" xfId="0" applyFont="1" applyFill="1" applyBorder="1">
      <alignment vertical="center"/>
    </xf>
    <xf numFmtId="0" fontId="14" fillId="3" borderId="0" xfId="0" applyFont="1" applyFill="1">
      <alignment vertical="center"/>
    </xf>
    <xf numFmtId="0" fontId="9" fillId="0" borderId="9" xfId="0" applyFont="1" applyFill="1" applyBorder="1" applyAlignment="1">
      <alignment horizontal="left" vertical="center" shrinkToFit="1"/>
    </xf>
    <xf numFmtId="38" fontId="9" fillId="0" borderId="9" xfId="1" applyNumberFormat="1" applyFont="1" applyFill="1" applyBorder="1" applyAlignment="1">
      <alignment horizontal="left" vertical="center" shrinkToFit="1"/>
    </xf>
    <xf numFmtId="0" fontId="9" fillId="0" borderId="9" xfId="0" applyNumberFormat="1" applyFont="1" applyFill="1" applyBorder="1" applyAlignment="1">
      <alignment horizontal="left" vertical="center" shrinkToFit="1"/>
    </xf>
    <xf numFmtId="38" fontId="10" fillId="0" borderId="9" xfId="1" applyNumberFormat="1" applyFont="1" applyFill="1" applyBorder="1" applyAlignment="1">
      <alignment vertical="center" shrinkToFit="1"/>
    </xf>
    <xf numFmtId="0" fontId="19" fillId="0" borderId="9" xfId="0" applyNumberFormat="1" applyFont="1" applyFill="1" applyBorder="1" applyAlignment="1">
      <alignment horizontal="center" vertical="center" shrinkToFit="1"/>
    </xf>
    <xf numFmtId="38" fontId="19" fillId="0" borderId="9" xfId="1" applyNumberFormat="1" applyFont="1" applyFill="1" applyBorder="1" applyAlignment="1">
      <alignment vertical="center" shrinkToFit="1"/>
    </xf>
    <xf numFmtId="38" fontId="19" fillId="0" borderId="11" xfId="1" applyNumberFormat="1" applyFont="1" applyFill="1" applyBorder="1" applyAlignment="1">
      <alignment vertical="center" shrinkToFit="1"/>
    </xf>
    <xf numFmtId="0" fontId="6" fillId="0" borderId="8" xfId="0" applyFont="1" applyFill="1" applyBorder="1" applyAlignment="1">
      <alignment vertical="center" shrinkToFit="1"/>
    </xf>
    <xf numFmtId="178" fontId="6" fillId="0" borderId="16" xfId="0" applyNumberFormat="1" applyFont="1" applyFill="1" applyBorder="1" applyAlignment="1">
      <alignment horizontal="left" vertical="center" shrinkToFit="1"/>
    </xf>
    <xf numFmtId="49" fontId="7" fillId="0" borderId="16" xfId="0" applyNumberFormat="1" applyFont="1" applyFill="1" applyBorder="1" applyAlignment="1">
      <alignment vertical="center" shrinkToFit="1"/>
    </xf>
    <xf numFmtId="49" fontId="8" fillId="0" borderId="16" xfId="0" applyNumberFormat="1" applyFont="1" applyFill="1" applyBorder="1" applyAlignment="1">
      <alignment vertical="center" shrinkToFit="1"/>
    </xf>
    <xf numFmtId="0" fontId="6" fillId="0" borderId="17" xfId="0" applyNumberFormat="1" applyFont="1" applyFill="1" applyBorder="1" applyAlignment="1">
      <alignment horizontal="center" vertical="center" shrinkToFit="1"/>
    </xf>
    <xf numFmtId="37" fontId="9" fillId="0" borderId="17" xfId="1" applyNumberFormat="1" applyFont="1" applyFill="1" applyBorder="1" applyAlignment="1">
      <alignment vertical="center" shrinkToFit="1"/>
    </xf>
    <xf numFmtId="37" fontId="5" fillId="0" borderId="17" xfId="1" applyNumberFormat="1" applyFont="1" applyFill="1" applyBorder="1" applyAlignment="1">
      <alignment vertical="center" shrinkToFit="1"/>
    </xf>
    <xf numFmtId="37" fontId="5" fillId="0" borderId="17" xfId="1" applyNumberFormat="1" applyFont="1" applyFill="1" applyBorder="1" applyAlignment="1">
      <alignment horizontal="center" vertical="center" shrinkToFit="1"/>
    </xf>
    <xf numFmtId="37" fontId="5" fillId="0" borderId="18" xfId="1" applyNumberFormat="1" applyFont="1" applyFill="1" applyBorder="1" applyAlignment="1">
      <alignment vertical="center" shrinkToFit="1"/>
    </xf>
    <xf numFmtId="0" fontId="9" fillId="0" borderId="0" xfId="0" applyFont="1" applyFill="1" applyBorder="1" applyAlignment="1">
      <alignment horizontal="center" vertical="center" shrinkToFit="1"/>
    </xf>
    <xf numFmtId="178" fontId="5" fillId="0" borderId="10" xfId="0" applyNumberFormat="1" applyFont="1" applyFill="1" applyBorder="1" applyAlignment="1">
      <alignment horizontal="left"/>
    </xf>
    <xf numFmtId="0" fontId="2" fillId="0" borderId="2" xfId="0" applyFont="1" applyFill="1" applyBorder="1" applyAlignment="1">
      <alignment vertical="center" shrinkToFit="1"/>
    </xf>
    <xf numFmtId="0" fontId="2" fillId="0" borderId="3" xfId="0" applyFont="1" applyFill="1" applyBorder="1" applyAlignment="1">
      <alignment vertical="center" shrinkToFit="1"/>
    </xf>
    <xf numFmtId="0" fontId="2" fillId="0" borderId="25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 shrinkToFit="1"/>
    </xf>
    <xf numFmtId="0" fontId="2" fillId="0" borderId="3" xfId="0" applyFont="1" applyFill="1" applyBorder="1" applyAlignment="1">
      <alignment horizontal="center" vertical="center" shrinkToFit="1"/>
    </xf>
  </cellXfs>
  <cellStyles count="5">
    <cellStyle name="百分比" xfId="2" builtinId="5"/>
    <cellStyle name="千分位" xfId="1" builtinId="3"/>
    <cellStyle name="一般" xfId="0" builtinId="0"/>
    <cellStyle name="一般 2" xfId="4"/>
    <cellStyle name="一般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GF835"/>
  <sheetViews>
    <sheetView tabSelected="1" zoomScale="90" zoomScaleNormal="90" workbookViewId="0">
      <selection activeCell="Q9" sqref="Q9"/>
    </sheetView>
  </sheetViews>
  <sheetFormatPr defaultColWidth="9" defaultRowHeight="13.5"/>
  <cols>
    <col min="1" max="1" width="6.75" style="230" bestFit="1" customWidth="1"/>
    <col min="2" max="2" width="10.875" style="101" bestFit="1" customWidth="1"/>
    <col min="3" max="3" width="7.5" style="227" bestFit="1" customWidth="1"/>
    <col min="4" max="4" width="6.625" style="228" bestFit="1" customWidth="1"/>
    <col min="5" max="5" width="14" style="104" bestFit="1" customWidth="1"/>
    <col min="6" max="6" width="9.125" style="233" bestFit="1" customWidth="1"/>
    <col min="7" max="7" width="8" style="106" customWidth="1"/>
    <col min="8" max="8" width="21.375" style="107" customWidth="1"/>
    <col min="9" max="10" width="11.875" style="108" customWidth="1"/>
    <col min="11" max="11" width="13.875" style="108" customWidth="1"/>
    <col min="12" max="12" width="5" style="108" customWidth="1"/>
    <col min="13" max="14" width="11.875" style="108" customWidth="1"/>
    <col min="15" max="15" width="8" style="108" customWidth="1"/>
    <col min="16" max="16384" width="9" style="158"/>
  </cols>
  <sheetData>
    <row r="1" spans="1:15" s="3" customFormat="1" ht="24.75" thickTop="1" thickBot="1">
      <c r="A1" s="290" t="s">
        <v>1004</v>
      </c>
      <c r="B1" s="288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88"/>
      <c r="N1" s="289"/>
      <c r="O1" s="1"/>
    </row>
    <row r="2" spans="1:15" ht="14.25" thickTop="1">
      <c r="A2" s="4"/>
      <c r="B2" s="5" t="s">
        <v>1005</v>
      </c>
      <c r="C2" s="6" t="s">
        <v>1432</v>
      </c>
      <c r="D2" s="7" t="s">
        <v>1433</v>
      </c>
      <c r="E2" s="8" t="s">
        <v>1434</v>
      </c>
      <c r="F2" s="9" t="s">
        <v>1435</v>
      </c>
      <c r="G2" s="10" t="s">
        <v>1436</v>
      </c>
      <c r="H2" s="11" t="s">
        <v>1437</v>
      </c>
      <c r="I2" s="12" t="s">
        <v>1438</v>
      </c>
      <c r="J2" s="12" t="s">
        <v>1439</v>
      </c>
      <c r="K2" s="12" t="s">
        <v>1440</v>
      </c>
      <c r="L2" s="12" t="s">
        <v>1441</v>
      </c>
      <c r="M2" s="12" t="s">
        <v>1442</v>
      </c>
      <c r="N2" s="13" t="s">
        <v>1443</v>
      </c>
      <c r="O2" s="14" t="s">
        <v>1444</v>
      </c>
    </row>
    <row r="3" spans="1:15" s="3" customFormat="1">
      <c r="A3" s="16">
        <v>1</v>
      </c>
      <c r="B3" s="64">
        <v>42702</v>
      </c>
      <c r="C3" s="65"/>
      <c r="D3" s="66" t="s">
        <v>1015</v>
      </c>
      <c r="E3" s="67" t="s">
        <v>1016</v>
      </c>
      <c r="F3" s="73" t="s">
        <v>1017</v>
      </c>
      <c r="G3" s="74">
        <v>1603</v>
      </c>
      <c r="H3" s="34">
        <f>4500</f>
        <v>4500</v>
      </c>
      <c r="I3" s="35">
        <v>560667</v>
      </c>
      <c r="J3" s="24"/>
      <c r="K3" s="25">
        <f t="shared" ref="K3:K34" si="0">I3+J3</f>
        <v>560667</v>
      </c>
      <c r="L3" s="26"/>
      <c r="M3" s="24">
        <f t="shared" ref="M3:M66" si="1">K3*L3</f>
        <v>0</v>
      </c>
      <c r="N3" s="59">
        <f t="shared" ref="N3:N66" si="2">K3-M3</f>
        <v>560667</v>
      </c>
      <c r="O3" s="28"/>
    </row>
    <row r="4" spans="1:15" s="3" customFormat="1">
      <c r="A4" s="16">
        <v>2</v>
      </c>
      <c r="B4" s="64">
        <v>42711</v>
      </c>
      <c r="C4" s="65"/>
      <c r="D4" s="66" t="s">
        <v>1015</v>
      </c>
      <c r="E4" s="67" t="s">
        <v>1016</v>
      </c>
      <c r="F4" s="71" t="s">
        <v>1018</v>
      </c>
      <c r="G4" s="69">
        <v>1606</v>
      </c>
      <c r="H4" s="34">
        <f>4500</f>
        <v>4500</v>
      </c>
      <c r="I4" s="35">
        <v>560667</v>
      </c>
      <c r="J4" s="24"/>
      <c r="K4" s="25">
        <f t="shared" si="0"/>
        <v>560667</v>
      </c>
      <c r="L4" s="26"/>
      <c r="M4" s="24">
        <f t="shared" si="1"/>
        <v>0</v>
      </c>
      <c r="N4" s="59">
        <f t="shared" si="2"/>
        <v>560667</v>
      </c>
      <c r="O4" s="28"/>
    </row>
    <row r="5" spans="1:15" s="3" customFormat="1">
      <c r="A5" s="16">
        <v>3</v>
      </c>
      <c r="B5" s="77">
        <v>43081</v>
      </c>
      <c r="C5" s="65"/>
      <c r="D5" s="66" t="s">
        <v>1015</v>
      </c>
      <c r="E5" s="67" t="s">
        <v>24</v>
      </c>
      <c r="F5" s="68" t="s">
        <v>26</v>
      </c>
      <c r="G5" s="69">
        <v>1611</v>
      </c>
      <c r="H5" s="34">
        <v>413080</v>
      </c>
      <c r="I5" s="35">
        <v>393410</v>
      </c>
      <c r="J5" s="24"/>
      <c r="K5" s="25">
        <f t="shared" si="0"/>
        <v>393410</v>
      </c>
      <c r="L5" s="26"/>
      <c r="M5" s="24">
        <f t="shared" si="1"/>
        <v>0</v>
      </c>
      <c r="N5" s="59">
        <f t="shared" si="2"/>
        <v>393410</v>
      </c>
      <c r="O5" s="28"/>
    </row>
    <row r="6" spans="1:15" s="3" customFormat="1">
      <c r="A6" s="16">
        <v>4</v>
      </c>
      <c r="B6" s="64">
        <v>43081</v>
      </c>
      <c r="C6" s="65"/>
      <c r="D6" s="66" t="s">
        <v>1015</v>
      </c>
      <c r="E6" s="67" t="s">
        <v>24</v>
      </c>
      <c r="F6" s="71" t="s">
        <v>27</v>
      </c>
      <c r="G6" s="69">
        <v>1611</v>
      </c>
      <c r="H6" s="34">
        <v>413080</v>
      </c>
      <c r="I6" s="35">
        <v>393410</v>
      </c>
      <c r="J6" s="24"/>
      <c r="K6" s="25">
        <f t="shared" si="0"/>
        <v>393410</v>
      </c>
      <c r="L6" s="26"/>
      <c r="M6" s="24">
        <f t="shared" si="1"/>
        <v>0</v>
      </c>
      <c r="N6" s="59">
        <f t="shared" si="2"/>
        <v>393410</v>
      </c>
      <c r="O6" s="28"/>
    </row>
    <row r="7" spans="1:15" s="3" customFormat="1">
      <c r="A7" s="16">
        <v>5</v>
      </c>
      <c r="B7" s="64">
        <v>43129</v>
      </c>
      <c r="C7" s="65"/>
      <c r="D7" s="66" t="s">
        <v>1019</v>
      </c>
      <c r="E7" s="67" t="s">
        <v>1020</v>
      </c>
      <c r="F7" s="71" t="s">
        <v>1021</v>
      </c>
      <c r="G7" s="69">
        <v>1709</v>
      </c>
      <c r="H7" s="34">
        <v>265880</v>
      </c>
      <c r="I7" s="35"/>
      <c r="J7" s="24">
        <f>H7/1.05</f>
        <v>253219.0476190476</v>
      </c>
      <c r="K7" s="25">
        <f t="shared" si="0"/>
        <v>253219.0476190476</v>
      </c>
      <c r="L7" s="26"/>
      <c r="M7" s="24">
        <f t="shared" si="1"/>
        <v>0</v>
      </c>
      <c r="N7" s="59">
        <f t="shared" si="2"/>
        <v>253219.0476190476</v>
      </c>
      <c r="O7" s="28"/>
    </row>
    <row r="8" spans="1:15" s="3" customFormat="1">
      <c r="A8" s="16">
        <v>6</v>
      </c>
      <c r="B8" s="64">
        <v>43090</v>
      </c>
      <c r="C8" s="65"/>
      <c r="D8" s="66" t="s">
        <v>1019</v>
      </c>
      <c r="E8" s="67" t="s">
        <v>30</v>
      </c>
      <c r="F8" s="71" t="s">
        <v>32</v>
      </c>
      <c r="G8" s="69">
        <v>1703</v>
      </c>
      <c r="H8" s="34">
        <v>238280</v>
      </c>
      <c r="I8" s="35">
        <v>226933</v>
      </c>
      <c r="J8" s="24"/>
      <c r="K8" s="25">
        <f t="shared" si="0"/>
        <v>226933</v>
      </c>
      <c r="L8" s="26"/>
      <c r="M8" s="24">
        <f t="shared" si="1"/>
        <v>0</v>
      </c>
      <c r="N8" s="59">
        <f t="shared" si="2"/>
        <v>226933</v>
      </c>
      <c r="O8" s="28"/>
    </row>
    <row r="9" spans="1:15" s="3" customFormat="1">
      <c r="A9" s="16">
        <v>7</v>
      </c>
      <c r="B9" s="77">
        <v>43108</v>
      </c>
      <c r="C9" s="65"/>
      <c r="D9" s="66" t="s">
        <v>1022</v>
      </c>
      <c r="E9" s="67" t="s">
        <v>1023</v>
      </c>
      <c r="F9" s="68" t="s">
        <v>1024</v>
      </c>
      <c r="G9" s="69">
        <v>1709</v>
      </c>
      <c r="H9" s="34">
        <v>1314680</v>
      </c>
      <c r="I9" s="35"/>
      <c r="J9" s="35">
        <f>H9/1.05</f>
        <v>1252076.1904761905</v>
      </c>
      <c r="K9" s="25">
        <f t="shared" si="0"/>
        <v>1252076.1904761905</v>
      </c>
      <c r="L9" s="36"/>
      <c r="M9" s="24">
        <f t="shared" si="1"/>
        <v>0</v>
      </c>
      <c r="N9" s="59">
        <f t="shared" si="2"/>
        <v>1252076.1904761905</v>
      </c>
      <c r="O9" s="28"/>
    </row>
    <row r="10" spans="1:15" s="3" customFormat="1">
      <c r="A10" s="16">
        <v>8</v>
      </c>
      <c r="B10" s="64">
        <v>43061</v>
      </c>
      <c r="C10" s="65"/>
      <c r="D10" s="66" t="s">
        <v>1025</v>
      </c>
      <c r="E10" s="67" t="s">
        <v>48</v>
      </c>
      <c r="F10" s="68" t="s">
        <v>49</v>
      </c>
      <c r="G10" s="69">
        <v>1704</v>
      </c>
      <c r="H10" s="34">
        <f>9900+754400</f>
        <v>764300</v>
      </c>
      <c r="I10" s="35">
        <v>727905</v>
      </c>
      <c r="J10" s="35"/>
      <c r="K10" s="25">
        <f t="shared" si="0"/>
        <v>727905</v>
      </c>
      <c r="L10" s="36"/>
      <c r="M10" s="24">
        <f t="shared" si="1"/>
        <v>0</v>
      </c>
      <c r="N10" s="59">
        <f t="shared" si="2"/>
        <v>727905</v>
      </c>
      <c r="O10" s="28"/>
    </row>
    <row r="11" spans="1:15" s="3" customFormat="1">
      <c r="A11" s="16">
        <v>9</v>
      </c>
      <c r="B11" s="70">
        <v>43061</v>
      </c>
      <c r="C11" s="65"/>
      <c r="D11" s="66" t="s">
        <v>1025</v>
      </c>
      <c r="E11" s="67" t="s">
        <v>48</v>
      </c>
      <c r="F11" s="68" t="s">
        <v>50</v>
      </c>
      <c r="G11" s="69">
        <v>1704</v>
      </c>
      <c r="H11" s="34">
        <v>754400</v>
      </c>
      <c r="I11" s="35">
        <v>718476</v>
      </c>
      <c r="J11" s="35"/>
      <c r="K11" s="25">
        <f t="shared" si="0"/>
        <v>718476</v>
      </c>
      <c r="L11" s="36"/>
      <c r="M11" s="24">
        <f t="shared" si="1"/>
        <v>0</v>
      </c>
      <c r="N11" s="59">
        <f t="shared" si="2"/>
        <v>718476</v>
      </c>
      <c r="O11" s="28"/>
    </row>
    <row r="12" spans="1:15" s="3" customFormat="1">
      <c r="A12" s="16">
        <v>10</v>
      </c>
      <c r="B12" s="64">
        <v>43061</v>
      </c>
      <c r="C12" s="65"/>
      <c r="D12" s="66" t="s">
        <v>1025</v>
      </c>
      <c r="E12" s="67" t="s">
        <v>48</v>
      </c>
      <c r="F12" s="71" t="s">
        <v>51</v>
      </c>
      <c r="G12" s="69">
        <v>1704</v>
      </c>
      <c r="H12" s="34">
        <v>754400</v>
      </c>
      <c r="I12" s="35">
        <v>718476</v>
      </c>
      <c r="J12" s="35"/>
      <c r="K12" s="25">
        <f t="shared" si="0"/>
        <v>718476</v>
      </c>
      <c r="L12" s="36"/>
      <c r="M12" s="24">
        <f t="shared" si="1"/>
        <v>0</v>
      </c>
      <c r="N12" s="59">
        <f t="shared" si="2"/>
        <v>718476</v>
      </c>
      <c r="O12" s="28"/>
    </row>
    <row r="13" spans="1:15" s="3" customFormat="1">
      <c r="A13" s="16">
        <v>11</v>
      </c>
      <c r="B13" s="64">
        <v>43061</v>
      </c>
      <c r="C13" s="65"/>
      <c r="D13" s="66" t="s">
        <v>1025</v>
      </c>
      <c r="E13" s="67" t="s">
        <v>48</v>
      </c>
      <c r="F13" s="71" t="s">
        <v>52</v>
      </c>
      <c r="G13" s="69">
        <v>1704</v>
      </c>
      <c r="H13" s="34">
        <v>754400</v>
      </c>
      <c r="I13" s="35">
        <v>718476</v>
      </c>
      <c r="J13" s="35"/>
      <c r="K13" s="75">
        <f t="shared" si="0"/>
        <v>718476</v>
      </c>
      <c r="L13" s="36"/>
      <c r="M13" s="24">
        <f t="shared" si="1"/>
        <v>0</v>
      </c>
      <c r="N13" s="59">
        <f t="shared" si="2"/>
        <v>718476</v>
      </c>
      <c r="O13" s="28"/>
    </row>
    <row r="14" spans="1:15" s="3" customFormat="1">
      <c r="A14" s="16">
        <v>12</v>
      </c>
      <c r="B14" s="64">
        <v>43061</v>
      </c>
      <c r="C14" s="65"/>
      <c r="D14" s="66" t="s">
        <v>1025</v>
      </c>
      <c r="E14" s="67" t="s">
        <v>48</v>
      </c>
      <c r="F14" s="72" t="s">
        <v>53</v>
      </c>
      <c r="G14" s="69">
        <v>1704</v>
      </c>
      <c r="H14" s="34">
        <v>754400</v>
      </c>
      <c r="I14" s="35">
        <v>718476</v>
      </c>
      <c r="J14" s="35"/>
      <c r="K14" s="75">
        <f t="shared" si="0"/>
        <v>718476</v>
      </c>
      <c r="L14" s="36"/>
      <c r="M14" s="24">
        <f t="shared" si="1"/>
        <v>0</v>
      </c>
      <c r="N14" s="59">
        <f t="shared" si="2"/>
        <v>718476</v>
      </c>
      <c r="O14" s="28"/>
    </row>
    <row r="15" spans="1:15" s="3" customFormat="1">
      <c r="A15" s="16">
        <v>13</v>
      </c>
      <c r="B15" s="29">
        <v>43061</v>
      </c>
      <c r="C15" s="65"/>
      <c r="D15" s="66" t="s">
        <v>1025</v>
      </c>
      <c r="E15" s="67" t="s">
        <v>54</v>
      </c>
      <c r="F15" s="32" t="s">
        <v>55</v>
      </c>
      <c r="G15" s="22">
        <v>1703</v>
      </c>
      <c r="H15" s="23">
        <v>579600</v>
      </c>
      <c r="I15" s="35">
        <v>552000</v>
      </c>
      <c r="J15" s="35"/>
      <c r="K15" s="25">
        <f t="shared" si="0"/>
        <v>552000</v>
      </c>
      <c r="L15" s="26"/>
      <c r="M15" s="24">
        <f t="shared" si="1"/>
        <v>0</v>
      </c>
      <c r="N15" s="59">
        <f t="shared" si="2"/>
        <v>552000</v>
      </c>
      <c r="O15" s="28"/>
    </row>
    <row r="16" spans="1:15" s="3" customFormat="1">
      <c r="A16" s="16">
        <v>14</v>
      </c>
      <c r="B16" s="29">
        <v>43108</v>
      </c>
      <c r="C16" s="65"/>
      <c r="D16" s="66" t="s">
        <v>1025</v>
      </c>
      <c r="E16" s="67" t="s">
        <v>1026</v>
      </c>
      <c r="F16" s="32" t="s">
        <v>1027</v>
      </c>
      <c r="G16" s="33">
        <v>1701</v>
      </c>
      <c r="H16" s="34">
        <f>54000+671600</f>
        <v>725600</v>
      </c>
      <c r="I16" s="35"/>
      <c r="J16" s="35">
        <f>H16/1.05</f>
        <v>691047.61904761905</v>
      </c>
      <c r="K16" s="25">
        <f t="shared" si="0"/>
        <v>691047.61904761905</v>
      </c>
      <c r="L16" s="36"/>
      <c r="M16" s="24">
        <f t="shared" si="1"/>
        <v>0</v>
      </c>
      <c r="N16" s="59">
        <f t="shared" si="2"/>
        <v>691047.61904761905</v>
      </c>
      <c r="O16" s="28"/>
    </row>
    <row r="17" spans="1:15" s="3" customFormat="1">
      <c r="A17" s="16">
        <v>15</v>
      </c>
      <c r="B17" s="29">
        <v>42993</v>
      </c>
      <c r="C17" s="65"/>
      <c r="D17" s="66" t="s">
        <v>1025</v>
      </c>
      <c r="E17" s="67" t="s">
        <v>57</v>
      </c>
      <c r="F17" s="32" t="s">
        <v>58</v>
      </c>
      <c r="G17" s="33">
        <v>1705</v>
      </c>
      <c r="H17" s="34">
        <v>955880</v>
      </c>
      <c r="I17" s="35">
        <v>910362</v>
      </c>
      <c r="J17" s="35"/>
      <c r="K17" s="25">
        <f t="shared" si="0"/>
        <v>910362</v>
      </c>
      <c r="L17" s="36"/>
      <c r="M17" s="24">
        <f t="shared" si="1"/>
        <v>0</v>
      </c>
      <c r="N17" s="59">
        <f t="shared" si="2"/>
        <v>910362</v>
      </c>
      <c r="O17" s="28"/>
    </row>
    <row r="18" spans="1:15" s="3" customFormat="1">
      <c r="A18" s="16">
        <v>16</v>
      </c>
      <c r="B18" s="29">
        <v>43084</v>
      </c>
      <c r="C18" s="65"/>
      <c r="D18" s="66" t="s">
        <v>1025</v>
      </c>
      <c r="E18" s="67" t="s">
        <v>57</v>
      </c>
      <c r="F18" s="32" t="s">
        <v>60</v>
      </c>
      <c r="G18" s="33">
        <v>1706</v>
      </c>
      <c r="H18" s="34">
        <v>955880</v>
      </c>
      <c r="I18" s="35">
        <v>910362</v>
      </c>
      <c r="J18" s="35"/>
      <c r="K18" s="25">
        <f t="shared" si="0"/>
        <v>910362</v>
      </c>
      <c r="L18" s="36"/>
      <c r="M18" s="24">
        <f t="shared" si="1"/>
        <v>0</v>
      </c>
      <c r="N18" s="59">
        <f t="shared" si="2"/>
        <v>910362</v>
      </c>
      <c r="O18" s="28"/>
    </row>
    <row r="19" spans="1:15" s="3" customFormat="1">
      <c r="A19" s="16">
        <v>17</v>
      </c>
      <c r="B19" s="29">
        <v>43083</v>
      </c>
      <c r="C19" s="65"/>
      <c r="D19" s="66" t="s">
        <v>1025</v>
      </c>
      <c r="E19" s="67" t="s">
        <v>61</v>
      </c>
      <c r="F19" s="37" t="s">
        <v>62</v>
      </c>
      <c r="G19" s="33">
        <v>1705</v>
      </c>
      <c r="H19" s="34">
        <v>791200</v>
      </c>
      <c r="I19" s="35">
        <v>753524</v>
      </c>
      <c r="J19" s="35"/>
      <c r="K19" s="25">
        <f t="shared" si="0"/>
        <v>753524</v>
      </c>
      <c r="L19" s="36"/>
      <c r="M19" s="24">
        <f t="shared" si="1"/>
        <v>0</v>
      </c>
      <c r="N19" s="59">
        <f t="shared" si="2"/>
        <v>753524</v>
      </c>
      <c r="O19" s="28"/>
    </row>
    <row r="20" spans="1:15" s="3" customFormat="1">
      <c r="A20" s="16">
        <v>18</v>
      </c>
      <c r="B20" s="29">
        <v>43003</v>
      </c>
      <c r="C20" s="65"/>
      <c r="D20" s="66" t="s">
        <v>1025</v>
      </c>
      <c r="E20" s="67" t="s">
        <v>63</v>
      </c>
      <c r="F20" s="30" t="s">
        <v>65</v>
      </c>
      <c r="G20" s="79">
        <v>1706</v>
      </c>
      <c r="H20" s="34">
        <v>974280</v>
      </c>
      <c r="I20" s="75">
        <v>927886</v>
      </c>
      <c r="J20" s="35"/>
      <c r="K20" s="25">
        <f t="shared" si="0"/>
        <v>927886</v>
      </c>
      <c r="L20" s="36"/>
      <c r="M20" s="24">
        <f t="shared" si="1"/>
        <v>0</v>
      </c>
      <c r="N20" s="59">
        <f t="shared" si="2"/>
        <v>927886</v>
      </c>
      <c r="O20" s="28"/>
    </row>
    <row r="21" spans="1:15" s="3" customFormat="1">
      <c r="A21" s="16">
        <v>19</v>
      </c>
      <c r="B21" s="29">
        <v>43084</v>
      </c>
      <c r="C21" s="65"/>
      <c r="D21" s="66" t="s">
        <v>1025</v>
      </c>
      <c r="E21" s="67" t="s">
        <v>63</v>
      </c>
      <c r="F21" s="30" t="s">
        <v>66</v>
      </c>
      <c r="G21" s="79">
        <v>1706</v>
      </c>
      <c r="H21" s="34">
        <f>20700+974280</f>
        <v>994980</v>
      </c>
      <c r="I21" s="35">
        <v>947600</v>
      </c>
      <c r="J21" s="35"/>
      <c r="K21" s="25">
        <f t="shared" si="0"/>
        <v>947600</v>
      </c>
      <c r="L21" s="36"/>
      <c r="M21" s="24">
        <f t="shared" si="1"/>
        <v>0</v>
      </c>
      <c r="N21" s="59">
        <f t="shared" si="2"/>
        <v>947600</v>
      </c>
      <c r="O21" s="28"/>
    </row>
    <row r="22" spans="1:15" s="3" customFormat="1">
      <c r="A22" s="16">
        <v>20</v>
      </c>
      <c r="B22" s="29">
        <v>43084</v>
      </c>
      <c r="C22" s="65"/>
      <c r="D22" s="66" t="s">
        <v>1025</v>
      </c>
      <c r="E22" s="67" t="s">
        <v>63</v>
      </c>
      <c r="F22" s="21" t="s">
        <v>67</v>
      </c>
      <c r="G22" s="33">
        <v>1706</v>
      </c>
      <c r="H22" s="34">
        <f>20700+974280</f>
        <v>994980</v>
      </c>
      <c r="I22" s="35">
        <v>947600</v>
      </c>
      <c r="J22" s="35"/>
      <c r="K22" s="25">
        <f t="shared" si="0"/>
        <v>947600</v>
      </c>
      <c r="L22" s="36"/>
      <c r="M22" s="24">
        <f t="shared" si="1"/>
        <v>0</v>
      </c>
      <c r="N22" s="59">
        <f t="shared" si="2"/>
        <v>947600</v>
      </c>
      <c r="O22" s="28"/>
    </row>
    <row r="23" spans="1:15" s="3" customFormat="1">
      <c r="A23" s="16">
        <v>21</v>
      </c>
      <c r="B23" s="29">
        <v>42990</v>
      </c>
      <c r="C23" s="65"/>
      <c r="D23" s="66" t="s">
        <v>1025</v>
      </c>
      <c r="E23" s="67" t="s">
        <v>68</v>
      </c>
      <c r="F23" s="30" t="s">
        <v>69</v>
      </c>
      <c r="G23" s="79">
        <v>1701</v>
      </c>
      <c r="H23" s="34">
        <f>716680+72900</f>
        <v>789580</v>
      </c>
      <c r="I23" s="35">
        <v>751981</v>
      </c>
      <c r="J23" s="35"/>
      <c r="K23" s="25">
        <f t="shared" si="0"/>
        <v>751981</v>
      </c>
      <c r="L23" s="36"/>
      <c r="M23" s="24">
        <f t="shared" si="1"/>
        <v>0</v>
      </c>
      <c r="N23" s="59">
        <f t="shared" si="2"/>
        <v>751981</v>
      </c>
      <c r="O23" s="28"/>
    </row>
    <row r="24" spans="1:15" s="3" customFormat="1">
      <c r="A24" s="16">
        <v>22</v>
      </c>
      <c r="B24" s="29">
        <v>43007</v>
      </c>
      <c r="C24" s="65"/>
      <c r="D24" s="66" t="s">
        <v>1025</v>
      </c>
      <c r="E24" s="67" t="s">
        <v>70</v>
      </c>
      <c r="F24" s="37" t="s">
        <v>71</v>
      </c>
      <c r="G24" s="33">
        <v>1701</v>
      </c>
      <c r="H24" s="34">
        <f>16200+799480</f>
        <v>815680</v>
      </c>
      <c r="I24" s="35">
        <v>776838</v>
      </c>
      <c r="J24" s="35"/>
      <c r="K24" s="25">
        <f t="shared" si="0"/>
        <v>776838</v>
      </c>
      <c r="L24" s="36"/>
      <c r="M24" s="24">
        <f t="shared" si="1"/>
        <v>0</v>
      </c>
      <c r="N24" s="59">
        <f t="shared" si="2"/>
        <v>776838</v>
      </c>
      <c r="O24" s="28"/>
    </row>
    <row r="25" spans="1:15" s="3" customFormat="1">
      <c r="A25" s="16">
        <v>23</v>
      </c>
      <c r="B25" s="17">
        <v>42975</v>
      </c>
      <c r="C25" s="65"/>
      <c r="D25" s="66" t="s">
        <v>1025</v>
      </c>
      <c r="E25" s="67" t="s">
        <v>70</v>
      </c>
      <c r="F25" s="21" t="s">
        <v>72</v>
      </c>
      <c r="G25" s="33">
        <v>1702</v>
      </c>
      <c r="H25" s="34"/>
      <c r="I25" s="35">
        <v>761410</v>
      </c>
      <c r="J25" s="35"/>
      <c r="K25" s="25">
        <f t="shared" si="0"/>
        <v>761410</v>
      </c>
      <c r="L25" s="36"/>
      <c r="M25" s="24">
        <f t="shared" si="1"/>
        <v>0</v>
      </c>
      <c r="N25" s="59">
        <f t="shared" si="2"/>
        <v>761410</v>
      </c>
      <c r="O25" s="28"/>
    </row>
    <row r="26" spans="1:15" s="3" customFormat="1">
      <c r="A26" s="16">
        <v>24</v>
      </c>
      <c r="B26" s="29">
        <v>43083</v>
      </c>
      <c r="C26" s="65"/>
      <c r="D26" s="66" t="s">
        <v>1025</v>
      </c>
      <c r="E26" s="67" t="s">
        <v>70</v>
      </c>
      <c r="F26" s="32" t="s">
        <v>73</v>
      </c>
      <c r="G26" s="33">
        <v>1705</v>
      </c>
      <c r="H26" s="34">
        <f>16200+754400</f>
        <v>770600</v>
      </c>
      <c r="I26" s="35">
        <v>733905</v>
      </c>
      <c r="J26" s="35"/>
      <c r="K26" s="25">
        <f t="shared" si="0"/>
        <v>733905</v>
      </c>
      <c r="L26" s="36"/>
      <c r="M26" s="24">
        <f t="shared" si="1"/>
        <v>0</v>
      </c>
      <c r="N26" s="59">
        <f t="shared" si="2"/>
        <v>733905</v>
      </c>
      <c r="O26" s="28"/>
    </row>
    <row r="27" spans="1:15" s="3" customFormat="1">
      <c r="A27" s="16">
        <v>25</v>
      </c>
      <c r="B27" s="17">
        <v>42965</v>
      </c>
      <c r="C27" s="65"/>
      <c r="D27" s="66" t="s">
        <v>1025</v>
      </c>
      <c r="E27" s="67" t="s">
        <v>1028</v>
      </c>
      <c r="F27" s="21" t="s">
        <v>76</v>
      </c>
      <c r="G27" s="33">
        <v>1703</v>
      </c>
      <c r="H27" s="34"/>
      <c r="I27" s="35">
        <v>761410</v>
      </c>
      <c r="J27" s="35"/>
      <c r="K27" s="25">
        <f t="shared" si="0"/>
        <v>761410</v>
      </c>
      <c r="L27" s="36"/>
      <c r="M27" s="24">
        <f t="shared" si="1"/>
        <v>0</v>
      </c>
      <c r="N27" s="59">
        <f t="shared" si="2"/>
        <v>761410</v>
      </c>
      <c r="O27" s="28"/>
    </row>
    <row r="28" spans="1:15" s="3" customFormat="1">
      <c r="A28" s="16">
        <v>26</v>
      </c>
      <c r="B28" s="78">
        <v>43031</v>
      </c>
      <c r="C28" s="65"/>
      <c r="D28" s="66" t="s">
        <v>1025</v>
      </c>
      <c r="E28" s="67" t="s">
        <v>77</v>
      </c>
      <c r="F28" s="21" t="s">
        <v>78</v>
      </c>
      <c r="G28" s="33">
        <v>1703</v>
      </c>
      <c r="H28" s="34">
        <v>754400</v>
      </c>
      <c r="I28" s="35">
        <v>718476</v>
      </c>
      <c r="J28" s="35"/>
      <c r="K28" s="25">
        <f t="shared" si="0"/>
        <v>718476</v>
      </c>
      <c r="L28" s="36"/>
      <c r="M28" s="24">
        <f t="shared" si="1"/>
        <v>0</v>
      </c>
      <c r="N28" s="59">
        <f t="shared" si="2"/>
        <v>718476</v>
      </c>
      <c r="O28" s="28"/>
    </row>
    <row r="29" spans="1:15" s="3" customFormat="1">
      <c r="A29" s="16">
        <v>27</v>
      </c>
      <c r="B29" s="29">
        <v>43129</v>
      </c>
      <c r="C29" s="65"/>
      <c r="D29" s="66" t="s">
        <v>1025</v>
      </c>
      <c r="E29" s="67" t="s">
        <v>77</v>
      </c>
      <c r="F29" s="32" t="s">
        <v>1029</v>
      </c>
      <c r="G29" s="33">
        <v>1704</v>
      </c>
      <c r="H29" s="34">
        <v>754400</v>
      </c>
      <c r="I29" s="35"/>
      <c r="J29" s="35">
        <v>718477</v>
      </c>
      <c r="K29" s="25">
        <f t="shared" si="0"/>
        <v>718477</v>
      </c>
      <c r="L29" s="36"/>
      <c r="M29" s="24">
        <f t="shared" si="1"/>
        <v>0</v>
      </c>
      <c r="N29" s="59">
        <f t="shared" si="2"/>
        <v>718477</v>
      </c>
      <c r="O29" s="28"/>
    </row>
    <row r="30" spans="1:15" s="3" customFormat="1">
      <c r="A30" s="16">
        <v>28</v>
      </c>
      <c r="B30" s="29">
        <v>43084</v>
      </c>
      <c r="C30" s="65"/>
      <c r="D30" s="66" t="s">
        <v>1025</v>
      </c>
      <c r="E30" s="67" t="s">
        <v>79</v>
      </c>
      <c r="F30" s="32" t="s">
        <v>80</v>
      </c>
      <c r="G30" s="33">
        <v>1703</v>
      </c>
      <c r="H30" s="34">
        <v>569480</v>
      </c>
      <c r="I30" s="35">
        <v>542362</v>
      </c>
      <c r="J30" s="35"/>
      <c r="K30" s="25">
        <f t="shared" si="0"/>
        <v>542362</v>
      </c>
      <c r="L30" s="36"/>
      <c r="M30" s="24">
        <f t="shared" si="1"/>
        <v>0</v>
      </c>
      <c r="N30" s="59">
        <f t="shared" si="2"/>
        <v>542362</v>
      </c>
      <c r="O30" s="28"/>
    </row>
    <row r="31" spans="1:15" s="3" customFormat="1">
      <c r="A31" s="16">
        <v>29</v>
      </c>
      <c r="B31" s="78">
        <v>43084</v>
      </c>
      <c r="C31" s="18"/>
      <c r="D31" s="19" t="s">
        <v>1025</v>
      </c>
      <c r="E31" s="20" t="s">
        <v>79</v>
      </c>
      <c r="F31" s="21" t="s">
        <v>81</v>
      </c>
      <c r="G31" s="22">
        <v>1703</v>
      </c>
      <c r="H31" s="23">
        <v>569480</v>
      </c>
      <c r="I31" s="24">
        <v>542362</v>
      </c>
      <c r="J31" s="35"/>
      <c r="K31" s="25">
        <f t="shared" si="0"/>
        <v>542362</v>
      </c>
      <c r="L31" s="26"/>
      <c r="M31" s="24">
        <f t="shared" si="1"/>
        <v>0</v>
      </c>
      <c r="N31" s="59">
        <f t="shared" si="2"/>
        <v>542362</v>
      </c>
      <c r="O31" s="28"/>
    </row>
    <row r="32" spans="1:15" s="3" customFormat="1">
      <c r="A32" s="16">
        <v>30</v>
      </c>
      <c r="B32" s="29">
        <v>43084</v>
      </c>
      <c r="C32" s="18"/>
      <c r="D32" s="19" t="s">
        <v>1025</v>
      </c>
      <c r="E32" s="20" t="s">
        <v>79</v>
      </c>
      <c r="F32" s="30" t="s">
        <v>82</v>
      </c>
      <c r="G32" s="31">
        <v>1704</v>
      </c>
      <c r="H32" s="23">
        <v>569480</v>
      </c>
      <c r="I32" s="25">
        <v>542362</v>
      </c>
      <c r="J32" s="35"/>
      <c r="K32" s="25">
        <f t="shared" si="0"/>
        <v>542362</v>
      </c>
      <c r="L32" s="26"/>
      <c r="M32" s="24">
        <f t="shared" si="1"/>
        <v>0</v>
      </c>
      <c r="N32" s="59">
        <f t="shared" si="2"/>
        <v>542362</v>
      </c>
      <c r="O32" s="28"/>
    </row>
    <row r="33" spans="1:15" s="3" customFormat="1">
      <c r="A33" s="16">
        <v>31</v>
      </c>
      <c r="B33" s="29">
        <v>43083</v>
      </c>
      <c r="C33" s="18"/>
      <c r="D33" s="19" t="s">
        <v>1025</v>
      </c>
      <c r="E33" s="20" t="s">
        <v>79</v>
      </c>
      <c r="F33" s="32" t="s">
        <v>83</v>
      </c>
      <c r="G33" s="22">
        <v>1704</v>
      </c>
      <c r="H33" s="23">
        <v>569480</v>
      </c>
      <c r="I33" s="35">
        <v>542362</v>
      </c>
      <c r="J33" s="35"/>
      <c r="K33" s="25">
        <f t="shared" si="0"/>
        <v>542362</v>
      </c>
      <c r="L33" s="26"/>
      <c r="M33" s="24">
        <f t="shared" si="1"/>
        <v>0</v>
      </c>
      <c r="N33" s="59">
        <f t="shared" si="2"/>
        <v>542362</v>
      </c>
      <c r="O33" s="28"/>
    </row>
    <row r="34" spans="1:15" s="3" customFormat="1">
      <c r="A34" s="16">
        <v>32</v>
      </c>
      <c r="B34" s="29">
        <v>43115</v>
      </c>
      <c r="C34" s="18"/>
      <c r="D34" s="19" t="s">
        <v>1025</v>
      </c>
      <c r="E34" s="20" t="s">
        <v>79</v>
      </c>
      <c r="F34" s="32" t="s">
        <v>1030</v>
      </c>
      <c r="G34" s="22">
        <v>1706</v>
      </c>
      <c r="H34" s="23">
        <f>14400+569480</f>
        <v>583880</v>
      </c>
      <c r="I34" s="35"/>
      <c r="J34" s="35">
        <v>556077</v>
      </c>
      <c r="K34" s="25">
        <f t="shared" si="0"/>
        <v>556077</v>
      </c>
      <c r="L34" s="26"/>
      <c r="M34" s="24">
        <f t="shared" si="1"/>
        <v>0</v>
      </c>
      <c r="N34" s="59">
        <f t="shared" si="2"/>
        <v>556077</v>
      </c>
      <c r="O34" s="28"/>
    </row>
    <row r="35" spans="1:15" s="3" customFormat="1">
      <c r="A35" s="16">
        <v>33</v>
      </c>
      <c r="B35" s="29">
        <v>43122</v>
      </c>
      <c r="C35" s="18"/>
      <c r="D35" s="19" t="s">
        <v>1025</v>
      </c>
      <c r="E35" s="20" t="s">
        <v>79</v>
      </c>
      <c r="F35" s="32" t="s">
        <v>1031</v>
      </c>
      <c r="G35" s="22">
        <v>1706</v>
      </c>
      <c r="H35" s="23">
        <f>14400+569480</f>
        <v>583880</v>
      </c>
      <c r="I35" s="35"/>
      <c r="J35" s="35">
        <v>556077</v>
      </c>
      <c r="K35" s="25">
        <f t="shared" ref="K35:K66" si="3">I35+J35</f>
        <v>556077</v>
      </c>
      <c r="L35" s="26"/>
      <c r="M35" s="24">
        <f t="shared" si="1"/>
        <v>0</v>
      </c>
      <c r="N35" s="59">
        <f t="shared" si="2"/>
        <v>556077</v>
      </c>
      <c r="O35" s="28"/>
    </row>
    <row r="36" spans="1:15" s="3" customFormat="1">
      <c r="A36" s="16">
        <v>34</v>
      </c>
      <c r="B36" s="77">
        <v>43122</v>
      </c>
      <c r="C36" s="65"/>
      <c r="D36" s="19" t="s">
        <v>1025</v>
      </c>
      <c r="E36" s="67" t="s">
        <v>79</v>
      </c>
      <c r="F36" s="68" t="s">
        <v>1032</v>
      </c>
      <c r="G36" s="69">
        <v>1706</v>
      </c>
      <c r="H36" s="34">
        <f>14400+569480</f>
        <v>583880</v>
      </c>
      <c r="I36" s="35"/>
      <c r="J36" s="35">
        <v>556077</v>
      </c>
      <c r="K36" s="25">
        <f t="shared" si="3"/>
        <v>556077</v>
      </c>
      <c r="L36" s="36"/>
      <c r="M36" s="24">
        <f t="shared" si="1"/>
        <v>0</v>
      </c>
      <c r="N36" s="59">
        <f t="shared" si="2"/>
        <v>556077</v>
      </c>
      <c r="O36" s="28"/>
    </row>
    <row r="37" spans="1:15" s="3" customFormat="1">
      <c r="A37" s="16">
        <v>35</v>
      </c>
      <c r="B37" s="64">
        <v>43088</v>
      </c>
      <c r="C37" s="65"/>
      <c r="D37" s="19" t="s">
        <v>1025</v>
      </c>
      <c r="E37" s="67" t="s">
        <v>84</v>
      </c>
      <c r="F37" s="71" t="s">
        <v>85</v>
      </c>
      <c r="G37" s="69">
        <v>1703</v>
      </c>
      <c r="H37" s="34">
        <v>690000</v>
      </c>
      <c r="I37" s="35">
        <v>657143</v>
      </c>
      <c r="J37" s="35"/>
      <c r="K37" s="25">
        <f t="shared" si="3"/>
        <v>657143</v>
      </c>
      <c r="L37" s="36"/>
      <c r="M37" s="24">
        <f t="shared" si="1"/>
        <v>0</v>
      </c>
      <c r="N37" s="59">
        <f t="shared" si="2"/>
        <v>657143</v>
      </c>
      <c r="O37" s="28"/>
    </row>
    <row r="38" spans="1:15" s="3" customFormat="1">
      <c r="A38" s="16">
        <v>36</v>
      </c>
      <c r="B38" s="77">
        <v>42970</v>
      </c>
      <c r="C38" s="65"/>
      <c r="D38" s="19" t="s">
        <v>1025</v>
      </c>
      <c r="E38" s="67" t="s">
        <v>1033</v>
      </c>
      <c r="F38" s="68" t="s">
        <v>87</v>
      </c>
      <c r="G38" s="69">
        <v>1703</v>
      </c>
      <c r="H38" s="34"/>
      <c r="I38" s="35">
        <v>700076</v>
      </c>
      <c r="J38" s="35"/>
      <c r="K38" s="25">
        <f t="shared" si="3"/>
        <v>700076</v>
      </c>
      <c r="L38" s="36"/>
      <c r="M38" s="24">
        <f t="shared" si="1"/>
        <v>0</v>
      </c>
      <c r="N38" s="59">
        <f t="shared" si="2"/>
        <v>700076</v>
      </c>
      <c r="O38" s="28"/>
    </row>
    <row r="39" spans="1:15" s="3" customFormat="1">
      <c r="A39" s="76">
        <v>37</v>
      </c>
      <c r="B39" s="64">
        <v>43088</v>
      </c>
      <c r="C39" s="65"/>
      <c r="D39" s="19" t="s">
        <v>1025</v>
      </c>
      <c r="E39" s="67" t="s">
        <v>84</v>
      </c>
      <c r="F39" s="71" t="s">
        <v>88</v>
      </c>
      <c r="G39" s="69">
        <v>1704</v>
      </c>
      <c r="H39" s="34">
        <v>690000</v>
      </c>
      <c r="I39" s="35">
        <v>657143</v>
      </c>
      <c r="J39" s="35"/>
      <c r="K39" s="25">
        <f t="shared" si="3"/>
        <v>657143</v>
      </c>
      <c r="L39" s="36"/>
      <c r="M39" s="24">
        <f t="shared" si="1"/>
        <v>0</v>
      </c>
      <c r="N39" s="59">
        <f t="shared" si="2"/>
        <v>657143</v>
      </c>
      <c r="O39" s="28"/>
    </row>
    <row r="40" spans="1:15" s="3" customFormat="1">
      <c r="A40" s="76">
        <v>38</v>
      </c>
      <c r="B40" s="77">
        <v>43129</v>
      </c>
      <c r="C40" s="65"/>
      <c r="D40" s="19" t="s">
        <v>1025</v>
      </c>
      <c r="E40" s="67" t="s">
        <v>84</v>
      </c>
      <c r="F40" s="68" t="s">
        <v>1034</v>
      </c>
      <c r="G40" s="69">
        <v>1703</v>
      </c>
      <c r="H40" s="34">
        <v>690000</v>
      </c>
      <c r="I40" s="35"/>
      <c r="J40" s="35">
        <f>H40/1.05</f>
        <v>657142.85714285716</v>
      </c>
      <c r="K40" s="25">
        <f t="shared" si="3"/>
        <v>657142.85714285716</v>
      </c>
      <c r="L40" s="36"/>
      <c r="M40" s="24">
        <f t="shared" si="1"/>
        <v>0</v>
      </c>
      <c r="N40" s="59">
        <f t="shared" si="2"/>
        <v>657142.85714285716</v>
      </c>
      <c r="O40" s="28"/>
    </row>
    <row r="41" spans="1:15" s="3" customFormat="1">
      <c r="A41" s="76">
        <v>39</v>
      </c>
      <c r="B41" s="64">
        <v>43088</v>
      </c>
      <c r="C41" s="65"/>
      <c r="D41" s="19" t="s">
        <v>1025</v>
      </c>
      <c r="E41" s="67" t="s">
        <v>91</v>
      </c>
      <c r="F41" s="71" t="s">
        <v>92</v>
      </c>
      <c r="G41" s="69">
        <v>1703</v>
      </c>
      <c r="H41" s="34">
        <f>41400+653200</f>
        <v>694600</v>
      </c>
      <c r="I41" s="35">
        <v>661524</v>
      </c>
      <c r="J41" s="35"/>
      <c r="K41" s="25">
        <f t="shared" si="3"/>
        <v>661524</v>
      </c>
      <c r="L41" s="36"/>
      <c r="M41" s="24">
        <f t="shared" si="1"/>
        <v>0</v>
      </c>
      <c r="N41" s="59">
        <f t="shared" si="2"/>
        <v>661524</v>
      </c>
      <c r="O41" s="28"/>
    </row>
    <row r="42" spans="1:15" s="3" customFormat="1">
      <c r="A42" s="76">
        <v>40</v>
      </c>
      <c r="B42" s="64">
        <v>43088</v>
      </c>
      <c r="C42" s="65"/>
      <c r="D42" s="19" t="s">
        <v>1025</v>
      </c>
      <c r="E42" s="67" t="s">
        <v>91</v>
      </c>
      <c r="F42" s="71" t="s">
        <v>95</v>
      </c>
      <c r="G42" s="69">
        <v>1704</v>
      </c>
      <c r="H42" s="34">
        <f>41400+653200</f>
        <v>694600</v>
      </c>
      <c r="I42" s="35">
        <v>661524</v>
      </c>
      <c r="J42" s="35"/>
      <c r="K42" s="25">
        <f t="shared" si="3"/>
        <v>661524</v>
      </c>
      <c r="L42" s="36"/>
      <c r="M42" s="24">
        <f t="shared" si="1"/>
        <v>0</v>
      </c>
      <c r="N42" s="59">
        <f t="shared" si="2"/>
        <v>661524</v>
      </c>
      <c r="O42" s="28"/>
    </row>
    <row r="43" spans="1:15" s="3" customFormat="1">
      <c r="A43" s="76">
        <v>41</v>
      </c>
      <c r="B43" s="64">
        <v>43129</v>
      </c>
      <c r="C43" s="65"/>
      <c r="D43" s="66" t="s">
        <v>1025</v>
      </c>
      <c r="E43" s="67" t="s">
        <v>91</v>
      </c>
      <c r="F43" s="71" t="s">
        <v>1035</v>
      </c>
      <c r="G43" s="69">
        <v>1706</v>
      </c>
      <c r="H43" s="34">
        <v>653200</v>
      </c>
      <c r="I43" s="35"/>
      <c r="J43" s="35">
        <v>622096</v>
      </c>
      <c r="K43" s="25">
        <f t="shared" si="3"/>
        <v>622096</v>
      </c>
      <c r="L43" s="36"/>
      <c r="M43" s="24">
        <f t="shared" si="1"/>
        <v>0</v>
      </c>
      <c r="N43" s="59">
        <f t="shared" si="2"/>
        <v>622096</v>
      </c>
      <c r="O43" s="28"/>
    </row>
    <row r="44" spans="1:15" s="3" customFormat="1">
      <c r="A44" s="76">
        <v>42</v>
      </c>
      <c r="B44" s="64">
        <v>43115</v>
      </c>
      <c r="C44" s="65"/>
      <c r="D44" s="66" t="s">
        <v>1025</v>
      </c>
      <c r="E44" s="67" t="s">
        <v>1036</v>
      </c>
      <c r="F44" s="71" t="s">
        <v>1037</v>
      </c>
      <c r="G44" s="69">
        <v>1706</v>
      </c>
      <c r="H44" s="34">
        <v>753480</v>
      </c>
      <c r="I44" s="35"/>
      <c r="J44" s="35">
        <f>H44/1.05</f>
        <v>717600</v>
      </c>
      <c r="K44" s="25">
        <f t="shared" si="3"/>
        <v>717600</v>
      </c>
      <c r="L44" s="36"/>
      <c r="M44" s="24">
        <f t="shared" si="1"/>
        <v>0</v>
      </c>
      <c r="N44" s="59">
        <f t="shared" si="2"/>
        <v>717600</v>
      </c>
      <c r="O44" s="28"/>
    </row>
    <row r="45" spans="1:15" s="3" customFormat="1">
      <c r="A45" s="16">
        <v>43</v>
      </c>
      <c r="B45" s="64">
        <v>43108</v>
      </c>
      <c r="C45" s="65"/>
      <c r="D45" s="66" t="s">
        <v>1025</v>
      </c>
      <c r="E45" s="67" t="s">
        <v>1038</v>
      </c>
      <c r="F45" s="73" t="s">
        <v>1039</v>
      </c>
      <c r="G45" s="74">
        <v>1703</v>
      </c>
      <c r="H45" s="34">
        <v>653200</v>
      </c>
      <c r="I45" s="35"/>
      <c r="J45" s="35">
        <v>622096</v>
      </c>
      <c r="K45" s="25">
        <f t="shared" si="3"/>
        <v>622096</v>
      </c>
      <c r="L45" s="36"/>
      <c r="M45" s="24">
        <f t="shared" si="1"/>
        <v>0</v>
      </c>
      <c r="N45" s="59">
        <f t="shared" si="2"/>
        <v>622096</v>
      </c>
      <c r="O45" s="28"/>
    </row>
    <row r="46" spans="1:15" s="3" customFormat="1">
      <c r="A46" s="16">
        <v>44</v>
      </c>
      <c r="B46" s="64">
        <v>43108</v>
      </c>
      <c r="C46" s="65"/>
      <c r="D46" s="66" t="s">
        <v>1025</v>
      </c>
      <c r="E46" s="67" t="s">
        <v>1038</v>
      </c>
      <c r="F46" s="73" t="s">
        <v>1040</v>
      </c>
      <c r="G46" s="74">
        <v>1706</v>
      </c>
      <c r="H46" s="34">
        <v>653200</v>
      </c>
      <c r="I46" s="35"/>
      <c r="J46" s="35">
        <v>622096</v>
      </c>
      <c r="K46" s="25">
        <f t="shared" si="3"/>
        <v>622096</v>
      </c>
      <c r="L46" s="36"/>
      <c r="M46" s="24">
        <f t="shared" si="1"/>
        <v>0</v>
      </c>
      <c r="N46" s="59">
        <f t="shared" si="2"/>
        <v>622096</v>
      </c>
      <c r="O46" s="28"/>
    </row>
    <row r="47" spans="1:15" s="3" customFormat="1">
      <c r="A47" s="16">
        <v>45</v>
      </c>
      <c r="B47" s="64">
        <v>43108</v>
      </c>
      <c r="C47" s="65"/>
      <c r="D47" s="66" t="s">
        <v>1025</v>
      </c>
      <c r="E47" s="67" t="s">
        <v>1038</v>
      </c>
      <c r="F47" s="72" t="s">
        <v>1041</v>
      </c>
      <c r="G47" s="69">
        <v>1706</v>
      </c>
      <c r="H47" s="34">
        <v>653200</v>
      </c>
      <c r="I47" s="35"/>
      <c r="J47" s="35">
        <v>622096</v>
      </c>
      <c r="K47" s="25">
        <f t="shared" si="3"/>
        <v>622096</v>
      </c>
      <c r="L47" s="36"/>
      <c r="M47" s="24">
        <f t="shared" si="1"/>
        <v>0</v>
      </c>
      <c r="N47" s="59">
        <f t="shared" si="2"/>
        <v>622096</v>
      </c>
      <c r="O47" s="28"/>
    </row>
    <row r="48" spans="1:15" s="3" customFormat="1">
      <c r="A48" s="80">
        <v>1</v>
      </c>
      <c r="B48" s="17">
        <v>43091</v>
      </c>
      <c r="C48" s="18" t="s">
        <v>1042</v>
      </c>
      <c r="D48" s="19" t="s">
        <v>1043</v>
      </c>
      <c r="E48" s="20" t="s">
        <v>1044</v>
      </c>
      <c r="F48" s="21" t="s">
        <v>1045</v>
      </c>
      <c r="G48" s="22">
        <v>1706</v>
      </c>
      <c r="H48" s="23">
        <v>505080</v>
      </c>
      <c r="I48" s="24">
        <v>481029</v>
      </c>
      <c r="J48" s="24"/>
      <c r="K48" s="25">
        <f t="shared" si="3"/>
        <v>481029</v>
      </c>
      <c r="L48" s="26">
        <v>1</v>
      </c>
      <c r="M48" s="24">
        <f t="shared" si="1"/>
        <v>481029</v>
      </c>
      <c r="N48" s="27">
        <f t="shared" si="2"/>
        <v>0</v>
      </c>
      <c r="O48" s="28"/>
    </row>
    <row r="49" spans="1:15" s="3" customFormat="1">
      <c r="A49" s="80">
        <v>2</v>
      </c>
      <c r="B49" s="29">
        <v>43081</v>
      </c>
      <c r="C49" s="18"/>
      <c r="D49" s="19" t="s">
        <v>1015</v>
      </c>
      <c r="E49" s="20" t="s">
        <v>24</v>
      </c>
      <c r="F49" s="37" t="s">
        <v>1046</v>
      </c>
      <c r="G49" s="22">
        <v>1611</v>
      </c>
      <c r="H49" s="23">
        <f>9600+413080</f>
        <v>422680</v>
      </c>
      <c r="I49" s="24">
        <v>402552</v>
      </c>
      <c r="J49" s="24"/>
      <c r="K49" s="25">
        <f t="shared" si="3"/>
        <v>402552</v>
      </c>
      <c r="L49" s="26">
        <v>1</v>
      </c>
      <c r="M49" s="24">
        <f t="shared" si="1"/>
        <v>402552</v>
      </c>
      <c r="N49" s="27">
        <f t="shared" si="2"/>
        <v>0</v>
      </c>
      <c r="O49" s="28"/>
    </row>
    <row r="50" spans="1:15" s="3" customFormat="1">
      <c r="A50" s="80">
        <v>3</v>
      </c>
      <c r="B50" s="29">
        <v>43081</v>
      </c>
      <c r="C50" s="18"/>
      <c r="D50" s="19" t="s">
        <v>1015</v>
      </c>
      <c r="E50" s="20" t="s">
        <v>24</v>
      </c>
      <c r="F50" s="32" t="s">
        <v>28</v>
      </c>
      <c r="G50" s="33">
        <v>1611</v>
      </c>
      <c r="H50" s="34">
        <f>9600+413080</f>
        <v>422680</v>
      </c>
      <c r="I50" s="35">
        <v>402552</v>
      </c>
      <c r="J50" s="24"/>
      <c r="K50" s="25">
        <f t="shared" si="3"/>
        <v>402552</v>
      </c>
      <c r="L50" s="36">
        <v>1</v>
      </c>
      <c r="M50" s="24">
        <f t="shared" si="1"/>
        <v>402552</v>
      </c>
      <c r="N50" s="27">
        <f t="shared" si="2"/>
        <v>0</v>
      </c>
      <c r="O50" s="28"/>
    </row>
    <row r="51" spans="1:15" s="3" customFormat="1">
      <c r="A51" s="80">
        <v>4</v>
      </c>
      <c r="B51" s="29">
        <v>43090</v>
      </c>
      <c r="C51" s="18"/>
      <c r="D51" s="19" t="s">
        <v>1019</v>
      </c>
      <c r="E51" s="20" t="s">
        <v>30</v>
      </c>
      <c r="F51" s="32" t="s">
        <v>33</v>
      </c>
      <c r="G51" s="33">
        <v>1703</v>
      </c>
      <c r="H51" s="34">
        <v>238280</v>
      </c>
      <c r="I51" s="35">
        <v>226933</v>
      </c>
      <c r="J51" s="24"/>
      <c r="K51" s="25">
        <f t="shared" si="3"/>
        <v>226933</v>
      </c>
      <c r="L51" s="36">
        <v>1</v>
      </c>
      <c r="M51" s="24">
        <f t="shared" si="1"/>
        <v>226933</v>
      </c>
      <c r="N51" s="27">
        <f t="shared" si="2"/>
        <v>0</v>
      </c>
      <c r="O51" s="28"/>
    </row>
    <row r="52" spans="1:15" s="3" customFormat="1">
      <c r="A52" s="80">
        <v>5</v>
      </c>
      <c r="B52" s="17">
        <v>43089</v>
      </c>
      <c r="C52" s="18"/>
      <c r="D52" s="19" t="s">
        <v>1019</v>
      </c>
      <c r="E52" s="20" t="s">
        <v>30</v>
      </c>
      <c r="F52" s="32" t="s">
        <v>31</v>
      </c>
      <c r="G52" s="33">
        <v>1703</v>
      </c>
      <c r="H52" s="34">
        <v>238280</v>
      </c>
      <c r="I52" s="35">
        <v>226933</v>
      </c>
      <c r="J52" s="24"/>
      <c r="K52" s="25">
        <f t="shared" si="3"/>
        <v>226933</v>
      </c>
      <c r="L52" s="36">
        <v>1</v>
      </c>
      <c r="M52" s="24">
        <f t="shared" si="1"/>
        <v>226933</v>
      </c>
      <c r="N52" s="27">
        <f t="shared" si="2"/>
        <v>0</v>
      </c>
      <c r="O52" s="28"/>
    </row>
    <row r="53" spans="1:15" s="3" customFormat="1">
      <c r="A53" s="80">
        <v>6</v>
      </c>
      <c r="B53" s="29">
        <v>43089</v>
      </c>
      <c r="C53" s="18"/>
      <c r="D53" s="19" t="s">
        <v>1019</v>
      </c>
      <c r="E53" s="20" t="s">
        <v>30</v>
      </c>
      <c r="F53" s="32" t="s">
        <v>34</v>
      </c>
      <c r="G53" s="33">
        <v>1703</v>
      </c>
      <c r="H53" s="34">
        <v>238280</v>
      </c>
      <c r="I53" s="24">
        <v>226933</v>
      </c>
      <c r="J53" s="24"/>
      <c r="K53" s="25">
        <f t="shared" si="3"/>
        <v>226933</v>
      </c>
      <c r="L53" s="36">
        <v>1</v>
      </c>
      <c r="M53" s="24">
        <f t="shared" si="1"/>
        <v>226933</v>
      </c>
      <c r="N53" s="27">
        <f t="shared" si="2"/>
        <v>0</v>
      </c>
      <c r="O53" s="28"/>
    </row>
    <row r="54" spans="1:15" s="3" customFormat="1">
      <c r="A54" s="80">
        <v>7</v>
      </c>
      <c r="B54" s="29">
        <v>43090</v>
      </c>
      <c r="C54" s="18"/>
      <c r="D54" s="19" t="s">
        <v>1019</v>
      </c>
      <c r="E54" s="20" t="s">
        <v>30</v>
      </c>
      <c r="F54" s="32" t="s">
        <v>35</v>
      </c>
      <c r="G54" s="22">
        <v>1703</v>
      </c>
      <c r="H54" s="23">
        <v>238280</v>
      </c>
      <c r="I54" s="24">
        <v>226933</v>
      </c>
      <c r="J54" s="24"/>
      <c r="K54" s="25">
        <f t="shared" si="3"/>
        <v>226933</v>
      </c>
      <c r="L54" s="26">
        <v>1</v>
      </c>
      <c r="M54" s="24">
        <f t="shared" si="1"/>
        <v>226933</v>
      </c>
      <c r="N54" s="27">
        <f t="shared" si="2"/>
        <v>0</v>
      </c>
      <c r="O54" s="28"/>
    </row>
    <row r="55" spans="1:15" s="3" customFormat="1">
      <c r="A55" s="80">
        <v>8</v>
      </c>
      <c r="B55" s="64">
        <v>43090</v>
      </c>
      <c r="C55" s="65"/>
      <c r="D55" s="66" t="s">
        <v>1019</v>
      </c>
      <c r="E55" s="67" t="s">
        <v>30</v>
      </c>
      <c r="F55" s="68" t="s">
        <v>36</v>
      </c>
      <c r="G55" s="69">
        <v>1703</v>
      </c>
      <c r="H55" s="34">
        <v>238280</v>
      </c>
      <c r="I55" s="35">
        <v>226933</v>
      </c>
      <c r="J55" s="35"/>
      <c r="K55" s="75">
        <f t="shared" si="3"/>
        <v>226933</v>
      </c>
      <c r="L55" s="36">
        <v>1</v>
      </c>
      <c r="M55" s="35">
        <f t="shared" si="1"/>
        <v>226933</v>
      </c>
      <c r="N55" s="27">
        <f t="shared" si="2"/>
        <v>0</v>
      </c>
      <c r="O55" s="28"/>
    </row>
    <row r="56" spans="1:15" s="3" customFormat="1">
      <c r="A56" s="80">
        <v>9</v>
      </c>
      <c r="B56" s="29">
        <v>43090</v>
      </c>
      <c r="C56" s="18"/>
      <c r="D56" s="19" t="s">
        <v>1019</v>
      </c>
      <c r="E56" s="20" t="s">
        <v>30</v>
      </c>
      <c r="F56" s="32" t="s">
        <v>37</v>
      </c>
      <c r="G56" s="22">
        <v>1704</v>
      </c>
      <c r="H56" s="23">
        <v>238280</v>
      </c>
      <c r="I56" s="24">
        <v>226933</v>
      </c>
      <c r="J56" s="24"/>
      <c r="K56" s="25">
        <f t="shared" si="3"/>
        <v>226933</v>
      </c>
      <c r="L56" s="26">
        <v>1</v>
      </c>
      <c r="M56" s="24">
        <f t="shared" si="1"/>
        <v>226933</v>
      </c>
      <c r="N56" s="27">
        <f t="shared" si="2"/>
        <v>0</v>
      </c>
      <c r="O56" s="28"/>
    </row>
    <row r="57" spans="1:15" s="3" customFormat="1">
      <c r="A57" s="80">
        <v>10</v>
      </c>
      <c r="B57" s="29">
        <v>43090</v>
      </c>
      <c r="C57" s="18"/>
      <c r="D57" s="19" t="s">
        <v>1019</v>
      </c>
      <c r="E57" s="20" t="s">
        <v>30</v>
      </c>
      <c r="F57" s="37" t="s">
        <v>38</v>
      </c>
      <c r="G57" s="22">
        <v>1705</v>
      </c>
      <c r="H57" s="23">
        <v>238280</v>
      </c>
      <c r="I57" s="24">
        <v>226933</v>
      </c>
      <c r="J57" s="24"/>
      <c r="K57" s="25">
        <f t="shared" si="3"/>
        <v>226933</v>
      </c>
      <c r="L57" s="26">
        <v>1</v>
      </c>
      <c r="M57" s="24">
        <f t="shared" si="1"/>
        <v>226933</v>
      </c>
      <c r="N57" s="27">
        <f t="shared" si="2"/>
        <v>0</v>
      </c>
      <c r="O57" s="28"/>
    </row>
    <row r="58" spans="1:15" s="3" customFormat="1">
      <c r="A58" s="80">
        <v>11</v>
      </c>
      <c r="B58" s="17">
        <v>43095</v>
      </c>
      <c r="C58" s="18"/>
      <c r="D58" s="19" t="s">
        <v>1019</v>
      </c>
      <c r="E58" s="20" t="s">
        <v>30</v>
      </c>
      <c r="F58" s="21" t="s">
        <v>39</v>
      </c>
      <c r="G58" s="22">
        <v>1709</v>
      </c>
      <c r="H58" s="23">
        <v>238280</v>
      </c>
      <c r="I58" s="24">
        <v>226933</v>
      </c>
      <c r="J58" s="24"/>
      <c r="K58" s="25">
        <f t="shared" si="3"/>
        <v>226933</v>
      </c>
      <c r="L58" s="26">
        <v>1</v>
      </c>
      <c r="M58" s="24">
        <f t="shared" si="1"/>
        <v>226933</v>
      </c>
      <c r="N58" s="27">
        <f t="shared" si="2"/>
        <v>0</v>
      </c>
      <c r="O58" s="28"/>
    </row>
    <row r="59" spans="1:15" s="3" customFormat="1">
      <c r="A59" s="80">
        <v>12</v>
      </c>
      <c r="B59" s="17">
        <v>43095</v>
      </c>
      <c r="C59" s="18"/>
      <c r="D59" s="19" t="s">
        <v>1019</v>
      </c>
      <c r="E59" s="20" t="s">
        <v>30</v>
      </c>
      <c r="F59" s="21" t="s">
        <v>40</v>
      </c>
      <c r="G59" s="22">
        <v>1709</v>
      </c>
      <c r="H59" s="23">
        <v>238280</v>
      </c>
      <c r="I59" s="35">
        <v>226933</v>
      </c>
      <c r="J59" s="24"/>
      <c r="K59" s="25">
        <f t="shared" si="3"/>
        <v>226933</v>
      </c>
      <c r="L59" s="26">
        <v>1</v>
      </c>
      <c r="M59" s="24">
        <f t="shared" si="1"/>
        <v>226933</v>
      </c>
      <c r="N59" s="27">
        <f t="shared" si="2"/>
        <v>0</v>
      </c>
      <c r="O59" s="28"/>
    </row>
    <row r="60" spans="1:15" s="3" customFormat="1">
      <c r="A60" s="80">
        <v>13</v>
      </c>
      <c r="B60" s="77">
        <v>43095</v>
      </c>
      <c r="C60" s="65"/>
      <c r="D60" s="66" t="s">
        <v>1019</v>
      </c>
      <c r="E60" s="67" t="s">
        <v>30</v>
      </c>
      <c r="F60" s="61" t="s">
        <v>41</v>
      </c>
      <c r="G60" s="58">
        <v>1709</v>
      </c>
      <c r="H60" s="23">
        <v>238280</v>
      </c>
      <c r="I60" s="24">
        <v>226933</v>
      </c>
      <c r="J60" s="35"/>
      <c r="K60" s="25">
        <f t="shared" si="3"/>
        <v>226933</v>
      </c>
      <c r="L60" s="26">
        <v>1</v>
      </c>
      <c r="M60" s="24">
        <f t="shared" si="1"/>
        <v>226933</v>
      </c>
      <c r="N60" s="27">
        <f t="shared" si="2"/>
        <v>0</v>
      </c>
      <c r="O60" s="28"/>
    </row>
    <row r="61" spans="1:15" s="3" customFormat="1">
      <c r="A61" s="80">
        <v>14</v>
      </c>
      <c r="B61" s="17">
        <v>43095</v>
      </c>
      <c r="C61" s="18"/>
      <c r="D61" s="19" t="s">
        <v>1019</v>
      </c>
      <c r="E61" s="20" t="s">
        <v>30</v>
      </c>
      <c r="F61" s="21" t="s">
        <v>42</v>
      </c>
      <c r="G61" s="33">
        <v>1709</v>
      </c>
      <c r="H61" s="34">
        <v>238280</v>
      </c>
      <c r="I61" s="35">
        <v>226933</v>
      </c>
      <c r="J61" s="24"/>
      <c r="K61" s="25">
        <f t="shared" si="3"/>
        <v>226933</v>
      </c>
      <c r="L61" s="36">
        <v>1</v>
      </c>
      <c r="M61" s="24">
        <f t="shared" si="1"/>
        <v>226933</v>
      </c>
      <c r="N61" s="27">
        <f t="shared" si="2"/>
        <v>0</v>
      </c>
      <c r="O61" s="28"/>
    </row>
    <row r="62" spans="1:15" s="3" customFormat="1">
      <c r="A62" s="80">
        <v>15</v>
      </c>
      <c r="B62" s="60">
        <v>43095</v>
      </c>
      <c r="C62" s="18"/>
      <c r="D62" s="19" t="s">
        <v>1019</v>
      </c>
      <c r="E62" s="20" t="s">
        <v>30</v>
      </c>
      <c r="F62" s="61" t="s">
        <v>43</v>
      </c>
      <c r="G62" s="58">
        <v>1709</v>
      </c>
      <c r="H62" s="23">
        <v>238280</v>
      </c>
      <c r="I62" s="24">
        <v>226933</v>
      </c>
      <c r="J62" s="24"/>
      <c r="K62" s="25">
        <f t="shared" si="3"/>
        <v>226933</v>
      </c>
      <c r="L62" s="26">
        <v>1</v>
      </c>
      <c r="M62" s="24">
        <f t="shared" si="1"/>
        <v>226933</v>
      </c>
      <c r="N62" s="59">
        <f t="shared" si="2"/>
        <v>0</v>
      </c>
      <c r="O62" s="28"/>
    </row>
    <row r="63" spans="1:15" s="3" customFormat="1">
      <c r="A63" s="80">
        <v>16</v>
      </c>
      <c r="B63" s="56">
        <v>42931</v>
      </c>
      <c r="C63" s="18"/>
      <c r="D63" s="19" t="s">
        <v>1022</v>
      </c>
      <c r="E63" s="20" t="s">
        <v>1047</v>
      </c>
      <c r="F63" s="62" t="s">
        <v>1048</v>
      </c>
      <c r="G63" s="63">
        <v>1601</v>
      </c>
      <c r="H63" s="23"/>
      <c r="I63" s="24">
        <v>1269600</v>
      </c>
      <c r="J63" s="24"/>
      <c r="K63" s="25">
        <f t="shared" si="3"/>
        <v>1269600</v>
      </c>
      <c r="L63" s="26">
        <v>1</v>
      </c>
      <c r="M63" s="24">
        <f t="shared" si="1"/>
        <v>1269600</v>
      </c>
      <c r="N63" s="59">
        <f t="shared" si="2"/>
        <v>0</v>
      </c>
      <c r="O63" s="28"/>
    </row>
    <row r="64" spans="1:15" s="3" customFormat="1">
      <c r="A64" s="80">
        <v>17</v>
      </c>
      <c r="B64" s="56">
        <v>43061</v>
      </c>
      <c r="C64" s="18"/>
      <c r="D64" s="19" t="s">
        <v>1025</v>
      </c>
      <c r="E64" s="20" t="s">
        <v>54</v>
      </c>
      <c r="F64" s="82" t="s">
        <v>56</v>
      </c>
      <c r="G64" s="58">
        <v>1706</v>
      </c>
      <c r="H64" s="23">
        <f>579600+14400</f>
        <v>594000</v>
      </c>
      <c r="I64" s="24">
        <v>565714</v>
      </c>
      <c r="J64" s="24"/>
      <c r="K64" s="25">
        <f t="shared" si="3"/>
        <v>565714</v>
      </c>
      <c r="L64" s="26">
        <v>1</v>
      </c>
      <c r="M64" s="24">
        <f t="shared" si="1"/>
        <v>565714</v>
      </c>
      <c r="N64" s="59">
        <f t="shared" si="2"/>
        <v>0</v>
      </c>
      <c r="O64" s="28"/>
    </row>
    <row r="65" spans="1:15" s="3" customFormat="1">
      <c r="A65" s="80">
        <v>18</v>
      </c>
      <c r="B65" s="56">
        <v>43083</v>
      </c>
      <c r="C65" s="18"/>
      <c r="D65" s="19" t="s">
        <v>1025</v>
      </c>
      <c r="E65" s="20" t="s">
        <v>57</v>
      </c>
      <c r="F65" s="82" t="s">
        <v>59</v>
      </c>
      <c r="G65" s="58">
        <v>1706</v>
      </c>
      <c r="H65" s="23">
        <v>955880</v>
      </c>
      <c r="I65" s="24">
        <v>910362</v>
      </c>
      <c r="J65" s="24"/>
      <c r="K65" s="25">
        <f t="shared" si="3"/>
        <v>910362</v>
      </c>
      <c r="L65" s="26">
        <v>1</v>
      </c>
      <c r="M65" s="24">
        <f t="shared" si="1"/>
        <v>910362</v>
      </c>
      <c r="N65" s="59">
        <f t="shared" si="2"/>
        <v>0</v>
      </c>
      <c r="O65" s="28"/>
    </row>
    <row r="66" spans="1:15" s="3" customFormat="1">
      <c r="A66" s="80">
        <v>19</v>
      </c>
      <c r="B66" s="56">
        <v>42990</v>
      </c>
      <c r="C66" s="18"/>
      <c r="D66" s="19" t="s">
        <v>1025</v>
      </c>
      <c r="E66" s="20" t="s">
        <v>63</v>
      </c>
      <c r="F66" s="82" t="s">
        <v>64</v>
      </c>
      <c r="G66" s="58">
        <v>1704</v>
      </c>
      <c r="H66" s="23">
        <v>974280</v>
      </c>
      <c r="I66" s="24">
        <v>927886</v>
      </c>
      <c r="J66" s="24"/>
      <c r="K66" s="25">
        <f t="shared" si="3"/>
        <v>927886</v>
      </c>
      <c r="L66" s="26">
        <v>1</v>
      </c>
      <c r="M66" s="24">
        <f t="shared" si="1"/>
        <v>927886</v>
      </c>
      <c r="N66" s="59">
        <f t="shared" si="2"/>
        <v>0</v>
      </c>
      <c r="O66" s="28"/>
    </row>
    <row r="67" spans="1:15" s="3" customFormat="1">
      <c r="A67" s="80">
        <v>20</v>
      </c>
      <c r="B67" s="56">
        <v>43122</v>
      </c>
      <c r="C67" s="18"/>
      <c r="D67" s="19" t="s">
        <v>1025</v>
      </c>
      <c r="E67" s="20" t="s">
        <v>68</v>
      </c>
      <c r="F67" s="57" t="s">
        <v>1049</v>
      </c>
      <c r="G67" s="58">
        <v>1701</v>
      </c>
      <c r="H67" s="23">
        <f>67500+671600</f>
        <v>739100</v>
      </c>
      <c r="I67" s="24"/>
      <c r="J67" s="24">
        <f>H67/1.05</f>
        <v>703904.76190476189</v>
      </c>
      <c r="K67" s="25">
        <f t="shared" ref="K67:K74" si="4">I67+J67</f>
        <v>703904.76190476189</v>
      </c>
      <c r="L67" s="26">
        <v>1</v>
      </c>
      <c r="M67" s="24">
        <f t="shared" ref="M67:M74" si="5">K67*L67</f>
        <v>703904.76190476189</v>
      </c>
      <c r="N67" s="59">
        <f t="shared" ref="N67:N74" si="6">K67-M67</f>
        <v>0</v>
      </c>
      <c r="O67" s="28"/>
    </row>
    <row r="68" spans="1:15" s="3" customFormat="1">
      <c r="A68" s="80">
        <v>21</v>
      </c>
      <c r="B68" s="287">
        <v>42969</v>
      </c>
      <c r="C68" s="18"/>
      <c r="D68" s="19" t="s">
        <v>1025</v>
      </c>
      <c r="E68" s="20" t="s">
        <v>1028</v>
      </c>
      <c r="F68" s="61" t="s">
        <v>75</v>
      </c>
      <c r="G68" s="58">
        <v>1703</v>
      </c>
      <c r="H68" s="23"/>
      <c r="I68" s="24">
        <v>761410</v>
      </c>
      <c r="J68" s="24"/>
      <c r="K68" s="25">
        <f t="shared" si="4"/>
        <v>761410</v>
      </c>
      <c r="L68" s="26">
        <v>1</v>
      </c>
      <c r="M68" s="24">
        <f t="shared" si="5"/>
        <v>761410</v>
      </c>
      <c r="N68" s="59">
        <f t="shared" si="6"/>
        <v>0</v>
      </c>
      <c r="O68" s="28"/>
    </row>
    <row r="69" spans="1:15" s="3" customFormat="1">
      <c r="A69" s="80">
        <v>22</v>
      </c>
      <c r="B69" s="64">
        <v>43115</v>
      </c>
      <c r="C69" s="65"/>
      <c r="D69" s="66" t="s">
        <v>1025</v>
      </c>
      <c r="E69" s="67" t="s">
        <v>79</v>
      </c>
      <c r="F69" s="71" t="s">
        <v>1050</v>
      </c>
      <c r="G69" s="69">
        <v>1706</v>
      </c>
      <c r="H69" s="34">
        <f>14400+569480</f>
        <v>583880</v>
      </c>
      <c r="I69" s="35"/>
      <c r="J69" s="24">
        <v>556077</v>
      </c>
      <c r="K69" s="25">
        <f t="shared" si="4"/>
        <v>556077</v>
      </c>
      <c r="L69" s="26">
        <v>1</v>
      </c>
      <c r="M69" s="24">
        <f t="shared" si="5"/>
        <v>556077</v>
      </c>
      <c r="N69" s="59">
        <f t="shared" si="6"/>
        <v>0</v>
      </c>
      <c r="O69" s="28"/>
    </row>
    <row r="70" spans="1:15" s="3" customFormat="1">
      <c r="A70" s="80">
        <v>23</v>
      </c>
      <c r="B70" s="64">
        <v>43115</v>
      </c>
      <c r="C70" s="65"/>
      <c r="D70" s="66" t="s">
        <v>1025</v>
      </c>
      <c r="E70" s="67" t="s">
        <v>79</v>
      </c>
      <c r="F70" s="71" t="s">
        <v>1051</v>
      </c>
      <c r="G70" s="69">
        <v>1706</v>
      </c>
      <c r="H70" s="34">
        <f>14400+569480</f>
        <v>583880</v>
      </c>
      <c r="I70" s="35"/>
      <c r="J70" s="24">
        <v>556077</v>
      </c>
      <c r="K70" s="25">
        <f t="shared" si="4"/>
        <v>556077</v>
      </c>
      <c r="L70" s="26">
        <v>1</v>
      </c>
      <c r="M70" s="24">
        <f t="shared" si="5"/>
        <v>556077</v>
      </c>
      <c r="N70" s="59">
        <f t="shared" si="6"/>
        <v>0</v>
      </c>
      <c r="O70" s="28"/>
    </row>
    <row r="71" spans="1:15" s="3" customFormat="1">
      <c r="A71" s="80">
        <v>24</v>
      </c>
      <c r="B71" s="64">
        <v>42895</v>
      </c>
      <c r="C71" s="65"/>
      <c r="D71" s="66" t="s">
        <v>1025</v>
      </c>
      <c r="E71" s="67" t="s">
        <v>1052</v>
      </c>
      <c r="F71" s="73" t="s">
        <v>1053</v>
      </c>
      <c r="G71" s="74">
        <v>1702</v>
      </c>
      <c r="H71" s="34">
        <f>59400</f>
        <v>59400</v>
      </c>
      <c r="I71" s="75">
        <v>730362</v>
      </c>
      <c r="J71" s="25"/>
      <c r="K71" s="25">
        <f t="shared" si="4"/>
        <v>730362</v>
      </c>
      <c r="L71" s="26">
        <v>1</v>
      </c>
      <c r="M71" s="24">
        <f t="shared" si="5"/>
        <v>730362</v>
      </c>
      <c r="N71" s="59">
        <f t="shared" si="6"/>
        <v>0</v>
      </c>
      <c r="O71" s="28"/>
    </row>
    <row r="72" spans="1:15" s="3" customFormat="1">
      <c r="A72" s="80">
        <v>25</v>
      </c>
      <c r="B72" s="77">
        <v>43000</v>
      </c>
      <c r="C72" s="65"/>
      <c r="D72" s="66" t="s">
        <v>1025</v>
      </c>
      <c r="E72" s="67" t="s">
        <v>91</v>
      </c>
      <c r="F72" s="68" t="s">
        <v>93</v>
      </c>
      <c r="G72" s="69">
        <v>1704</v>
      </c>
      <c r="H72" s="34">
        <v>653200</v>
      </c>
      <c r="I72" s="35">
        <v>622095</v>
      </c>
      <c r="J72" s="24"/>
      <c r="K72" s="25">
        <f t="shared" si="4"/>
        <v>622095</v>
      </c>
      <c r="L72" s="26">
        <v>1</v>
      </c>
      <c r="M72" s="24">
        <f t="shared" si="5"/>
        <v>622095</v>
      </c>
      <c r="N72" s="59">
        <f t="shared" si="6"/>
        <v>0</v>
      </c>
      <c r="O72" s="28"/>
    </row>
    <row r="73" spans="1:15" s="3" customFormat="1">
      <c r="A73" s="80">
        <v>26</v>
      </c>
      <c r="B73" s="64">
        <v>43088</v>
      </c>
      <c r="C73" s="65"/>
      <c r="D73" s="66" t="s">
        <v>1025</v>
      </c>
      <c r="E73" s="67" t="s">
        <v>91</v>
      </c>
      <c r="F73" s="71" t="s">
        <v>94</v>
      </c>
      <c r="G73" s="69">
        <v>1704</v>
      </c>
      <c r="H73" s="34">
        <v>653200</v>
      </c>
      <c r="I73" s="35">
        <v>622095</v>
      </c>
      <c r="J73" s="24"/>
      <c r="K73" s="25">
        <f t="shared" si="4"/>
        <v>622095</v>
      </c>
      <c r="L73" s="26">
        <v>1</v>
      </c>
      <c r="M73" s="24">
        <f t="shared" si="5"/>
        <v>622095</v>
      </c>
      <c r="N73" s="59">
        <f t="shared" si="6"/>
        <v>0</v>
      </c>
      <c r="O73" s="28"/>
    </row>
    <row r="74" spans="1:15" s="3" customFormat="1">
      <c r="A74" s="80">
        <v>27</v>
      </c>
      <c r="B74" s="64">
        <v>43108</v>
      </c>
      <c r="C74" s="65"/>
      <c r="D74" s="66" t="s">
        <v>1025</v>
      </c>
      <c r="E74" s="67" t="s">
        <v>1038</v>
      </c>
      <c r="F74" s="73" t="s">
        <v>1054</v>
      </c>
      <c r="G74" s="74">
        <v>1706</v>
      </c>
      <c r="H74" s="34">
        <v>653200</v>
      </c>
      <c r="I74" s="35"/>
      <c r="J74" s="24">
        <v>622096</v>
      </c>
      <c r="K74" s="25">
        <f t="shared" si="4"/>
        <v>622096</v>
      </c>
      <c r="L74" s="26">
        <v>1</v>
      </c>
      <c r="M74" s="24">
        <f t="shared" si="5"/>
        <v>622096</v>
      </c>
      <c r="N74" s="59">
        <f t="shared" si="6"/>
        <v>0</v>
      </c>
      <c r="O74" s="28"/>
    </row>
    <row r="75" spans="1:15" s="3" customFormat="1" ht="14.25" thickBot="1">
      <c r="A75" s="88" t="s">
        <v>1055</v>
      </c>
      <c r="B75" s="89"/>
      <c r="C75" s="90"/>
      <c r="D75" s="91"/>
      <c r="E75" s="92"/>
      <c r="F75" s="93" t="s">
        <v>1011</v>
      </c>
      <c r="G75" s="94"/>
      <c r="H75" s="95"/>
      <c r="I75" s="96">
        <f>SUM(I3:I74)</f>
        <v>32115961</v>
      </c>
      <c r="J75" s="96">
        <f t="shared" ref="J75:N75" si="7">SUM(J3:J74)</f>
        <v>10884332.476190476</v>
      </c>
      <c r="K75" s="96">
        <f t="shared" si="7"/>
        <v>43000293.476190478</v>
      </c>
      <c r="L75" s="96">
        <f t="shared" si="7"/>
        <v>27</v>
      </c>
      <c r="M75" s="96">
        <f t="shared" si="7"/>
        <v>12857007.761904761</v>
      </c>
      <c r="N75" s="97">
        <f t="shared" si="7"/>
        <v>30143285.714285716</v>
      </c>
      <c r="O75" s="98"/>
    </row>
    <row r="76" spans="1:15" s="3" customFormat="1" ht="14.25" thickTop="1">
      <c r="A76" s="100"/>
      <c r="B76" s="101"/>
      <c r="C76" s="102"/>
      <c r="D76" s="103"/>
      <c r="E76" s="104"/>
      <c r="F76" s="105"/>
      <c r="G76" s="106"/>
      <c r="H76" s="107"/>
      <c r="I76" s="108"/>
      <c r="J76" s="108"/>
      <c r="K76" s="108"/>
      <c r="L76" s="108"/>
      <c r="M76" s="108"/>
      <c r="N76" s="108"/>
      <c r="O76" s="108"/>
    </row>
    <row r="77" spans="1:15" s="3" customFormat="1" ht="14.25" customHeight="1">
      <c r="A77" s="100"/>
      <c r="B77" s="101"/>
      <c r="C77" s="102"/>
      <c r="D77" s="103"/>
      <c r="E77" s="104"/>
      <c r="F77" s="105"/>
      <c r="G77" s="106"/>
      <c r="H77" s="107"/>
      <c r="I77" s="108"/>
      <c r="J77" s="108"/>
      <c r="K77" s="108"/>
      <c r="L77" s="108"/>
      <c r="M77" s="108"/>
      <c r="N77" s="108"/>
      <c r="O77" s="108"/>
    </row>
    <row r="78" spans="1:15" s="3" customFormat="1" ht="14.25" customHeight="1">
      <c r="A78" s="100"/>
      <c r="B78" s="101"/>
      <c r="C78" s="102"/>
      <c r="D78" s="103"/>
      <c r="E78" s="104"/>
      <c r="F78" s="105"/>
      <c r="G78" s="106"/>
      <c r="H78" s="107"/>
      <c r="I78" s="108"/>
      <c r="J78" s="108"/>
      <c r="K78" s="108"/>
      <c r="L78" s="108"/>
      <c r="M78" s="108"/>
      <c r="N78" s="108"/>
      <c r="O78" s="108"/>
    </row>
    <row r="79" spans="1:15" s="3" customFormat="1" ht="14.25" customHeight="1">
      <c r="A79" s="100"/>
      <c r="B79" s="101"/>
      <c r="C79" s="102"/>
      <c r="D79" s="103"/>
      <c r="E79" s="104"/>
      <c r="F79" s="105"/>
      <c r="G79" s="106"/>
      <c r="H79" s="107"/>
      <c r="I79" s="108"/>
      <c r="J79" s="108"/>
      <c r="K79" s="108"/>
      <c r="L79" s="108"/>
      <c r="M79" s="108"/>
      <c r="N79" s="108"/>
      <c r="O79" s="108"/>
    </row>
    <row r="80" spans="1:15" s="3" customFormat="1" ht="14.25" customHeight="1">
      <c r="A80" s="100"/>
      <c r="B80" s="101"/>
      <c r="C80" s="102"/>
      <c r="D80" s="103"/>
      <c r="E80" s="104"/>
      <c r="F80" s="105"/>
      <c r="G80" s="106"/>
      <c r="H80" s="107"/>
      <c r="I80" s="108"/>
      <c r="J80" s="108"/>
      <c r="K80" s="108"/>
      <c r="L80" s="108"/>
      <c r="M80" s="108"/>
      <c r="N80" s="108"/>
      <c r="O80" s="108"/>
    </row>
    <row r="81" spans="1:188" s="3" customFormat="1" ht="14.25" customHeight="1" thickBot="1">
      <c r="A81" s="100"/>
      <c r="B81" s="101"/>
      <c r="C81" s="102"/>
      <c r="D81" s="103"/>
      <c r="E81" s="104"/>
      <c r="F81" s="105"/>
      <c r="G81" s="106"/>
      <c r="H81" s="107"/>
      <c r="I81" s="108"/>
      <c r="J81" s="108"/>
      <c r="K81" s="108"/>
      <c r="L81" s="98"/>
      <c r="M81" s="98"/>
      <c r="N81" s="98"/>
      <c r="O81" s="98"/>
    </row>
    <row r="82" spans="1:188" s="3" customFormat="1" ht="14.25" customHeight="1" thickTop="1" thickBot="1">
      <c r="A82" s="109"/>
      <c r="B82" s="110"/>
      <c r="C82" s="111"/>
      <c r="D82" s="112"/>
      <c r="E82" s="113"/>
      <c r="F82" s="109"/>
      <c r="G82" s="114"/>
      <c r="H82" s="115"/>
      <c r="I82" s="116"/>
      <c r="J82" s="116"/>
      <c r="K82" s="116"/>
      <c r="L82" s="116"/>
      <c r="M82" s="116"/>
      <c r="N82" s="117"/>
      <c r="O82" s="117"/>
    </row>
    <row r="83" spans="1:188" s="3" customFormat="1" ht="14.25" customHeight="1" thickTop="1">
      <c r="A83" s="118" t="s">
        <v>1058</v>
      </c>
      <c r="B83" s="5" t="s">
        <v>159</v>
      </c>
      <c r="C83" s="6" t="s">
        <v>160</v>
      </c>
      <c r="D83" s="7" t="s">
        <v>1007</v>
      </c>
      <c r="E83" s="8" t="s">
        <v>161</v>
      </c>
      <c r="F83" s="119" t="s">
        <v>1008</v>
      </c>
      <c r="G83" s="10" t="s">
        <v>162</v>
      </c>
      <c r="H83" s="11" t="s">
        <v>163</v>
      </c>
      <c r="I83" s="12" t="s">
        <v>1010</v>
      </c>
      <c r="J83" s="12" t="s">
        <v>1009</v>
      </c>
      <c r="K83" s="12" t="s">
        <v>1011</v>
      </c>
      <c r="L83" s="12" t="s">
        <v>1012</v>
      </c>
      <c r="M83" s="12" t="s">
        <v>1013</v>
      </c>
      <c r="N83" s="13" t="s">
        <v>1014</v>
      </c>
      <c r="O83" s="14"/>
    </row>
    <row r="84" spans="1:188" s="3" customFormat="1">
      <c r="A84" s="16">
        <v>1</v>
      </c>
      <c r="B84" s="29">
        <v>43096</v>
      </c>
      <c r="C84" s="18"/>
      <c r="D84" s="19" t="s">
        <v>1059</v>
      </c>
      <c r="E84" s="20" t="s">
        <v>165</v>
      </c>
      <c r="F84" s="120" t="s">
        <v>167</v>
      </c>
      <c r="G84" s="58">
        <v>1708</v>
      </c>
      <c r="H84" s="121">
        <v>1469400</v>
      </c>
      <c r="I84" s="24">
        <v>1399429</v>
      </c>
      <c r="J84" s="122"/>
      <c r="K84" s="24">
        <f t="shared" ref="K84:K115" si="8">I84+J84</f>
        <v>1399429</v>
      </c>
      <c r="L84" s="123"/>
      <c r="M84" s="24">
        <f t="shared" ref="M84:M147" si="9">K84*L84</f>
        <v>0</v>
      </c>
      <c r="N84" s="124">
        <f t="shared" ref="N84:N147" si="10">K84-M84</f>
        <v>1399429</v>
      </c>
      <c r="O84" s="107"/>
    </row>
    <row r="85" spans="1:188" s="3" customFormat="1">
      <c r="A85" s="16">
        <v>2</v>
      </c>
      <c r="B85" s="60">
        <v>43129</v>
      </c>
      <c r="C85" s="18"/>
      <c r="D85" s="19" t="s">
        <v>1059</v>
      </c>
      <c r="E85" s="20" t="s">
        <v>169</v>
      </c>
      <c r="F85" s="82" t="s">
        <v>1060</v>
      </c>
      <c r="G85" s="58">
        <v>1709</v>
      </c>
      <c r="H85" s="121">
        <v>1674000</v>
      </c>
      <c r="I85" s="24"/>
      <c r="J85" s="122">
        <f>H85/1.05</f>
        <v>1594285.7142857143</v>
      </c>
      <c r="K85" s="24">
        <f t="shared" si="8"/>
        <v>1594285.7142857143</v>
      </c>
      <c r="L85" s="123"/>
      <c r="M85" s="24">
        <f t="shared" si="9"/>
        <v>0</v>
      </c>
      <c r="N85" s="124">
        <f t="shared" si="10"/>
        <v>1594285.7142857143</v>
      </c>
      <c r="O85" s="85"/>
      <c r="P85" s="125"/>
      <c r="Q85" s="125"/>
      <c r="R85" s="125"/>
      <c r="S85" s="125"/>
      <c r="T85" s="125"/>
      <c r="U85" s="125"/>
      <c r="V85" s="125"/>
      <c r="W85" s="125"/>
      <c r="X85" s="125"/>
      <c r="Y85" s="125"/>
      <c r="Z85" s="125"/>
      <c r="AA85" s="125"/>
      <c r="AB85" s="125"/>
      <c r="AC85" s="125"/>
      <c r="AD85" s="125"/>
      <c r="AE85" s="125"/>
      <c r="AF85" s="125"/>
      <c r="AG85" s="125"/>
      <c r="AH85" s="125"/>
      <c r="AI85" s="125"/>
      <c r="AJ85" s="125"/>
      <c r="AK85" s="125"/>
      <c r="AL85" s="125"/>
      <c r="AM85" s="125"/>
      <c r="AN85" s="125"/>
      <c r="AO85" s="125"/>
      <c r="AP85" s="125"/>
      <c r="AQ85" s="125"/>
      <c r="AR85" s="125"/>
      <c r="AS85" s="125"/>
      <c r="AT85" s="125"/>
      <c r="AU85" s="125"/>
      <c r="AV85" s="125"/>
      <c r="AW85" s="125"/>
      <c r="AX85" s="125"/>
      <c r="AY85" s="125"/>
      <c r="AZ85" s="125"/>
      <c r="BA85" s="125"/>
      <c r="BB85" s="125"/>
      <c r="BC85" s="125"/>
      <c r="BD85" s="125"/>
      <c r="BE85" s="125"/>
      <c r="BF85" s="125"/>
      <c r="BG85" s="125"/>
      <c r="BH85" s="125"/>
      <c r="BI85" s="125"/>
      <c r="BJ85" s="125"/>
      <c r="BK85" s="125"/>
      <c r="BL85" s="125"/>
      <c r="BM85" s="125"/>
      <c r="BN85" s="125"/>
      <c r="BO85" s="125"/>
      <c r="BP85" s="125"/>
      <c r="BQ85" s="125"/>
      <c r="BR85" s="125"/>
      <c r="BS85" s="125"/>
      <c r="BT85" s="125"/>
      <c r="BU85" s="125"/>
      <c r="BV85" s="125"/>
      <c r="BW85" s="125"/>
      <c r="BX85" s="125"/>
      <c r="BY85" s="125"/>
      <c r="BZ85" s="125"/>
      <c r="CA85" s="125"/>
      <c r="CB85" s="125"/>
      <c r="CC85" s="125"/>
      <c r="CD85" s="125"/>
      <c r="CE85" s="125"/>
      <c r="CF85" s="125"/>
      <c r="CG85" s="125"/>
      <c r="CH85" s="125"/>
      <c r="CI85" s="125"/>
      <c r="CJ85" s="125"/>
      <c r="CK85" s="125"/>
      <c r="CL85" s="125"/>
      <c r="CM85" s="125"/>
      <c r="CN85" s="125"/>
      <c r="CO85" s="125"/>
      <c r="CP85" s="125"/>
      <c r="CQ85" s="125"/>
      <c r="CR85" s="125"/>
      <c r="CS85" s="125"/>
      <c r="CT85" s="125"/>
      <c r="CU85" s="125"/>
      <c r="CV85" s="125"/>
      <c r="CW85" s="125"/>
      <c r="CX85" s="125"/>
      <c r="CY85" s="125"/>
      <c r="CZ85" s="125"/>
      <c r="DA85" s="125"/>
      <c r="DB85" s="125"/>
      <c r="DC85" s="125"/>
      <c r="DD85" s="125"/>
      <c r="DE85" s="125"/>
      <c r="DF85" s="125"/>
      <c r="DG85" s="125"/>
      <c r="DH85" s="125"/>
      <c r="DI85" s="125"/>
      <c r="DJ85" s="125"/>
      <c r="DK85" s="125"/>
      <c r="DL85" s="125"/>
      <c r="DM85" s="125"/>
      <c r="DN85" s="125"/>
      <c r="DO85" s="125"/>
      <c r="DP85" s="125"/>
      <c r="DQ85" s="125"/>
      <c r="DR85" s="125"/>
      <c r="DS85" s="125"/>
      <c r="DT85" s="125"/>
      <c r="DU85" s="125"/>
      <c r="DV85" s="125"/>
      <c r="DW85" s="125"/>
      <c r="DX85" s="125"/>
      <c r="DY85" s="125"/>
      <c r="DZ85" s="125"/>
      <c r="EA85" s="125"/>
      <c r="EB85" s="125"/>
      <c r="EC85" s="125"/>
      <c r="ED85" s="125"/>
      <c r="EE85" s="125"/>
      <c r="EF85" s="125"/>
      <c r="EG85" s="125"/>
      <c r="EH85" s="125"/>
      <c r="EI85" s="125"/>
      <c r="EJ85" s="125"/>
      <c r="EK85" s="125"/>
      <c r="EL85" s="125"/>
      <c r="EM85" s="125"/>
      <c r="EN85" s="125"/>
      <c r="EO85" s="125"/>
      <c r="EP85" s="125"/>
      <c r="EQ85" s="125"/>
      <c r="ER85" s="125"/>
      <c r="ES85" s="125"/>
      <c r="ET85" s="125"/>
      <c r="EU85" s="125"/>
      <c r="EV85" s="125"/>
      <c r="EW85" s="125"/>
      <c r="EX85" s="125"/>
      <c r="EY85" s="125"/>
      <c r="EZ85" s="125"/>
      <c r="FA85" s="125"/>
      <c r="FB85" s="125"/>
      <c r="FC85" s="125"/>
      <c r="FD85" s="125"/>
      <c r="FE85" s="125"/>
      <c r="FF85" s="125"/>
      <c r="FG85" s="125"/>
      <c r="FH85" s="125"/>
      <c r="FI85" s="125"/>
      <c r="FJ85" s="125"/>
      <c r="FK85" s="125"/>
      <c r="FL85" s="125"/>
      <c r="FM85" s="125"/>
      <c r="FN85" s="125"/>
      <c r="FO85" s="125"/>
      <c r="FP85" s="125"/>
      <c r="FQ85" s="125"/>
      <c r="FR85" s="125"/>
      <c r="FS85" s="125"/>
      <c r="FT85" s="125"/>
      <c r="FU85" s="125"/>
      <c r="FV85" s="125"/>
      <c r="FW85" s="125"/>
      <c r="FX85" s="125"/>
      <c r="FY85" s="125"/>
      <c r="FZ85" s="125"/>
      <c r="GA85" s="125"/>
      <c r="GB85" s="125"/>
      <c r="GC85" s="125"/>
      <c r="GD85" s="125"/>
      <c r="GE85" s="125"/>
      <c r="GF85" s="125"/>
    </row>
    <row r="86" spans="1:188" s="3" customFormat="1">
      <c r="A86" s="16">
        <v>3</v>
      </c>
      <c r="B86" s="56">
        <v>43112</v>
      </c>
      <c r="C86" s="18"/>
      <c r="D86" s="19" t="s">
        <v>1061</v>
      </c>
      <c r="E86" s="20" t="s">
        <v>173</v>
      </c>
      <c r="F86" s="62" t="s">
        <v>1062</v>
      </c>
      <c r="G86" s="63">
        <v>1711</v>
      </c>
      <c r="H86" s="121">
        <f>90000+1302000</f>
        <v>1392000</v>
      </c>
      <c r="I86" s="24"/>
      <c r="J86" s="122">
        <f>H86/1.05</f>
        <v>1325714.2857142857</v>
      </c>
      <c r="K86" s="24">
        <f t="shared" si="8"/>
        <v>1325714.2857142857</v>
      </c>
      <c r="L86" s="123"/>
      <c r="M86" s="24">
        <f t="shared" si="9"/>
        <v>0</v>
      </c>
      <c r="N86" s="124">
        <f t="shared" si="10"/>
        <v>1325714.2857142857</v>
      </c>
      <c r="O86" s="107"/>
    </row>
    <row r="87" spans="1:188" s="3" customFormat="1">
      <c r="A87" s="16">
        <v>4</v>
      </c>
      <c r="B87" s="56">
        <v>43126</v>
      </c>
      <c r="C87" s="18" t="s">
        <v>1063</v>
      </c>
      <c r="D87" s="19" t="s">
        <v>1061</v>
      </c>
      <c r="E87" s="20" t="s">
        <v>1064</v>
      </c>
      <c r="F87" s="82" t="s">
        <v>1065</v>
      </c>
      <c r="G87" s="58">
        <v>1711</v>
      </c>
      <c r="H87" s="121">
        <f>1302000+60000+14000</f>
        <v>1376000</v>
      </c>
      <c r="I87" s="24"/>
      <c r="J87" s="122">
        <v>1310476</v>
      </c>
      <c r="K87" s="24">
        <f t="shared" si="8"/>
        <v>1310476</v>
      </c>
      <c r="L87" s="123"/>
      <c r="M87" s="24">
        <f t="shared" si="9"/>
        <v>0</v>
      </c>
      <c r="N87" s="124">
        <f t="shared" si="10"/>
        <v>1310476</v>
      </c>
      <c r="O87" s="85"/>
      <c r="P87" s="125"/>
      <c r="Q87" s="125"/>
      <c r="R87" s="125"/>
      <c r="S87" s="125"/>
      <c r="T87" s="125"/>
      <c r="U87" s="125"/>
      <c r="V87" s="125"/>
      <c r="W87" s="125"/>
      <c r="X87" s="125"/>
      <c r="Y87" s="125"/>
      <c r="Z87" s="125"/>
      <c r="AA87" s="125"/>
      <c r="AB87" s="125"/>
      <c r="AC87" s="125"/>
      <c r="AD87" s="125"/>
      <c r="AE87" s="125"/>
      <c r="AF87" s="125"/>
      <c r="AG87" s="125"/>
      <c r="AH87" s="125"/>
      <c r="AI87" s="125"/>
      <c r="AJ87" s="125"/>
      <c r="AK87" s="125"/>
      <c r="AL87" s="125"/>
      <c r="AM87" s="125"/>
      <c r="AN87" s="125"/>
      <c r="AO87" s="125"/>
      <c r="AP87" s="125"/>
      <c r="AQ87" s="125"/>
      <c r="AR87" s="125"/>
      <c r="AS87" s="125"/>
      <c r="AT87" s="125"/>
      <c r="AU87" s="125"/>
      <c r="AV87" s="125"/>
      <c r="AW87" s="125"/>
      <c r="AX87" s="125"/>
      <c r="AY87" s="125"/>
      <c r="AZ87" s="125"/>
      <c r="BA87" s="125"/>
      <c r="BB87" s="125"/>
      <c r="BC87" s="125"/>
      <c r="BD87" s="125"/>
      <c r="BE87" s="125"/>
      <c r="BF87" s="125"/>
      <c r="BG87" s="125"/>
      <c r="BH87" s="125"/>
      <c r="BI87" s="125"/>
      <c r="BJ87" s="125"/>
      <c r="BK87" s="125"/>
      <c r="BL87" s="125"/>
      <c r="BM87" s="125"/>
      <c r="BN87" s="125"/>
      <c r="BO87" s="125"/>
      <c r="BP87" s="125"/>
      <c r="BQ87" s="125"/>
      <c r="BR87" s="125"/>
      <c r="BS87" s="125"/>
      <c r="BT87" s="125"/>
      <c r="BU87" s="125"/>
      <c r="BV87" s="125"/>
      <c r="BW87" s="125"/>
      <c r="BX87" s="125"/>
      <c r="BY87" s="125"/>
      <c r="BZ87" s="125"/>
      <c r="CA87" s="125"/>
      <c r="CB87" s="125"/>
      <c r="CC87" s="125"/>
      <c r="CD87" s="125"/>
      <c r="CE87" s="125"/>
      <c r="CF87" s="125"/>
      <c r="CG87" s="125"/>
      <c r="CH87" s="125"/>
      <c r="CI87" s="125"/>
      <c r="CJ87" s="125"/>
      <c r="CK87" s="125"/>
      <c r="CL87" s="125"/>
      <c r="CM87" s="125"/>
      <c r="CN87" s="125"/>
      <c r="CO87" s="125"/>
      <c r="CP87" s="125"/>
      <c r="CQ87" s="125"/>
      <c r="CR87" s="125"/>
      <c r="CS87" s="125"/>
      <c r="CT87" s="125"/>
      <c r="CU87" s="125"/>
      <c r="CV87" s="125"/>
      <c r="CW87" s="125"/>
      <c r="CX87" s="125"/>
      <c r="CY87" s="125"/>
      <c r="CZ87" s="125"/>
      <c r="DA87" s="125"/>
      <c r="DB87" s="125"/>
      <c r="DC87" s="125"/>
      <c r="DD87" s="125"/>
      <c r="DE87" s="125"/>
      <c r="DF87" s="125"/>
      <c r="DG87" s="125"/>
      <c r="DH87" s="125"/>
      <c r="DI87" s="125"/>
      <c r="DJ87" s="125"/>
      <c r="DK87" s="125"/>
      <c r="DL87" s="125"/>
      <c r="DM87" s="125"/>
      <c r="DN87" s="125"/>
      <c r="DO87" s="125"/>
      <c r="DP87" s="125"/>
      <c r="DQ87" s="125"/>
      <c r="DR87" s="125"/>
      <c r="DS87" s="125"/>
      <c r="DT87" s="125"/>
      <c r="DU87" s="125"/>
      <c r="DV87" s="125"/>
      <c r="DW87" s="125"/>
      <c r="DX87" s="125"/>
      <c r="DY87" s="125"/>
      <c r="DZ87" s="125"/>
      <c r="EA87" s="125"/>
      <c r="EB87" s="125"/>
      <c r="EC87" s="125"/>
      <c r="ED87" s="125"/>
      <c r="EE87" s="125"/>
      <c r="EF87" s="125"/>
      <c r="EG87" s="125"/>
      <c r="EH87" s="125"/>
      <c r="EI87" s="125"/>
      <c r="EJ87" s="125"/>
      <c r="EK87" s="125"/>
      <c r="EL87" s="125"/>
      <c r="EM87" s="125"/>
      <c r="EN87" s="125"/>
      <c r="EO87" s="125"/>
      <c r="EP87" s="125"/>
      <c r="EQ87" s="125"/>
      <c r="ER87" s="125"/>
      <c r="ES87" s="125"/>
      <c r="ET87" s="125"/>
      <c r="EU87" s="125"/>
      <c r="EV87" s="125"/>
      <c r="EW87" s="125"/>
      <c r="EX87" s="125"/>
      <c r="EY87" s="125"/>
      <c r="EZ87" s="125"/>
      <c r="FA87" s="125"/>
      <c r="FB87" s="125"/>
      <c r="FC87" s="125"/>
      <c r="FD87" s="125"/>
      <c r="FE87" s="125"/>
      <c r="FF87" s="125"/>
      <c r="FG87" s="125"/>
      <c r="FH87" s="125"/>
      <c r="FI87" s="125"/>
      <c r="FJ87" s="125"/>
      <c r="FK87" s="125"/>
      <c r="FL87" s="125"/>
      <c r="FM87" s="125"/>
      <c r="FN87" s="125"/>
      <c r="FO87" s="125"/>
      <c r="FP87" s="125"/>
      <c r="FQ87" s="125"/>
      <c r="FR87" s="125"/>
      <c r="FS87" s="125"/>
      <c r="FT87" s="125"/>
      <c r="FU87" s="125"/>
      <c r="FV87" s="125"/>
      <c r="FW87" s="125"/>
      <c r="FX87" s="125"/>
      <c r="FY87" s="125"/>
      <c r="FZ87" s="125"/>
      <c r="GA87" s="125"/>
      <c r="GB87" s="125"/>
      <c r="GC87" s="125"/>
      <c r="GD87" s="125"/>
      <c r="GE87" s="125"/>
      <c r="GF87" s="125"/>
    </row>
    <row r="88" spans="1:188" s="3" customFormat="1">
      <c r="A88" s="16">
        <v>5</v>
      </c>
      <c r="B88" s="56">
        <v>43096</v>
      </c>
      <c r="C88" s="18"/>
      <c r="D88" s="19" t="s">
        <v>1061</v>
      </c>
      <c r="E88" s="20" t="s">
        <v>175</v>
      </c>
      <c r="F88" s="82" t="s">
        <v>176</v>
      </c>
      <c r="G88" s="58">
        <v>1709</v>
      </c>
      <c r="H88" s="121">
        <f>40000+1069500</f>
        <v>1109500</v>
      </c>
      <c r="I88" s="24">
        <v>1056667</v>
      </c>
      <c r="J88" s="122"/>
      <c r="K88" s="24">
        <f t="shared" si="8"/>
        <v>1056667</v>
      </c>
      <c r="L88" s="123"/>
      <c r="M88" s="24">
        <f t="shared" si="9"/>
        <v>0</v>
      </c>
      <c r="N88" s="124">
        <f t="shared" si="10"/>
        <v>1056667</v>
      </c>
      <c r="O88" s="85"/>
      <c r="P88" s="125"/>
      <c r="Q88" s="125"/>
      <c r="R88" s="125"/>
      <c r="S88" s="125"/>
      <c r="T88" s="125"/>
      <c r="U88" s="125"/>
      <c r="V88" s="125"/>
      <c r="W88" s="125"/>
      <c r="X88" s="125"/>
      <c r="Y88" s="125"/>
      <c r="Z88" s="125"/>
      <c r="AA88" s="125"/>
      <c r="AB88" s="125"/>
      <c r="AC88" s="125"/>
      <c r="AD88" s="125"/>
      <c r="AE88" s="125"/>
      <c r="AF88" s="125"/>
      <c r="AG88" s="125"/>
      <c r="AH88" s="125"/>
      <c r="AI88" s="125"/>
      <c r="AJ88" s="125"/>
      <c r="AK88" s="125"/>
      <c r="AL88" s="125"/>
      <c r="AM88" s="125"/>
      <c r="AN88" s="125"/>
      <c r="AO88" s="125"/>
      <c r="AP88" s="125"/>
      <c r="AQ88" s="125"/>
      <c r="AR88" s="125"/>
      <c r="AS88" s="125"/>
      <c r="AT88" s="125"/>
      <c r="AU88" s="125"/>
      <c r="AV88" s="125"/>
      <c r="AW88" s="125"/>
      <c r="AX88" s="125"/>
      <c r="AY88" s="125"/>
      <c r="AZ88" s="125"/>
      <c r="BA88" s="125"/>
      <c r="BB88" s="125"/>
      <c r="BC88" s="125"/>
      <c r="BD88" s="125"/>
      <c r="BE88" s="125"/>
      <c r="BF88" s="125"/>
      <c r="BG88" s="125"/>
      <c r="BH88" s="125"/>
      <c r="BI88" s="125"/>
      <c r="BJ88" s="125"/>
      <c r="BK88" s="125"/>
      <c r="BL88" s="125"/>
      <c r="BM88" s="125"/>
      <c r="BN88" s="125"/>
      <c r="BO88" s="125"/>
      <c r="BP88" s="125"/>
      <c r="BQ88" s="125"/>
      <c r="BR88" s="125"/>
      <c r="BS88" s="125"/>
      <c r="BT88" s="125"/>
      <c r="BU88" s="125"/>
      <c r="BV88" s="125"/>
      <c r="BW88" s="125"/>
      <c r="BX88" s="125"/>
      <c r="BY88" s="125"/>
      <c r="BZ88" s="125"/>
      <c r="CA88" s="125"/>
      <c r="CB88" s="125"/>
      <c r="CC88" s="125"/>
      <c r="CD88" s="125"/>
      <c r="CE88" s="125"/>
      <c r="CF88" s="125"/>
      <c r="CG88" s="125"/>
      <c r="CH88" s="125"/>
      <c r="CI88" s="125"/>
      <c r="CJ88" s="125"/>
      <c r="CK88" s="125"/>
      <c r="CL88" s="125"/>
      <c r="CM88" s="125"/>
      <c r="CN88" s="125"/>
      <c r="CO88" s="125"/>
      <c r="CP88" s="125"/>
      <c r="CQ88" s="125"/>
      <c r="CR88" s="125"/>
      <c r="CS88" s="125"/>
      <c r="CT88" s="125"/>
      <c r="CU88" s="125"/>
      <c r="CV88" s="125"/>
      <c r="CW88" s="125"/>
      <c r="CX88" s="125"/>
      <c r="CY88" s="125"/>
      <c r="CZ88" s="125"/>
      <c r="DA88" s="125"/>
      <c r="DB88" s="125"/>
      <c r="DC88" s="125"/>
      <c r="DD88" s="125"/>
      <c r="DE88" s="125"/>
      <c r="DF88" s="125"/>
      <c r="DG88" s="125"/>
      <c r="DH88" s="125"/>
      <c r="DI88" s="125"/>
      <c r="DJ88" s="125"/>
      <c r="DK88" s="125"/>
      <c r="DL88" s="125"/>
      <c r="DM88" s="125"/>
      <c r="DN88" s="125"/>
      <c r="DO88" s="125"/>
      <c r="DP88" s="125"/>
      <c r="DQ88" s="125"/>
      <c r="DR88" s="125"/>
      <c r="DS88" s="125"/>
      <c r="DT88" s="125"/>
      <c r="DU88" s="125"/>
      <c r="DV88" s="125"/>
      <c r="DW88" s="125"/>
      <c r="DX88" s="125"/>
      <c r="DY88" s="125"/>
      <c r="DZ88" s="125"/>
      <c r="EA88" s="125"/>
      <c r="EB88" s="125"/>
      <c r="EC88" s="125"/>
      <c r="ED88" s="125"/>
      <c r="EE88" s="125"/>
      <c r="EF88" s="125"/>
      <c r="EG88" s="125"/>
      <c r="EH88" s="125"/>
      <c r="EI88" s="125"/>
      <c r="EJ88" s="125"/>
      <c r="EK88" s="125"/>
      <c r="EL88" s="125"/>
      <c r="EM88" s="125"/>
      <c r="EN88" s="125"/>
      <c r="EO88" s="125"/>
      <c r="EP88" s="125"/>
      <c r="EQ88" s="125"/>
      <c r="ER88" s="125"/>
      <c r="ES88" s="125"/>
      <c r="ET88" s="125"/>
      <c r="EU88" s="125"/>
      <c r="EV88" s="125"/>
      <c r="EW88" s="125"/>
      <c r="EX88" s="125"/>
      <c r="EY88" s="125"/>
      <c r="EZ88" s="125"/>
      <c r="FA88" s="125"/>
      <c r="FB88" s="125"/>
      <c r="FC88" s="125"/>
      <c r="FD88" s="125"/>
      <c r="FE88" s="125"/>
      <c r="FF88" s="125"/>
      <c r="FG88" s="125"/>
      <c r="FH88" s="125"/>
      <c r="FI88" s="125"/>
      <c r="FJ88" s="125"/>
      <c r="FK88" s="125"/>
      <c r="FL88" s="125"/>
      <c r="FM88" s="125"/>
      <c r="FN88" s="125"/>
      <c r="FO88" s="125"/>
      <c r="FP88" s="125"/>
      <c r="FQ88" s="125"/>
      <c r="FR88" s="125"/>
      <c r="FS88" s="125"/>
      <c r="FT88" s="125"/>
      <c r="FU88" s="125"/>
      <c r="FV88" s="125"/>
      <c r="FW88" s="125"/>
      <c r="FX88" s="125"/>
      <c r="FY88" s="125"/>
      <c r="FZ88" s="125"/>
      <c r="GA88" s="125"/>
      <c r="GB88" s="125"/>
      <c r="GC88" s="125"/>
      <c r="GD88" s="125"/>
      <c r="GE88" s="125"/>
      <c r="GF88" s="125"/>
    </row>
    <row r="89" spans="1:188" s="125" customFormat="1">
      <c r="A89" s="16">
        <v>6</v>
      </c>
      <c r="B89" s="60">
        <v>43109</v>
      </c>
      <c r="C89" s="18"/>
      <c r="D89" s="19" t="s">
        <v>1061</v>
      </c>
      <c r="E89" s="20" t="s">
        <v>175</v>
      </c>
      <c r="F89" s="120" t="s">
        <v>1066</v>
      </c>
      <c r="G89" s="58">
        <v>1709</v>
      </c>
      <c r="H89" s="121">
        <f>20000+1069500</f>
        <v>1089500</v>
      </c>
      <c r="I89" s="24"/>
      <c r="J89" s="122">
        <f>H89/1.05</f>
        <v>1037619.0476190476</v>
      </c>
      <c r="K89" s="24">
        <f t="shared" si="8"/>
        <v>1037619.0476190476</v>
      </c>
      <c r="L89" s="123"/>
      <c r="M89" s="24">
        <f t="shared" si="9"/>
        <v>0</v>
      </c>
      <c r="N89" s="124">
        <f t="shared" si="10"/>
        <v>1037619.0476190476</v>
      </c>
      <c r="O89" s="107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3"/>
      <c r="EU89" s="3"/>
      <c r="EV89" s="3"/>
      <c r="EW89" s="3"/>
      <c r="EX89" s="3"/>
      <c r="EY89" s="3"/>
      <c r="EZ89" s="3"/>
      <c r="FA89" s="3"/>
      <c r="FB89" s="3"/>
      <c r="FC89" s="3"/>
      <c r="FD89" s="3"/>
      <c r="FE89" s="3"/>
      <c r="FF89" s="3"/>
      <c r="FG89" s="3"/>
      <c r="FH89" s="3"/>
      <c r="FI89" s="3"/>
      <c r="FJ89" s="3"/>
      <c r="FK89" s="3"/>
      <c r="FL89" s="3"/>
      <c r="FM89" s="3"/>
      <c r="FN89" s="3"/>
      <c r="FO89" s="3"/>
      <c r="FP89" s="3"/>
      <c r="FQ89" s="3"/>
      <c r="FR89" s="3"/>
      <c r="FS89" s="3"/>
      <c r="FT89" s="3"/>
      <c r="FU89" s="3"/>
      <c r="FV89" s="3"/>
      <c r="FW89" s="3"/>
      <c r="FX89" s="3"/>
      <c r="FY89" s="3"/>
      <c r="FZ89" s="3"/>
      <c r="GA89" s="3"/>
      <c r="GB89" s="3"/>
      <c r="GC89" s="3"/>
      <c r="GD89" s="3"/>
      <c r="GE89" s="3"/>
      <c r="GF89" s="3"/>
    </row>
    <row r="90" spans="1:188" s="125" customFormat="1">
      <c r="A90" s="16">
        <v>7</v>
      </c>
      <c r="B90" s="56">
        <v>43103</v>
      </c>
      <c r="C90" s="18"/>
      <c r="D90" s="19" t="s">
        <v>1061</v>
      </c>
      <c r="E90" s="20" t="s">
        <v>222</v>
      </c>
      <c r="F90" s="82" t="s">
        <v>1067</v>
      </c>
      <c r="G90" s="58">
        <v>1711</v>
      </c>
      <c r="H90" s="121">
        <f>70000+1525200</f>
        <v>1595200</v>
      </c>
      <c r="I90" s="24"/>
      <c r="J90" s="122">
        <f>H90/1.05</f>
        <v>1519238.0952380951</v>
      </c>
      <c r="K90" s="24">
        <f t="shared" si="8"/>
        <v>1519238.0952380951</v>
      </c>
      <c r="L90" s="123"/>
      <c r="M90" s="24">
        <f t="shared" si="9"/>
        <v>0</v>
      </c>
      <c r="N90" s="124">
        <f t="shared" si="10"/>
        <v>1519238.0952380951</v>
      </c>
      <c r="O90" s="107"/>
    </row>
    <row r="91" spans="1:188" s="125" customFormat="1">
      <c r="A91" s="16">
        <v>8</v>
      </c>
      <c r="B91" s="60">
        <v>43123</v>
      </c>
      <c r="C91" s="18"/>
      <c r="D91" s="19" t="s">
        <v>1068</v>
      </c>
      <c r="E91" s="20" t="s">
        <v>178</v>
      </c>
      <c r="F91" s="120" t="s">
        <v>1069</v>
      </c>
      <c r="G91" s="58">
        <v>1708</v>
      </c>
      <c r="H91" s="121">
        <f>30000+1264800</f>
        <v>1294800</v>
      </c>
      <c r="I91" s="24"/>
      <c r="J91" s="122">
        <f>H91/1.05</f>
        <v>1233142.857142857</v>
      </c>
      <c r="K91" s="24">
        <f t="shared" si="8"/>
        <v>1233142.857142857</v>
      </c>
      <c r="L91" s="123"/>
      <c r="M91" s="24">
        <f t="shared" si="9"/>
        <v>0</v>
      </c>
      <c r="N91" s="124">
        <f t="shared" si="10"/>
        <v>1233142.857142857</v>
      </c>
      <c r="O91" s="107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3"/>
      <c r="DX91" s="3"/>
      <c r="DY91" s="3"/>
      <c r="DZ91" s="3"/>
      <c r="EA91" s="3"/>
      <c r="EB91" s="3"/>
      <c r="EC91" s="3"/>
      <c r="ED91" s="3"/>
      <c r="EE91" s="3"/>
      <c r="EF91" s="3"/>
      <c r="EG91" s="3"/>
      <c r="EH91" s="3"/>
      <c r="EI91" s="3"/>
      <c r="EJ91" s="3"/>
      <c r="EK91" s="3"/>
      <c r="EL91" s="3"/>
      <c r="EM91" s="3"/>
      <c r="EN91" s="3"/>
      <c r="EO91" s="3"/>
      <c r="EP91" s="3"/>
      <c r="EQ91" s="3"/>
      <c r="ER91" s="3"/>
      <c r="ES91" s="3"/>
      <c r="ET91" s="3"/>
      <c r="EU91" s="3"/>
      <c r="EV91" s="3"/>
      <c r="EW91" s="3"/>
      <c r="EX91" s="3"/>
      <c r="EY91" s="3"/>
      <c r="EZ91" s="3"/>
      <c r="FA91" s="3"/>
      <c r="FB91" s="3"/>
      <c r="FC91" s="3"/>
      <c r="FD91" s="3"/>
      <c r="FE91" s="3"/>
      <c r="FF91" s="3"/>
      <c r="FG91" s="3"/>
      <c r="FH91" s="3"/>
      <c r="FI91" s="3"/>
      <c r="FJ91" s="3"/>
      <c r="FK91" s="3"/>
      <c r="FL91" s="3"/>
      <c r="FM91" s="3"/>
      <c r="FN91" s="3"/>
      <c r="FO91" s="3"/>
      <c r="FP91" s="3"/>
      <c r="FQ91" s="3"/>
      <c r="FR91" s="3"/>
      <c r="FS91" s="3"/>
      <c r="FT91" s="3"/>
      <c r="FU91" s="3"/>
      <c r="FV91" s="3"/>
      <c r="FW91" s="3"/>
      <c r="FX91" s="3"/>
      <c r="FY91" s="3"/>
      <c r="FZ91" s="3"/>
      <c r="GA91" s="3"/>
      <c r="GB91" s="3"/>
      <c r="GC91" s="3"/>
      <c r="GD91" s="3"/>
      <c r="GE91" s="3"/>
      <c r="GF91" s="3"/>
    </row>
    <row r="92" spans="1:188" s="3" customFormat="1">
      <c r="A92" s="16">
        <v>9</v>
      </c>
      <c r="B92" s="60">
        <v>43122</v>
      </c>
      <c r="C92" s="18"/>
      <c r="D92" s="19" t="s">
        <v>1068</v>
      </c>
      <c r="E92" s="20" t="s">
        <v>178</v>
      </c>
      <c r="F92" s="120" t="s">
        <v>1070</v>
      </c>
      <c r="G92" s="58">
        <v>1709</v>
      </c>
      <c r="H92" s="121">
        <f>30000+1264800</f>
        <v>1294800</v>
      </c>
      <c r="I92" s="24"/>
      <c r="J92" s="122">
        <f>H92/1.05</f>
        <v>1233142.857142857</v>
      </c>
      <c r="K92" s="24">
        <f t="shared" si="8"/>
        <v>1233142.857142857</v>
      </c>
      <c r="L92" s="123"/>
      <c r="M92" s="24">
        <f t="shared" si="9"/>
        <v>0</v>
      </c>
      <c r="N92" s="124">
        <f t="shared" si="10"/>
        <v>1233142.857142857</v>
      </c>
      <c r="O92" s="107"/>
    </row>
    <row r="93" spans="1:188" s="3" customFormat="1">
      <c r="A93" s="16">
        <v>10</v>
      </c>
      <c r="B93" s="56">
        <v>43108</v>
      </c>
      <c r="C93" s="18"/>
      <c r="D93" s="19" t="s">
        <v>1068</v>
      </c>
      <c r="E93" s="20" t="s">
        <v>178</v>
      </c>
      <c r="F93" s="82" t="s">
        <v>1071</v>
      </c>
      <c r="G93" s="58">
        <v>1709</v>
      </c>
      <c r="H93" s="121">
        <f>60000+1264800</f>
        <v>1324800</v>
      </c>
      <c r="I93" s="24"/>
      <c r="J93" s="122">
        <v>1261714</v>
      </c>
      <c r="K93" s="24">
        <f t="shared" si="8"/>
        <v>1261714</v>
      </c>
      <c r="L93" s="123"/>
      <c r="M93" s="24">
        <f t="shared" si="9"/>
        <v>0</v>
      </c>
      <c r="N93" s="124">
        <f t="shared" si="10"/>
        <v>1261714</v>
      </c>
      <c r="O93" s="107"/>
    </row>
    <row r="94" spans="1:188" s="3" customFormat="1">
      <c r="A94" s="16">
        <v>11</v>
      </c>
      <c r="B94" s="56">
        <v>43123</v>
      </c>
      <c r="C94" s="18"/>
      <c r="D94" s="19" t="s">
        <v>1068</v>
      </c>
      <c r="E94" s="20" t="s">
        <v>178</v>
      </c>
      <c r="F94" s="82" t="s">
        <v>1072</v>
      </c>
      <c r="G94" s="58">
        <v>1709</v>
      </c>
      <c r="H94" s="121">
        <f>30000+1264800</f>
        <v>1294800</v>
      </c>
      <c r="I94" s="24"/>
      <c r="J94" s="122">
        <f>H94/1.05</f>
        <v>1233142.857142857</v>
      </c>
      <c r="K94" s="24">
        <f t="shared" si="8"/>
        <v>1233142.857142857</v>
      </c>
      <c r="L94" s="123"/>
      <c r="M94" s="24">
        <f t="shared" si="9"/>
        <v>0</v>
      </c>
      <c r="N94" s="124">
        <f t="shared" si="10"/>
        <v>1233142.857142857</v>
      </c>
      <c r="O94" s="107"/>
    </row>
    <row r="95" spans="1:188" s="3" customFormat="1">
      <c r="A95" s="16">
        <v>12</v>
      </c>
      <c r="B95" s="60">
        <v>43073</v>
      </c>
      <c r="C95" s="18"/>
      <c r="D95" s="19" t="s">
        <v>1068</v>
      </c>
      <c r="E95" s="20" t="s">
        <v>186</v>
      </c>
      <c r="F95" s="120" t="s">
        <v>187</v>
      </c>
      <c r="G95" s="58">
        <v>1707</v>
      </c>
      <c r="H95" s="121">
        <f>66300+1748400</f>
        <v>1814700</v>
      </c>
      <c r="I95" s="24">
        <v>1728286</v>
      </c>
      <c r="J95" s="122"/>
      <c r="K95" s="24">
        <f t="shared" si="8"/>
        <v>1728286</v>
      </c>
      <c r="L95" s="123"/>
      <c r="M95" s="24">
        <f t="shared" si="9"/>
        <v>0</v>
      </c>
      <c r="N95" s="124">
        <f t="shared" si="10"/>
        <v>1728286</v>
      </c>
      <c r="O95" s="107"/>
    </row>
    <row r="96" spans="1:188" s="3" customFormat="1">
      <c r="A96" s="16">
        <v>13</v>
      </c>
      <c r="B96" s="56">
        <v>42900</v>
      </c>
      <c r="C96" s="18"/>
      <c r="D96" s="19" t="s">
        <v>178</v>
      </c>
      <c r="E96" s="20" t="s">
        <v>1073</v>
      </c>
      <c r="F96" s="82" t="s">
        <v>1074</v>
      </c>
      <c r="G96" s="58">
        <v>1703</v>
      </c>
      <c r="H96" s="121"/>
      <c r="I96" s="24">
        <v>983810</v>
      </c>
      <c r="J96" s="24"/>
      <c r="K96" s="24">
        <f t="shared" si="8"/>
        <v>983810</v>
      </c>
      <c r="L96" s="123"/>
      <c r="M96" s="24">
        <f t="shared" si="9"/>
        <v>0</v>
      </c>
      <c r="N96" s="124">
        <f t="shared" si="10"/>
        <v>983810</v>
      </c>
      <c r="O96" s="108"/>
      <c r="P96" s="125"/>
      <c r="Q96" s="125"/>
      <c r="R96" s="125"/>
      <c r="S96" s="125"/>
      <c r="T96" s="125"/>
      <c r="U96" s="125"/>
      <c r="V96" s="125"/>
      <c r="W96" s="125"/>
      <c r="X96" s="125"/>
      <c r="Y96" s="125"/>
      <c r="Z96" s="125"/>
      <c r="AA96" s="125"/>
      <c r="AB96" s="125"/>
      <c r="AC96" s="125"/>
      <c r="AD96" s="125"/>
      <c r="AE96" s="125"/>
      <c r="AF96" s="125"/>
      <c r="AG96" s="125"/>
      <c r="AH96" s="125"/>
      <c r="AI96" s="125"/>
      <c r="AJ96" s="125"/>
      <c r="AK96" s="125"/>
      <c r="AL96" s="125"/>
      <c r="AM96" s="125"/>
      <c r="AN96" s="125"/>
      <c r="AO96" s="125"/>
      <c r="AP96" s="125"/>
      <c r="AQ96" s="125"/>
      <c r="AR96" s="125"/>
      <c r="AS96" s="125"/>
      <c r="AT96" s="125"/>
      <c r="AU96" s="125"/>
      <c r="AV96" s="125"/>
      <c r="AW96" s="125"/>
      <c r="AX96" s="125"/>
      <c r="AY96" s="125"/>
      <c r="AZ96" s="125"/>
      <c r="BA96" s="125"/>
      <c r="BB96" s="125"/>
      <c r="BC96" s="125"/>
      <c r="BD96" s="125"/>
      <c r="BE96" s="125"/>
      <c r="BF96" s="125"/>
      <c r="BG96" s="125"/>
      <c r="BH96" s="125"/>
      <c r="BI96" s="125"/>
      <c r="BJ96" s="125"/>
      <c r="BK96" s="125"/>
      <c r="BL96" s="125"/>
      <c r="BM96" s="125"/>
      <c r="BN96" s="125"/>
      <c r="BO96" s="125"/>
      <c r="BP96" s="125"/>
      <c r="BQ96" s="125"/>
      <c r="BR96" s="125"/>
      <c r="BS96" s="125"/>
      <c r="BT96" s="125"/>
      <c r="BU96" s="125"/>
      <c r="BV96" s="125"/>
      <c r="BW96" s="125"/>
      <c r="BX96" s="125"/>
      <c r="BY96" s="125"/>
      <c r="BZ96" s="125"/>
      <c r="CA96" s="125"/>
      <c r="CB96" s="125"/>
      <c r="CC96" s="125"/>
      <c r="CD96" s="125"/>
      <c r="CE96" s="125"/>
      <c r="CF96" s="125"/>
      <c r="CG96" s="125"/>
      <c r="CH96" s="125"/>
      <c r="CI96" s="125"/>
      <c r="CJ96" s="125"/>
      <c r="CK96" s="125"/>
      <c r="CL96" s="125"/>
      <c r="CM96" s="125"/>
      <c r="CN96" s="125"/>
      <c r="CO96" s="125"/>
      <c r="CP96" s="125"/>
      <c r="CQ96" s="125"/>
      <c r="CR96" s="125"/>
      <c r="CS96" s="125"/>
      <c r="CT96" s="125"/>
      <c r="CU96" s="125"/>
      <c r="CV96" s="125"/>
      <c r="CW96" s="125"/>
      <c r="CX96" s="125"/>
      <c r="CY96" s="125"/>
      <c r="CZ96" s="125"/>
      <c r="DA96" s="125"/>
      <c r="DB96" s="125"/>
      <c r="DC96" s="125"/>
      <c r="DD96" s="125"/>
      <c r="DE96" s="125"/>
      <c r="DF96" s="125"/>
      <c r="DG96" s="125"/>
      <c r="DH96" s="125"/>
      <c r="DI96" s="125"/>
      <c r="DJ96" s="125"/>
      <c r="DK96" s="125"/>
      <c r="DL96" s="125"/>
      <c r="DM96" s="125"/>
      <c r="DN96" s="125"/>
      <c r="DO96" s="125"/>
      <c r="DP96" s="125"/>
      <c r="DQ96" s="125"/>
      <c r="DR96" s="125"/>
      <c r="DS96" s="125"/>
      <c r="DT96" s="125"/>
      <c r="DU96" s="125"/>
      <c r="DV96" s="125"/>
      <c r="DW96" s="125"/>
      <c r="DX96" s="125"/>
      <c r="DY96" s="125"/>
      <c r="DZ96" s="125"/>
      <c r="EA96" s="125"/>
      <c r="EB96" s="125"/>
      <c r="EC96" s="125"/>
      <c r="ED96" s="125"/>
      <c r="EE96" s="125"/>
      <c r="EF96" s="125"/>
      <c r="EG96" s="125"/>
      <c r="EH96" s="125"/>
      <c r="EI96" s="125"/>
      <c r="EJ96" s="125"/>
      <c r="EK96" s="125"/>
      <c r="EL96" s="125"/>
      <c r="EM96" s="125"/>
      <c r="EN96" s="125"/>
      <c r="EO96" s="125"/>
      <c r="EP96" s="125"/>
      <c r="EQ96" s="125"/>
      <c r="ER96" s="125"/>
      <c r="ES96" s="125"/>
      <c r="ET96" s="125"/>
      <c r="EU96" s="125"/>
      <c r="EV96" s="125"/>
      <c r="EW96" s="125"/>
      <c r="EX96" s="125"/>
      <c r="EY96" s="125"/>
      <c r="EZ96" s="125"/>
      <c r="FA96" s="125"/>
      <c r="FB96" s="125"/>
      <c r="FC96" s="125"/>
      <c r="FD96" s="125"/>
      <c r="FE96" s="125"/>
      <c r="FF96" s="125"/>
      <c r="FG96" s="125"/>
      <c r="FH96" s="125"/>
      <c r="FI96" s="125"/>
      <c r="FJ96" s="125"/>
      <c r="FK96" s="125"/>
      <c r="FL96" s="125"/>
      <c r="FM96" s="125"/>
      <c r="FN96" s="125"/>
      <c r="FO96" s="125"/>
      <c r="FP96" s="125"/>
      <c r="FQ96" s="125"/>
      <c r="FR96" s="125"/>
      <c r="FS96" s="125"/>
      <c r="FT96" s="125"/>
      <c r="FU96" s="125"/>
      <c r="FV96" s="125"/>
      <c r="FW96" s="125"/>
      <c r="FX96" s="125"/>
      <c r="FY96" s="125"/>
      <c r="FZ96" s="125"/>
      <c r="GA96" s="125"/>
      <c r="GB96" s="125"/>
      <c r="GC96" s="125"/>
      <c r="GD96" s="125"/>
      <c r="GE96" s="125"/>
      <c r="GF96" s="125"/>
    </row>
    <row r="97" spans="1:188" s="3" customFormat="1">
      <c r="A97" s="16">
        <v>14</v>
      </c>
      <c r="B97" s="83">
        <v>43108</v>
      </c>
      <c r="C97" s="18"/>
      <c r="D97" s="19" t="s">
        <v>1068</v>
      </c>
      <c r="E97" s="20" t="s">
        <v>190</v>
      </c>
      <c r="F97" s="120" t="s">
        <v>1075</v>
      </c>
      <c r="G97" s="58">
        <v>1707</v>
      </c>
      <c r="H97" s="121">
        <f>20000+1023000</f>
        <v>1043000</v>
      </c>
      <c r="I97" s="24"/>
      <c r="J97" s="122">
        <f>H97/1.05</f>
        <v>993333.33333333326</v>
      </c>
      <c r="K97" s="24">
        <f t="shared" si="8"/>
        <v>993333.33333333326</v>
      </c>
      <c r="L97" s="123"/>
      <c r="M97" s="24">
        <f t="shared" si="9"/>
        <v>0</v>
      </c>
      <c r="N97" s="124">
        <f t="shared" si="10"/>
        <v>993333.33333333326</v>
      </c>
      <c r="O97" s="107"/>
    </row>
    <row r="98" spans="1:188" s="3" customFormat="1">
      <c r="A98" s="16">
        <v>15</v>
      </c>
      <c r="B98" s="56">
        <v>43073</v>
      </c>
      <c r="C98" s="18"/>
      <c r="D98" s="19" t="s">
        <v>1068</v>
      </c>
      <c r="E98" s="20" t="s">
        <v>190</v>
      </c>
      <c r="F98" s="82" t="s">
        <v>191</v>
      </c>
      <c r="G98" s="58">
        <v>1708</v>
      </c>
      <c r="H98" s="121">
        <f>40000+1023000</f>
        <v>1063000</v>
      </c>
      <c r="I98" s="24">
        <v>1012381</v>
      </c>
      <c r="J98" s="122"/>
      <c r="K98" s="24">
        <f t="shared" si="8"/>
        <v>1012381</v>
      </c>
      <c r="L98" s="123"/>
      <c r="M98" s="24">
        <f t="shared" si="9"/>
        <v>0</v>
      </c>
      <c r="N98" s="27">
        <f t="shared" si="10"/>
        <v>1012381</v>
      </c>
      <c r="O98" s="107"/>
      <c r="P98" s="125"/>
      <c r="Q98" s="125"/>
      <c r="R98" s="125"/>
      <c r="S98" s="125"/>
      <c r="T98" s="125"/>
      <c r="U98" s="125"/>
      <c r="V98" s="125"/>
      <c r="W98" s="125"/>
      <c r="X98" s="125"/>
      <c r="Y98" s="125"/>
      <c r="Z98" s="125"/>
      <c r="AA98" s="125"/>
      <c r="AB98" s="125"/>
      <c r="AC98" s="125"/>
      <c r="AD98" s="125"/>
      <c r="AE98" s="125"/>
      <c r="AF98" s="125"/>
      <c r="AG98" s="125"/>
      <c r="AH98" s="125"/>
      <c r="AI98" s="125"/>
      <c r="AJ98" s="125"/>
      <c r="AK98" s="125"/>
      <c r="AL98" s="125"/>
      <c r="AM98" s="125"/>
      <c r="AN98" s="125"/>
      <c r="AO98" s="125"/>
      <c r="AP98" s="125"/>
      <c r="AQ98" s="125"/>
      <c r="AR98" s="125"/>
      <c r="AS98" s="125"/>
      <c r="AT98" s="125"/>
      <c r="AU98" s="125"/>
      <c r="AV98" s="125"/>
      <c r="AW98" s="125"/>
      <c r="AX98" s="125"/>
      <c r="AY98" s="125"/>
      <c r="AZ98" s="125"/>
      <c r="BA98" s="125"/>
      <c r="BB98" s="125"/>
      <c r="BC98" s="125"/>
      <c r="BD98" s="125"/>
      <c r="BE98" s="125"/>
      <c r="BF98" s="125"/>
      <c r="BG98" s="125"/>
      <c r="BH98" s="125"/>
      <c r="BI98" s="125"/>
      <c r="BJ98" s="125"/>
      <c r="BK98" s="125"/>
      <c r="BL98" s="125"/>
      <c r="BM98" s="125"/>
      <c r="BN98" s="125"/>
      <c r="BO98" s="125"/>
      <c r="BP98" s="125"/>
      <c r="BQ98" s="125"/>
      <c r="BR98" s="125"/>
      <c r="BS98" s="125"/>
      <c r="BT98" s="125"/>
      <c r="BU98" s="125"/>
      <c r="BV98" s="125"/>
      <c r="BW98" s="125"/>
      <c r="BX98" s="125"/>
      <c r="BY98" s="125"/>
      <c r="BZ98" s="125"/>
      <c r="CA98" s="125"/>
      <c r="CB98" s="125"/>
      <c r="CC98" s="125"/>
      <c r="CD98" s="125"/>
      <c r="CE98" s="125"/>
      <c r="CF98" s="125"/>
      <c r="CG98" s="125"/>
      <c r="CH98" s="125"/>
      <c r="CI98" s="125"/>
      <c r="CJ98" s="125"/>
      <c r="CK98" s="125"/>
      <c r="CL98" s="125"/>
      <c r="CM98" s="125"/>
      <c r="CN98" s="125"/>
      <c r="CO98" s="125"/>
      <c r="CP98" s="125"/>
      <c r="CQ98" s="125"/>
      <c r="CR98" s="125"/>
      <c r="CS98" s="125"/>
      <c r="CT98" s="125"/>
      <c r="CU98" s="125"/>
      <c r="CV98" s="125"/>
      <c r="CW98" s="125"/>
      <c r="CX98" s="125"/>
      <c r="CY98" s="125"/>
      <c r="CZ98" s="125"/>
      <c r="DA98" s="125"/>
      <c r="DB98" s="125"/>
      <c r="DC98" s="125"/>
      <c r="DD98" s="125"/>
      <c r="DE98" s="125"/>
      <c r="DF98" s="125"/>
      <c r="DG98" s="125"/>
      <c r="DH98" s="125"/>
      <c r="DI98" s="125"/>
      <c r="DJ98" s="125"/>
      <c r="DK98" s="125"/>
      <c r="DL98" s="125"/>
      <c r="DM98" s="125"/>
      <c r="DN98" s="125"/>
      <c r="DO98" s="125"/>
      <c r="DP98" s="125"/>
      <c r="DQ98" s="125"/>
      <c r="DR98" s="125"/>
      <c r="DS98" s="125"/>
      <c r="DT98" s="125"/>
      <c r="DU98" s="125"/>
      <c r="DV98" s="125"/>
      <c r="DW98" s="125"/>
      <c r="DX98" s="125"/>
      <c r="DY98" s="125"/>
      <c r="DZ98" s="125"/>
      <c r="EA98" s="125"/>
      <c r="EB98" s="125"/>
      <c r="EC98" s="125"/>
      <c r="ED98" s="125"/>
      <c r="EE98" s="125"/>
      <c r="EF98" s="125"/>
      <c r="EG98" s="125"/>
      <c r="EH98" s="125"/>
      <c r="EI98" s="125"/>
      <c r="EJ98" s="125"/>
      <c r="EK98" s="125"/>
      <c r="EL98" s="125"/>
      <c r="EM98" s="125"/>
      <c r="EN98" s="125"/>
      <c r="EO98" s="125"/>
      <c r="EP98" s="125"/>
      <c r="EQ98" s="125"/>
      <c r="ER98" s="125"/>
      <c r="ES98" s="125"/>
      <c r="ET98" s="125"/>
      <c r="EU98" s="125"/>
      <c r="EV98" s="125"/>
      <c r="EW98" s="125"/>
      <c r="EX98" s="125"/>
      <c r="EY98" s="125"/>
      <c r="EZ98" s="125"/>
      <c r="FA98" s="125"/>
      <c r="FB98" s="125"/>
      <c r="FC98" s="125"/>
      <c r="FD98" s="125"/>
      <c r="FE98" s="125"/>
      <c r="FF98" s="125"/>
      <c r="FG98" s="125"/>
      <c r="FH98" s="125"/>
      <c r="FI98" s="125"/>
      <c r="FJ98" s="125"/>
      <c r="FK98" s="125"/>
      <c r="FL98" s="125"/>
      <c r="FM98" s="125"/>
      <c r="FN98" s="125"/>
      <c r="FO98" s="125"/>
      <c r="FP98" s="125"/>
      <c r="FQ98" s="125"/>
      <c r="FR98" s="125"/>
      <c r="FS98" s="125"/>
      <c r="FT98" s="125"/>
      <c r="FU98" s="125"/>
      <c r="FV98" s="125"/>
      <c r="FW98" s="125"/>
      <c r="FX98" s="125"/>
      <c r="FY98" s="125"/>
      <c r="FZ98" s="125"/>
      <c r="GA98" s="125"/>
      <c r="GB98" s="125"/>
      <c r="GC98" s="125"/>
      <c r="GD98" s="125"/>
      <c r="GE98" s="125"/>
      <c r="GF98" s="125"/>
    </row>
    <row r="99" spans="1:188" s="3" customFormat="1">
      <c r="A99" s="16">
        <v>16</v>
      </c>
      <c r="B99" s="60">
        <v>43045</v>
      </c>
      <c r="C99" s="18"/>
      <c r="D99" s="19" t="s">
        <v>1068</v>
      </c>
      <c r="E99" s="20" t="s">
        <v>193</v>
      </c>
      <c r="F99" s="120" t="s">
        <v>198</v>
      </c>
      <c r="G99" s="58">
        <v>1707</v>
      </c>
      <c r="H99" s="121">
        <f>166200+1488000</f>
        <v>1654200</v>
      </c>
      <c r="I99" s="24">
        <v>1575429</v>
      </c>
      <c r="J99" s="122"/>
      <c r="K99" s="24">
        <f t="shared" si="8"/>
        <v>1575429</v>
      </c>
      <c r="L99" s="123"/>
      <c r="M99" s="24">
        <f t="shared" si="9"/>
        <v>0</v>
      </c>
      <c r="N99" s="124">
        <f t="shared" si="10"/>
        <v>1575429</v>
      </c>
      <c r="O99" s="107"/>
      <c r="P99" s="125"/>
      <c r="Q99" s="125"/>
      <c r="R99" s="125"/>
      <c r="S99" s="125"/>
      <c r="T99" s="125"/>
      <c r="U99" s="125"/>
      <c r="V99" s="125"/>
      <c r="W99" s="125"/>
      <c r="X99" s="125"/>
      <c r="Y99" s="125"/>
      <c r="Z99" s="125"/>
      <c r="AA99" s="125"/>
      <c r="AB99" s="125"/>
      <c r="AC99" s="125"/>
      <c r="AD99" s="125"/>
      <c r="AE99" s="125"/>
      <c r="AF99" s="125"/>
      <c r="AG99" s="125"/>
      <c r="AH99" s="125"/>
      <c r="AI99" s="125"/>
      <c r="AJ99" s="125"/>
      <c r="AK99" s="125"/>
      <c r="AL99" s="125"/>
      <c r="AM99" s="125"/>
      <c r="AN99" s="125"/>
      <c r="AO99" s="125"/>
      <c r="AP99" s="125"/>
      <c r="AQ99" s="125"/>
      <c r="AR99" s="125"/>
      <c r="AS99" s="125"/>
      <c r="AT99" s="125"/>
      <c r="AU99" s="125"/>
      <c r="AV99" s="125"/>
      <c r="AW99" s="125"/>
      <c r="AX99" s="125"/>
      <c r="AY99" s="125"/>
      <c r="AZ99" s="125"/>
      <c r="BA99" s="125"/>
      <c r="BB99" s="125"/>
      <c r="BC99" s="125"/>
      <c r="BD99" s="125"/>
      <c r="BE99" s="125"/>
      <c r="BF99" s="125"/>
      <c r="BG99" s="125"/>
      <c r="BH99" s="125"/>
      <c r="BI99" s="125"/>
      <c r="BJ99" s="125"/>
      <c r="BK99" s="125"/>
      <c r="BL99" s="125"/>
      <c r="BM99" s="125"/>
      <c r="BN99" s="125"/>
      <c r="BO99" s="125"/>
      <c r="BP99" s="125"/>
      <c r="BQ99" s="125"/>
      <c r="BR99" s="125"/>
      <c r="BS99" s="125"/>
      <c r="BT99" s="125"/>
      <c r="BU99" s="125"/>
      <c r="BV99" s="125"/>
      <c r="BW99" s="125"/>
      <c r="BX99" s="125"/>
      <c r="BY99" s="125"/>
      <c r="BZ99" s="125"/>
      <c r="CA99" s="125"/>
      <c r="CB99" s="125"/>
      <c r="CC99" s="125"/>
      <c r="CD99" s="125"/>
      <c r="CE99" s="125"/>
      <c r="CF99" s="125"/>
      <c r="CG99" s="125"/>
      <c r="CH99" s="125"/>
      <c r="CI99" s="125"/>
      <c r="CJ99" s="125"/>
      <c r="CK99" s="125"/>
      <c r="CL99" s="125"/>
      <c r="CM99" s="125"/>
      <c r="CN99" s="125"/>
      <c r="CO99" s="125"/>
      <c r="CP99" s="125"/>
      <c r="CQ99" s="125"/>
      <c r="CR99" s="125"/>
      <c r="CS99" s="125"/>
      <c r="CT99" s="125"/>
      <c r="CU99" s="125"/>
      <c r="CV99" s="125"/>
      <c r="CW99" s="125"/>
      <c r="CX99" s="125"/>
      <c r="CY99" s="125"/>
      <c r="CZ99" s="125"/>
      <c r="DA99" s="125"/>
      <c r="DB99" s="125"/>
      <c r="DC99" s="125"/>
      <c r="DD99" s="125"/>
      <c r="DE99" s="125"/>
      <c r="DF99" s="125"/>
      <c r="DG99" s="125"/>
      <c r="DH99" s="125"/>
      <c r="DI99" s="125"/>
      <c r="DJ99" s="125"/>
      <c r="DK99" s="125"/>
      <c r="DL99" s="125"/>
      <c r="DM99" s="125"/>
      <c r="DN99" s="125"/>
      <c r="DO99" s="125"/>
      <c r="DP99" s="125"/>
      <c r="DQ99" s="125"/>
      <c r="DR99" s="125"/>
      <c r="DS99" s="125"/>
      <c r="DT99" s="125"/>
      <c r="DU99" s="125"/>
      <c r="DV99" s="125"/>
      <c r="DW99" s="125"/>
      <c r="DX99" s="125"/>
      <c r="DY99" s="125"/>
      <c r="DZ99" s="125"/>
      <c r="EA99" s="125"/>
      <c r="EB99" s="125"/>
      <c r="EC99" s="125"/>
      <c r="ED99" s="125"/>
      <c r="EE99" s="125"/>
      <c r="EF99" s="125"/>
      <c r="EG99" s="125"/>
      <c r="EH99" s="125"/>
      <c r="EI99" s="125"/>
      <c r="EJ99" s="125"/>
      <c r="EK99" s="125"/>
      <c r="EL99" s="125"/>
      <c r="EM99" s="125"/>
      <c r="EN99" s="125"/>
      <c r="EO99" s="125"/>
      <c r="EP99" s="125"/>
      <c r="EQ99" s="125"/>
      <c r="ER99" s="125"/>
      <c r="ES99" s="125"/>
      <c r="ET99" s="125"/>
      <c r="EU99" s="125"/>
      <c r="EV99" s="125"/>
      <c r="EW99" s="125"/>
      <c r="EX99" s="125"/>
      <c r="EY99" s="125"/>
      <c r="EZ99" s="125"/>
      <c r="FA99" s="125"/>
      <c r="FB99" s="125"/>
      <c r="FC99" s="125"/>
      <c r="FD99" s="125"/>
      <c r="FE99" s="125"/>
      <c r="FF99" s="125"/>
      <c r="FG99" s="125"/>
      <c r="FH99" s="125"/>
      <c r="FI99" s="125"/>
      <c r="FJ99" s="125"/>
      <c r="FK99" s="125"/>
      <c r="FL99" s="125"/>
      <c r="FM99" s="125"/>
      <c r="FN99" s="125"/>
      <c r="FO99" s="125"/>
      <c r="FP99" s="125"/>
      <c r="FQ99" s="125"/>
      <c r="FR99" s="125"/>
      <c r="FS99" s="125"/>
      <c r="FT99" s="125"/>
      <c r="FU99" s="125"/>
      <c r="FV99" s="125"/>
      <c r="FW99" s="125"/>
      <c r="FX99" s="125"/>
      <c r="FY99" s="125"/>
      <c r="FZ99" s="125"/>
      <c r="GA99" s="125"/>
      <c r="GB99" s="125"/>
      <c r="GC99" s="125"/>
      <c r="GD99" s="125"/>
      <c r="GE99" s="125"/>
      <c r="GF99" s="125"/>
    </row>
    <row r="100" spans="1:188" s="3" customFormat="1">
      <c r="A100" s="16">
        <v>17</v>
      </c>
      <c r="B100" s="56">
        <v>43123</v>
      </c>
      <c r="C100" s="18"/>
      <c r="D100" s="19" t="s">
        <v>1068</v>
      </c>
      <c r="E100" s="20" t="s">
        <v>193</v>
      </c>
      <c r="F100" s="62" t="s">
        <v>1076</v>
      </c>
      <c r="G100" s="63">
        <v>1707</v>
      </c>
      <c r="H100" s="121">
        <f>30000+1488000</f>
        <v>1518000</v>
      </c>
      <c r="I100" s="24"/>
      <c r="J100" s="122">
        <f>H100/1.05</f>
        <v>1445714.2857142857</v>
      </c>
      <c r="K100" s="24">
        <f t="shared" si="8"/>
        <v>1445714.2857142857</v>
      </c>
      <c r="L100" s="123"/>
      <c r="M100" s="24">
        <f t="shared" si="9"/>
        <v>0</v>
      </c>
      <c r="N100" s="124">
        <f t="shared" si="10"/>
        <v>1445714.2857142857</v>
      </c>
      <c r="O100" s="107"/>
    </row>
    <row r="101" spans="1:188" s="3" customFormat="1">
      <c r="A101" s="16">
        <v>18</v>
      </c>
      <c r="B101" s="60">
        <v>43104</v>
      </c>
      <c r="C101" s="18"/>
      <c r="D101" s="19" t="s">
        <v>1068</v>
      </c>
      <c r="E101" s="20" t="s">
        <v>193</v>
      </c>
      <c r="F101" s="120" t="s">
        <v>1077</v>
      </c>
      <c r="G101" s="58">
        <v>1709</v>
      </c>
      <c r="H101" s="121">
        <f>60000+1488000</f>
        <v>1548000</v>
      </c>
      <c r="I101" s="24"/>
      <c r="J101" s="122">
        <v>1474285</v>
      </c>
      <c r="K101" s="24">
        <f t="shared" si="8"/>
        <v>1474285</v>
      </c>
      <c r="L101" s="123"/>
      <c r="M101" s="24">
        <f t="shared" si="9"/>
        <v>0</v>
      </c>
      <c r="N101" s="124">
        <f t="shared" si="10"/>
        <v>1474285</v>
      </c>
      <c r="O101" s="107"/>
    </row>
    <row r="102" spans="1:188" s="3" customFormat="1">
      <c r="A102" s="16">
        <v>19</v>
      </c>
      <c r="B102" s="60">
        <v>43123</v>
      </c>
      <c r="C102" s="18"/>
      <c r="D102" s="19" t="s">
        <v>1068</v>
      </c>
      <c r="E102" s="20" t="s">
        <v>193</v>
      </c>
      <c r="F102" s="120" t="s">
        <v>1078</v>
      </c>
      <c r="G102" s="58">
        <v>1711</v>
      </c>
      <c r="H102" s="121">
        <f>60000+1488000</f>
        <v>1548000</v>
      </c>
      <c r="I102" s="24"/>
      <c r="J102" s="122">
        <v>1474285</v>
      </c>
      <c r="K102" s="24">
        <f t="shared" si="8"/>
        <v>1474285</v>
      </c>
      <c r="L102" s="123"/>
      <c r="M102" s="24">
        <f t="shared" si="9"/>
        <v>0</v>
      </c>
      <c r="N102" s="124">
        <f t="shared" si="10"/>
        <v>1474285</v>
      </c>
      <c r="O102" s="107"/>
      <c r="P102" s="125"/>
      <c r="Q102" s="125"/>
      <c r="R102" s="125"/>
      <c r="S102" s="125"/>
      <c r="T102" s="125"/>
      <c r="U102" s="125"/>
      <c r="V102" s="125"/>
      <c r="W102" s="125"/>
      <c r="X102" s="125"/>
      <c r="Y102" s="125"/>
      <c r="Z102" s="125"/>
      <c r="AA102" s="125"/>
      <c r="AB102" s="125"/>
      <c r="AC102" s="125"/>
      <c r="AD102" s="125"/>
      <c r="AE102" s="125"/>
      <c r="AF102" s="125"/>
      <c r="AG102" s="125"/>
      <c r="AH102" s="125"/>
      <c r="AI102" s="125"/>
      <c r="AJ102" s="125"/>
      <c r="AK102" s="125"/>
      <c r="AL102" s="125"/>
      <c r="AM102" s="125"/>
      <c r="AN102" s="125"/>
      <c r="AO102" s="125"/>
      <c r="AP102" s="125"/>
      <c r="AQ102" s="125"/>
      <c r="AR102" s="125"/>
      <c r="AS102" s="125"/>
      <c r="AT102" s="125"/>
      <c r="AU102" s="125"/>
      <c r="AV102" s="125"/>
      <c r="AW102" s="125"/>
      <c r="AX102" s="125"/>
      <c r="AY102" s="125"/>
      <c r="AZ102" s="125"/>
      <c r="BA102" s="125"/>
      <c r="BB102" s="125"/>
      <c r="BC102" s="125"/>
      <c r="BD102" s="125"/>
      <c r="BE102" s="125"/>
      <c r="BF102" s="125"/>
      <c r="BG102" s="125"/>
      <c r="BH102" s="125"/>
      <c r="BI102" s="125"/>
      <c r="BJ102" s="125"/>
      <c r="BK102" s="125"/>
      <c r="BL102" s="125"/>
      <c r="BM102" s="125"/>
      <c r="BN102" s="125"/>
      <c r="BO102" s="125"/>
      <c r="BP102" s="125"/>
      <c r="BQ102" s="125"/>
      <c r="BR102" s="125"/>
      <c r="BS102" s="125"/>
      <c r="BT102" s="125"/>
      <c r="BU102" s="125"/>
      <c r="BV102" s="125"/>
      <c r="BW102" s="125"/>
      <c r="BX102" s="125"/>
      <c r="BY102" s="125"/>
      <c r="BZ102" s="125"/>
      <c r="CA102" s="125"/>
      <c r="CB102" s="125"/>
      <c r="CC102" s="125"/>
      <c r="CD102" s="125"/>
      <c r="CE102" s="125"/>
      <c r="CF102" s="125"/>
      <c r="CG102" s="125"/>
      <c r="CH102" s="125"/>
      <c r="CI102" s="125"/>
      <c r="CJ102" s="125"/>
      <c r="CK102" s="125"/>
      <c r="CL102" s="125"/>
      <c r="CM102" s="125"/>
      <c r="CN102" s="125"/>
      <c r="CO102" s="125"/>
      <c r="CP102" s="125"/>
      <c r="CQ102" s="125"/>
      <c r="CR102" s="125"/>
      <c r="CS102" s="125"/>
      <c r="CT102" s="125"/>
      <c r="CU102" s="125"/>
      <c r="CV102" s="125"/>
      <c r="CW102" s="125"/>
      <c r="CX102" s="125"/>
      <c r="CY102" s="125"/>
      <c r="CZ102" s="125"/>
      <c r="DA102" s="125"/>
      <c r="DB102" s="125"/>
      <c r="DC102" s="125"/>
      <c r="DD102" s="125"/>
      <c r="DE102" s="125"/>
      <c r="DF102" s="125"/>
      <c r="DG102" s="125"/>
      <c r="DH102" s="125"/>
      <c r="DI102" s="125"/>
      <c r="DJ102" s="125"/>
      <c r="DK102" s="125"/>
      <c r="DL102" s="125"/>
      <c r="DM102" s="125"/>
      <c r="DN102" s="125"/>
      <c r="DO102" s="125"/>
      <c r="DP102" s="125"/>
      <c r="DQ102" s="125"/>
      <c r="DR102" s="125"/>
      <c r="DS102" s="125"/>
      <c r="DT102" s="125"/>
      <c r="DU102" s="125"/>
      <c r="DV102" s="125"/>
      <c r="DW102" s="125"/>
      <c r="DX102" s="125"/>
      <c r="DY102" s="125"/>
      <c r="DZ102" s="125"/>
      <c r="EA102" s="125"/>
      <c r="EB102" s="125"/>
      <c r="EC102" s="125"/>
      <c r="ED102" s="125"/>
      <c r="EE102" s="125"/>
      <c r="EF102" s="125"/>
      <c r="EG102" s="125"/>
      <c r="EH102" s="125"/>
      <c r="EI102" s="125"/>
      <c r="EJ102" s="125"/>
      <c r="EK102" s="125"/>
      <c r="EL102" s="125"/>
      <c r="EM102" s="125"/>
      <c r="EN102" s="125"/>
      <c r="EO102" s="125"/>
      <c r="EP102" s="125"/>
      <c r="EQ102" s="125"/>
      <c r="ER102" s="125"/>
      <c r="ES102" s="125"/>
      <c r="ET102" s="125"/>
      <c r="EU102" s="125"/>
      <c r="EV102" s="125"/>
      <c r="EW102" s="125"/>
      <c r="EX102" s="125"/>
      <c r="EY102" s="125"/>
      <c r="EZ102" s="125"/>
      <c r="FA102" s="125"/>
      <c r="FB102" s="125"/>
      <c r="FC102" s="125"/>
      <c r="FD102" s="125"/>
      <c r="FE102" s="125"/>
      <c r="FF102" s="125"/>
      <c r="FG102" s="125"/>
      <c r="FH102" s="125"/>
      <c r="FI102" s="125"/>
      <c r="FJ102" s="125"/>
      <c r="FK102" s="125"/>
      <c r="FL102" s="125"/>
      <c r="FM102" s="125"/>
      <c r="FN102" s="125"/>
      <c r="FO102" s="125"/>
      <c r="FP102" s="125"/>
      <c r="FQ102" s="125"/>
      <c r="FR102" s="125"/>
      <c r="FS102" s="125"/>
      <c r="FT102" s="125"/>
      <c r="FU102" s="125"/>
      <c r="FV102" s="125"/>
      <c r="FW102" s="125"/>
      <c r="FX102" s="125"/>
      <c r="FY102" s="125"/>
      <c r="FZ102" s="125"/>
      <c r="GA102" s="125"/>
      <c r="GB102" s="125"/>
      <c r="GC102" s="125"/>
      <c r="GD102" s="125"/>
      <c r="GE102" s="125"/>
      <c r="GF102" s="125"/>
    </row>
    <row r="103" spans="1:188" s="3" customFormat="1">
      <c r="A103" s="16">
        <v>20</v>
      </c>
      <c r="B103" s="60">
        <v>43110</v>
      </c>
      <c r="C103" s="18"/>
      <c r="D103" s="19" t="s">
        <v>1068</v>
      </c>
      <c r="E103" s="20" t="s">
        <v>193</v>
      </c>
      <c r="F103" s="120" t="s">
        <v>1079</v>
      </c>
      <c r="G103" s="58">
        <v>1711</v>
      </c>
      <c r="H103" s="121">
        <f>70000+1488000</f>
        <v>1558000</v>
      </c>
      <c r="I103" s="24"/>
      <c r="J103" s="122">
        <v>1483809</v>
      </c>
      <c r="K103" s="24">
        <f t="shared" si="8"/>
        <v>1483809</v>
      </c>
      <c r="L103" s="123"/>
      <c r="M103" s="24">
        <f t="shared" si="9"/>
        <v>0</v>
      </c>
      <c r="N103" s="124">
        <f t="shared" si="10"/>
        <v>1483809</v>
      </c>
      <c r="O103" s="107"/>
    </row>
    <row r="104" spans="1:188" s="3" customFormat="1">
      <c r="A104" s="16">
        <v>21</v>
      </c>
      <c r="B104" s="56">
        <v>43108</v>
      </c>
      <c r="C104" s="18"/>
      <c r="D104" s="19" t="s">
        <v>1068</v>
      </c>
      <c r="E104" s="20" t="s">
        <v>193</v>
      </c>
      <c r="F104" s="62" t="s">
        <v>1080</v>
      </c>
      <c r="G104" s="63">
        <v>1711</v>
      </c>
      <c r="H104" s="121">
        <f>60000+1488000</f>
        <v>1548000</v>
      </c>
      <c r="I104" s="24"/>
      <c r="J104" s="122">
        <v>1474285</v>
      </c>
      <c r="K104" s="24">
        <f t="shared" si="8"/>
        <v>1474285</v>
      </c>
      <c r="L104" s="123"/>
      <c r="M104" s="24">
        <f t="shared" si="9"/>
        <v>0</v>
      </c>
      <c r="N104" s="124">
        <f t="shared" si="10"/>
        <v>1474285</v>
      </c>
      <c r="O104" s="107"/>
    </row>
    <row r="105" spans="1:188" s="3" customFormat="1">
      <c r="A105" s="16">
        <v>22</v>
      </c>
      <c r="B105" s="60">
        <v>43052</v>
      </c>
      <c r="C105" s="18"/>
      <c r="D105" s="19" t="s">
        <v>1081</v>
      </c>
      <c r="E105" s="20" t="s">
        <v>203</v>
      </c>
      <c r="F105" s="62" t="s">
        <v>204</v>
      </c>
      <c r="G105" s="63">
        <v>1708</v>
      </c>
      <c r="H105" s="121">
        <f>14400+1962300</f>
        <v>1976700</v>
      </c>
      <c r="I105" s="24">
        <v>1882571</v>
      </c>
      <c r="J105" s="122"/>
      <c r="K105" s="24">
        <f t="shared" si="8"/>
        <v>1882571</v>
      </c>
      <c r="L105" s="123"/>
      <c r="M105" s="24">
        <f t="shared" si="9"/>
        <v>0</v>
      </c>
      <c r="N105" s="27">
        <f t="shared" si="10"/>
        <v>1882571</v>
      </c>
      <c r="O105" s="107"/>
      <c r="P105" s="125"/>
      <c r="Q105" s="125"/>
      <c r="R105" s="125"/>
      <c r="S105" s="125"/>
      <c r="T105" s="125"/>
      <c r="U105" s="125"/>
      <c r="V105" s="125"/>
      <c r="W105" s="125"/>
      <c r="X105" s="125"/>
      <c r="Y105" s="125"/>
      <c r="Z105" s="125"/>
      <c r="AA105" s="125"/>
      <c r="AB105" s="125"/>
      <c r="AC105" s="125"/>
      <c r="AD105" s="125"/>
      <c r="AE105" s="125"/>
      <c r="AF105" s="125"/>
      <c r="AG105" s="125"/>
      <c r="AH105" s="125"/>
      <c r="AI105" s="125"/>
      <c r="AJ105" s="125"/>
      <c r="AK105" s="125"/>
      <c r="AL105" s="125"/>
      <c r="AM105" s="125"/>
      <c r="AN105" s="125"/>
      <c r="AO105" s="125"/>
      <c r="AP105" s="125"/>
      <c r="AQ105" s="125"/>
      <c r="AR105" s="125"/>
      <c r="AS105" s="125"/>
      <c r="AT105" s="125"/>
      <c r="AU105" s="125"/>
      <c r="AV105" s="125"/>
      <c r="AW105" s="125"/>
      <c r="AX105" s="125"/>
      <c r="AY105" s="125"/>
      <c r="AZ105" s="125"/>
      <c r="BA105" s="125"/>
      <c r="BB105" s="125"/>
      <c r="BC105" s="125"/>
      <c r="BD105" s="125"/>
      <c r="BE105" s="125"/>
      <c r="BF105" s="125"/>
      <c r="BG105" s="125"/>
      <c r="BH105" s="125"/>
      <c r="BI105" s="125"/>
      <c r="BJ105" s="125"/>
      <c r="BK105" s="125"/>
      <c r="BL105" s="125"/>
      <c r="BM105" s="125"/>
      <c r="BN105" s="125"/>
      <c r="BO105" s="125"/>
      <c r="BP105" s="125"/>
      <c r="BQ105" s="125"/>
      <c r="BR105" s="125"/>
      <c r="BS105" s="125"/>
      <c r="BT105" s="125"/>
      <c r="BU105" s="125"/>
      <c r="BV105" s="125"/>
      <c r="BW105" s="125"/>
      <c r="BX105" s="125"/>
      <c r="BY105" s="125"/>
      <c r="BZ105" s="125"/>
      <c r="CA105" s="125"/>
      <c r="CB105" s="125"/>
      <c r="CC105" s="125"/>
      <c r="CD105" s="125"/>
      <c r="CE105" s="125"/>
      <c r="CF105" s="125"/>
      <c r="CG105" s="125"/>
      <c r="CH105" s="125"/>
      <c r="CI105" s="125"/>
      <c r="CJ105" s="125"/>
      <c r="CK105" s="125"/>
      <c r="CL105" s="125"/>
      <c r="CM105" s="125"/>
      <c r="CN105" s="125"/>
      <c r="CO105" s="125"/>
      <c r="CP105" s="125"/>
      <c r="CQ105" s="125"/>
      <c r="CR105" s="125"/>
      <c r="CS105" s="125"/>
      <c r="CT105" s="125"/>
      <c r="CU105" s="125"/>
      <c r="CV105" s="125"/>
      <c r="CW105" s="125"/>
      <c r="CX105" s="125"/>
      <c r="CY105" s="125"/>
      <c r="CZ105" s="125"/>
      <c r="DA105" s="125"/>
      <c r="DB105" s="125"/>
      <c r="DC105" s="125"/>
      <c r="DD105" s="125"/>
      <c r="DE105" s="125"/>
      <c r="DF105" s="125"/>
      <c r="DG105" s="125"/>
      <c r="DH105" s="125"/>
      <c r="DI105" s="125"/>
      <c r="DJ105" s="125"/>
      <c r="DK105" s="125"/>
      <c r="DL105" s="125"/>
      <c r="DM105" s="125"/>
      <c r="DN105" s="125"/>
      <c r="DO105" s="125"/>
      <c r="DP105" s="125"/>
      <c r="DQ105" s="125"/>
      <c r="DR105" s="125"/>
      <c r="DS105" s="125"/>
      <c r="DT105" s="125"/>
      <c r="DU105" s="125"/>
      <c r="DV105" s="125"/>
      <c r="DW105" s="125"/>
      <c r="DX105" s="125"/>
      <c r="DY105" s="125"/>
      <c r="DZ105" s="125"/>
      <c r="EA105" s="125"/>
      <c r="EB105" s="125"/>
      <c r="EC105" s="125"/>
      <c r="ED105" s="125"/>
      <c r="EE105" s="125"/>
      <c r="EF105" s="125"/>
      <c r="EG105" s="125"/>
      <c r="EH105" s="125"/>
      <c r="EI105" s="125"/>
      <c r="EJ105" s="125"/>
      <c r="EK105" s="125"/>
      <c r="EL105" s="125"/>
      <c r="EM105" s="125"/>
      <c r="EN105" s="125"/>
      <c r="EO105" s="125"/>
      <c r="EP105" s="125"/>
      <c r="EQ105" s="125"/>
      <c r="ER105" s="125"/>
      <c r="ES105" s="125"/>
      <c r="ET105" s="125"/>
      <c r="EU105" s="125"/>
      <c r="EV105" s="125"/>
      <c r="EW105" s="125"/>
      <c r="EX105" s="125"/>
      <c r="EY105" s="125"/>
      <c r="EZ105" s="125"/>
      <c r="FA105" s="125"/>
      <c r="FB105" s="125"/>
      <c r="FC105" s="125"/>
      <c r="FD105" s="125"/>
      <c r="FE105" s="125"/>
      <c r="FF105" s="125"/>
      <c r="FG105" s="125"/>
      <c r="FH105" s="125"/>
      <c r="FI105" s="125"/>
      <c r="FJ105" s="125"/>
      <c r="FK105" s="125"/>
      <c r="FL105" s="125"/>
      <c r="FM105" s="125"/>
      <c r="FN105" s="125"/>
      <c r="FO105" s="125"/>
      <c r="FP105" s="125"/>
      <c r="FQ105" s="125"/>
      <c r="FR105" s="125"/>
      <c r="FS105" s="125"/>
      <c r="FT105" s="125"/>
      <c r="FU105" s="125"/>
      <c r="FV105" s="125"/>
      <c r="FW105" s="125"/>
      <c r="FX105" s="125"/>
      <c r="FY105" s="125"/>
      <c r="FZ105" s="125"/>
      <c r="GA105" s="125"/>
      <c r="GB105" s="125"/>
      <c r="GC105" s="125"/>
      <c r="GD105" s="125"/>
      <c r="GE105" s="125"/>
      <c r="GF105" s="125"/>
    </row>
    <row r="106" spans="1:188" s="3" customFormat="1">
      <c r="A106" s="16">
        <v>23</v>
      </c>
      <c r="B106" s="56">
        <v>43004</v>
      </c>
      <c r="C106" s="18"/>
      <c r="D106" s="19" t="s">
        <v>1081</v>
      </c>
      <c r="E106" s="20" t="s">
        <v>1082</v>
      </c>
      <c r="F106" s="82" t="s">
        <v>207</v>
      </c>
      <c r="G106" s="58">
        <v>1707</v>
      </c>
      <c r="H106" s="121">
        <f>20700+1674000</f>
        <v>1694700</v>
      </c>
      <c r="I106" s="24">
        <v>1614000</v>
      </c>
      <c r="J106" s="122"/>
      <c r="K106" s="24">
        <f t="shared" si="8"/>
        <v>1614000</v>
      </c>
      <c r="L106" s="123"/>
      <c r="M106" s="24">
        <f t="shared" si="9"/>
        <v>0</v>
      </c>
      <c r="N106" s="27">
        <f t="shared" si="10"/>
        <v>1614000</v>
      </c>
      <c r="O106" s="28"/>
    </row>
    <row r="107" spans="1:188" s="3" customFormat="1">
      <c r="A107" s="16">
        <v>24</v>
      </c>
      <c r="B107" s="17">
        <v>43004</v>
      </c>
      <c r="C107" s="18"/>
      <c r="D107" s="19" t="s">
        <v>1081</v>
      </c>
      <c r="E107" s="20" t="s">
        <v>1082</v>
      </c>
      <c r="F107" s="120" t="s">
        <v>208</v>
      </c>
      <c r="G107" s="58">
        <v>1707</v>
      </c>
      <c r="H107" s="121">
        <f>20700+1674000</f>
        <v>1694700</v>
      </c>
      <c r="I107" s="24">
        <v>1614000</v>
      </c>
      <c r="J107" s="122"/>
      <c r="K107" s="24">
        <f t="shared" si="8"/>
        <v>1614000</v>
      </c>
      <c r="L107" s="123"/>
      <c r="M107" s="24">
        <f t="shared" si="9"/>
        <v>0</v>
      </c>
      <c r="N107" s="27">
        <f t="shared" si="10"/>
        <v>1614000</v>
      </c>
      <c r="O107" s="28"/>
    </row>
    <row r="108" spans="1:188" s="3" customFormat="1">
      <c r="A108" s="16">
        <v>25</v>
      </c>
      <c r="B108" s="56">
        <v>43104</v>
      </c>
      <c r="C108" s="18"/>
      <c r="D108" s="19" t="s">
        <v>1081</v>
      </c>
      <c r="E108" s="20" t="s">
        <v>209</v>
      </c>
      <c r="F108" s="82" t="s">
        <v>1083</v>
      </c>
      <c r="G108" s="58">
        <v>1709</v>
      </c>
      <c r="H108" s="121">
        <v>1674000</v>
      </c>
      <c r="I108" s="24"/>
      <c r="J108" s="122">
        <v>1594285</v>
      </c>
      <c r="K108" s="24">
        <f t="shared" si="8"/>
        <v>1594285</v>
      </c>
      <c r="L108" s="123"/>
      <c r="M108" s="24">
        <f t="shared" si="9"/>
        <v>0</v>
      </c>
      <c r="N108" s="124">
        <f t="shared" si="10"/>
        <v>1594285</v>
      </c>
      <c r="O108" s="107"/>
    </row>
    <row r="109" spans="1:188" s="3" customFormat="1">
      <c r="A109" s="16">
        <v>26</v>
      </c>
      <c r="B109" s="60">
        <v>43074</v>
      </c>
      <c r="C109" s="18"/>
      <c r="D109" s="19" t="s">
        <v>1081</v>
      </c>
      <c r="E109" s="20" t="s">
        <v>209</v>
      </c>
      <c r="F109" s="120" t="s">
        <v>212</v>
      </c>
      <c r="G109" s="58">
        <v>1709</v>
      </c>
      <c r="H109" s="121">
        <v>1674000</v>
      </c>
      <c r="I109" s="24">
        <v>1594286</v>
      </c>
      <c r="J109" s="122"/>
      <c r="K109" s="24">
        <f t="shared" si="8"/>
        <v>1594286</v>
      </c>
      <c r="L109" s="123"/>
      <c r="M109" s="24">
        <f t="shared" si="9"/>
        <v>0</v>
      </c>
      <c r="N109" s="27">
        <f t="shared" si="10"/>
        <v>1594286</v>
      </c>
      <c r="O109" s="107"/>
      <c r="P109" s="125"/>
      <c r="Q109" s="125"/>
      <c r="R109" s="125"/>
      <c r="S109" s="125"/>
      <c r="T109" s="125"/>
      <c r="U109" s="125"/>
      <c r="V109" s="125"/>
      <c r="W109" s="125"/>
      <c r="X109" s="125"/>
      <c r="Y109" s="125"/>
      <c r="Z109" s="125"/>
      <c r="AA109" s="125"/>
      <c r="AB109" s="125"/>
      <c r="AC109" s="125"/>
      <c r="AD109" s="125"/>
      <c r="AE109" s="125"/>
      <c r="AF109" s="125"/>
      <c r="AG109" s="125"/>
      <c r="AH109" s="125"/>
      <c r="AI109" s="125"/>
      <c r="AJ109" s="125"/>
      <c r="AK109" s="125"/>
      <c r="AL109" s="125"/>
      <c r="AM109" s="125"/>
      <c r="AN109" s="125"/>
      <c r="AO109" s="125"/>
      <c r="AP109" s="125"/>
      <c r="AQ109" s="125"/>
      <c r="AR109" s="125"/>
      <c r="AS109" s="125"/>
      <c r="AT109" s="125"/>
      <c r="AU109" s="125"/>
      <c r="AV109" s="125"/>
      <c r="AW109" s="125"/>
      <c r="AX109" s="125"/>
      <c r="AY109" s="125"/>
      <c r="AZ109" s="125"/>
      <c r="BA109" s="125"/>
      <c r="BB109" s="125"/>
      <c r="BC109" s="125"/>
      <c r="BD109" s="125"/>
      <c r="BE109" s="125"/>
      <c r="BF109" s="125"/>
      <c r="BG109" s="125"/>
      <c r="BH109" s="125"/>
      <c r="BI109" s="125"/>
      <c r="BJ109" s="125"/>
      <c r="BK109" s="125"/>
      <c r="BL109" s="125"/>
      <c r="BM109" s="125"/>
      <c r="BN109" s="125"/>
      <c r="BO109" s="125"/>
      <c r="BP109" s="125"/>
      <c r="BQ109" s="125"/>
      <c r="BR109" s="125"/>
      <c r="BS109" s="125"/>
      <c r="BT109" s="125"/>
      <c r="BU109" s="125"/>
      <c r="BV109" s="125"/>
      <c r="BW109" s="125"/>
      <c r="BX109" s="125"/>
      <c r="BY109" s="125"/>
      <c r="BZ109" s="125"/>
      <c r="CA109" s="125"/>
      <c r="CB109" s="125"/>
      <c r="CC109" s="125"/>
      <c r="CD109" s="125"/>
      <c r="CE109" s="125"/>
      <c r="CF109" s="125"/>
      <c r="CG109" s="125"/>
      <c r="CH109" s="125"/>
      <c r="CI109" s="125"/>
      <c r="CJ109" s="125"/>
      <c r="CK109" s="125"/>
      <c r="CL109" s="125"/>
      <c r="CM109" s="125"/>
      <c r="CN109" s="125"/>
      <c r="CO109" s="125"/>
      <c r="CP109" s="125"/>
      <c r="CQ109" s="125"/>
      <c r="CR109" s="125"/>
      <c r="CS109" s="125"/>
      <c r="CT109" s="125"/>
      <c r="CU109" s="125"/>
      <c r="CV109" s="125"/>
      <c r="CW109" s="125"/>
      <c r="CX109" s="125"/>
      <c r="CY109" s="125"/>
      <c r="CZ109" s="125"/>
      <c r="DA109" s="125"/>
      <c r="DB109" s="125"/>
      <c r="DC109" s="125"/>
      <c r="DD109" s="125"/>
      <c r="DE109" s="125"/>
      <c r="DF109" s="125"/>
      <c r="DG109" s="125"/>
      <c r="DH109" s="125"/>
      <c r="DI109" s="125"/>
      <c r="DJ109" s="125"/>
      <c r="DK109" s="125"/>
      <c r="DL109" s="125"/>
      <c r="DM109" s="125"/>
      <c r="DN109" s="125"/>
      <c r="DO109" s="125"/>
      <c r="DP109" s="125"/>
      <c r="DQ109" s="125"/>
      <c r="DR109" s="125"/>
      <c r="DS109" s="125"/>
      <c r="DT109" s="125"/>
      <c r="DU109" s="125"/>
      <c r="DV109" s="125"/>
      <c r="DW109" s="125"/>
      <c r="DX109" s="125"/>
      <c r="DY109" s="125"/>
      <c r="DZ109" s="125"/>
      <c r="EA109" s="125"/>
      <c r="EB109" s="125"/>
      <c r="EC109" s="125"/>
      <c r="ED109" s="125"/>
      <c r="EE109" s="125"/>
      <c r="EF109" s="125"/>
      <c r="EG109" s="125"/>
      <c r="EH109" s="125"/>
      <c r="EI109" s="125"/>
      <c r="EJ109" s="125"/>
      <c r="EK109" s="125"/>
      <c r="EL109" s="125"/>
      <c r="EM109" s="125"/>
      <c r="EN109" s="125"/>
      <c r="EO109" s="125"/>
      <c r="EP109" s="125"/>
      <c r="EQ109" s="125"/>
      <c r="ER109" s="125"/>
      <c r="ES109" s="125"/>
      <c r="ET109" s="125"/>
      <c r="EU109" s="125"/>
      <c r="EV109" s="125"/>
      <c r="EW109" s="125"/>
      <c r="EX109" s="125"/>
      <c r="EY109" s="125"/>
      <c r="EZ109" s="125"/>
      <c r="FA109" s="125"/>
      <c r="FB109" s="125"/>
      <c r="FC109" s="125"/>
      <c r="FD109" s="125"/>
      <c r="FE109" s="125"/>
      <c r="FF109" s="125"/>
      <c r="FG109" s="125"/>
      <c r="FH109" s="125"/>
      <c r="FI109" s="125"/>
      <c r="FJ109" s="125"/>
      <c r="FK109" s="125"/>
      <c r="FL109" s="125"/>
      <c r="FM109" s="125"/>
      <c r="FN109" s="125"/>
      <c r="FO109" s="125"/>
      <c r="FP109" s="125"/>
      <c r="FQ109" s="125"/>
      <c r="FR109" s="125"/>
      <c r="FS109" s="125"/>
      <c r="FT109" s="125"/>
      <c r="FU109" s="125"/>
      <c r="FV109" s="125"/>
      <c r="FW109" s="125"/>
      <c r="FX109" s="125"/>
      <c r="FY109" s="125"/>
      <c r="FZ109" s="125"/>
      <c r="GA109" s="125"/>
      <c r="GB109" s="125"/>
      <c r="GC109" s="125"/>
      <c r="GD109" s="125"/>
      <c r="GE109" s="125"/>
      <c r="GF109" s="125"/>
    </row>
    <row r="110" spans="1:188" s="3" customFormat="1">
      <c r="A110" s="16">
        <v>27</v>
      </c>
      <c r="B110" s="56">
        <v>43074</v>
      </c>
      <c r="C110" s="18"/>
      <c r="D110" s="19" t="s">
        <v>1081</v>
      </c>
      <c r="E110" s="20" t="s">
        <v>209</v>
      </c>
      <c r="F110" s="82" t="s">
        <v>213</v>
      </c>
      <c r="G110" s="58">
        <v>1709</v>
      </c>
      <c r="H110" s="121">
        <f>61200+1674000</f>
        <v>1735200</v>
      </c>
      <c r="I110" s="24">
        <v>1652571</v>
      </c>
      <c r="J110" s="122"/>
      <c r="K110" s="24">
        <f t="shared" si="8"/>
        <v>1652571</v>
      </c>
      <c r="L110" s="123"/>
      <c r="M110" s="24">
        <f t="shared" si="9"/>
        <v>0</v>
      </c>
      <c r="N110" s="124">
        <f t="shared" si="10"/>
        <v>1652571</v>
      </c>
      <c r="O110" s="107"/>
      <c r="P110" s="125"/>
      <c r="Q110" s="125"/>
      <c r="R110" s="125"/>
      <c r="S110" s="125"/>
      <c r="T110" s="125"/>
      <c r="U110" s="125"/>
      <c r="V110" s="125"/>
      <c r="W110" s="125"/>
      <c r="X110" s="125"/>
      <c r="Y110" s="125"/>
      <c r="Z110" s="125"/>
      <c r="AA110" s="125"/>
      <c r="AB110" s="125"/>
      <c r="AC110" s="125"/>
      <c r="AD110" s="125"/>
      <c r="AE110" s="125"/>
      <c r="AF110" s="125"/>
      <c r="AG110" s="125"/>
      <c r="AH110" s="125"/>
      <c r="AI110" s="125"/>
      <c r="AJ110" s="125"/>
      <c r="AK110" s="125"/>
      <c r="AL110" s="125"/>
      <c r="AM110" s="125"/>
      <c r="AN110" s="125"/>
      <c r="AO110" s="125"/>
      <c r="AP110" s="125"/>
      <c r="AQ110" s="125"/>
      <c r="AR110" s="125"/>
      <c r="AS110" s="125"/>
      <c r="AT110" s="125"/>
      <c r="AU110" s="125"/>
      <c r="AV110" s="125"/>
      <c r="AW110" s="125"/>
      <c r="AX110" s="125"/>
      <c r="AY110" s="125"/>
      <c r="AZ110" s="125"/>
      <c r="BA110" s="125"/>
      <c r="BB110" s="125"/>
      <c r="BC110" s="125"/>
      <c r="BD110" s="125"/>
      <c r="BE110" s="125"/>
      <c r="BF110" s="125"/>
      <c r="BG110" s="125"/>
      <c r="BH110" s="125"/>
      <c r="BI110" s="125"/>
      <c r="BJ110" s="125"/>
      <c r="BK110" s="125"/>
      <c r="BL110" s="125"/>
      <c r="BM110" s="125"/>
      <c r="BN110" s="125"/>
      <c r="BO110" s="125"/>
      <c r="BP110" s="125"/>
      <c r="BQ110" s="125"/>
      <c r="BR110" s="125"/>
      <c r="BS110" s="125"/>
      <c r="BT110" s="125"/>
      <c r="BU110" s="125"/>
      <c r="BV110" s="125"/>
      <c r="BW110" s="125"/>
      <c r="BX110" s="125"/>
      <c r="BY110" s="125"/>
      <c r="BZ110" s="125"/>
      <c r="CA110" s="125"/>
      <c r="CB110" s="125"/>
      <c r="CC110" s="125"/>
      <c r="CD110" s="125"/>
      <c r="CE110" s="125"/>
      <c r="CF110" s="125"/>
      <c r="CG110" s="125"/>
      <c r="CH110" s="125"/>
      <c r="CI110" s="125"/>
      <c r="CJ110" s="125"/>
      <c r="CK110" s="125"/>
      <c r="CL110" s="125"/>
      <c r="CM110" s="125"/>
      <c r="CN110" s="125"/>
      <c r="CO110" s="125"/>
      <c r="CP110" s="125"/>
      <c r="CQ110" s="125"/>
      <c r="CR110" s="125"/>
      <c r="CS110" s="125"/>
      <c r="CT110" s="125"/>
      <c r="CU110" s="125"/>
      <c r="CV110" s="125"/>
      <c r="CW110" s="125"/>
      <c r="CX110" s="125"/>
      <c r="CY110" s="125"/>
      <c r="CZ110" s="125"/>
      <c r="DA110" s="125"/>
      <c r="DB110" s="125"/>
      <c r="DC110" s="125"/>
      <c r="DD110" s="125"/>
      <c r="DE110" s="125"/>
      <c r="DF110" s="125"/>
      <c r="DG110" s="125"/>
      <c r="DH110" s="125"/>
      <c r="DI110" s="125"/>
      <c r="DJ110" s="125"/>
      <c r="DK110" s="125"/>
      <c r="DL110" s="125"/>
      <c r="DM110" s="125"/>
      <c r="DN110" s="125"/>
      <c r="DO110" s="125"/>
      <c r="DP110" s="125"/>
      <c r="DQ110" s="125"/>
      <c r="DR110" s="125"/>
      <c r="DS110" s="125"/>
      <c r="DT110" s="125"/>
      <c r="DU110" s="125"/>
      <c r="DV110" s="125"/>
      <c r="DW110" s="125"/>
      <c r="DX110" s="125"/>
      <c r="DY110" s="125"/>
      <c r="DZ110" s="125"/>
      <c r="EA110" s="125"/>
      <c r="EB110" s="125"/>
      <c r="EC110" s="125"/>
      <c r="ED110" s="125"/>
      <c r="EE110" s="125"/>
      <c r="EF110" s="125"/>
      <c r="EG110" s="125"/>
      <c r="EH110" s="125"/>
      <c r="EI110" s="125"/>
      <c r="EJ110" s="125"/>
      <c r="EK110" s="125"/>
      <c r="EL110" s="125"/>
      <c r="EM110" s="125"/>
      <c r="EN110" s="125"/>
      <c r="EO110" s="125"/>
      <c r="EP110" s="125"/>
      <c r="EQ110" s="125"/>
      <c r="ER110" s="125"/>
      <c r="ES110" s="125"/>
      <c r="ET110" s="125"/>
      <c r="EU110" s="125"/>
      <c r="EV110" s="125"/>
      <c r="EW110" s="125"/>
      <c r="EX110" s="125"/>
      <c r="EY110" s="125"/>
      <c r="EZ110" s="125"/>
      <c r="FA110" s="125"/>
      <c r="FB110" s="125"/>
      <c r="FC110" s="125"/>
      <c r="FD110" s="125"/>
      <c r="FE110" s="125"/>
      <c r="FF110" s="125"/>
      <c r="FG110" s="125"/>
      <c r="FH110" s="125"/>
      <c r="FI110" s="125"/>
      <c r="FJ110" s="125"/>
      <c r="FK110" s="125"/>
      <c r="FL110" s="125"/>
      <c r="FM110" s="125"/>
      <c r="FN110" s="125"/>
      <c r="FO110" s="125"/>
      <c r="FP110" s="125"/>
      <c r="FQ110" s="125"/>
      <c r="FR110" s="125"/>
      <c r="FS110" s="125"/>
      <c r="FT110" s="125"/>
      <c r="FU110" s="125"/>
      <c r="FV110" s="125"/>
      <c r="FW110" s="125"/>
      <c r="FX110" s="125"/>
      <c r="FY110" s="125"/>
      <c r="FZ110" s="125"/>
      <c r="GA110" s="125"/>
      <c r="GB110" s="125"/>
      <c r="GC110" s="125"/>
      <c r="GD110" s="125"/>
      <c r="GE110" s="125"/>
      <c r="GF110" s="125"/>
    </row>
    <row r="111" spans="1:188" s="3" customFormat="1">
      <c r="A111" s="80">
        <v>1</v>
      </c>
      <c r="B111" s="60">
        <v>43034</v>
      </c>
      <c r="C111" s="18"/>
      <c r="D111" s="19" t="s">
        <v>1059</v>
      </c>
      <c r="E111" s="20" t="s">
        <v>165</v>
      </c>
      <c r="F111" s="120" t="s">
        <v>166</v>
      </c>
      <c r="G111" s="58">
        <v>1707</v>
      </c>
      <c r="H111" s="121">
        <v>1469400</v>
      </c>
      <c r="I111" s="24">
        <v>1399429</v>
      </c>
      <c r="J111" s="122"/>
      <c r="K111" s="24">
        <f t="shared" si="8"/>
        <v>1399429</v>
      </c>
      <c r="L111" s="123">
        <v>1</v>
      </c>
      <c r="M111" s="24">
        <f t="shared" si="9"/>
        <v>1399429</v>
      </c>
      <c r="N111" s="27">
        <f t="shared" si="10"/>
        <v>0</v>
      </c>
      <c r="O111" s="107" t="s">
        <v>1084</v>
      </c>
    </row>
    <row r="112" spans="1:188" s="3" customFormat="1">
      <c r="A112" s="80">
        <v>2</v>
      </c>
      <c r="B112" s="60">
        <v>43073</v>
      </c>
      <c r="C112" s="18"/>
      <c r="D112" s="19" t="s">
        <v>1059</v>
      </c>
      <c r="E112" s="20" t="s">
        <v>165</v>
      </c>
      <c r="F112" s="62" t="s">
        <v>168</v>
      </c>
      <c r="G112" s="63">
        <v>1709</v>
      </c>
      <c r="H112" s="121">
        <f>20700+1469400</f>
        <v>1490100</v>
      </c>
      <c r="I112" s="24">
        <v>1419143</v>
      </c>
      <c r="J112" s="122"/>
      <c r="K112" s="24">
        <f t="shared" si="8"/>
        <v>1419143</v>
      </c>
      <c r="L112" s="123">
        <v>1</v>
      </c>
      <c r="M112" s="24">
        <f t="shared" si="9"/>
        <v>1419143</v>
      </c>
      <c r="N112" s="124">
        <f t="shared" si="10"/>
        <v>0</v>
      </c>
      <c r="O112" s="107" t="s">
        <v>1084</v>
      </c>
    </row>
    <row r="113" spans="1:188" s="3" customFormat="1">
      <c r="A113" s="80">
        <v>3</v>
      </c>
      <c r="B113" s="60">
        <v>43074</v>
      </c>
      <c r="C113" s="18"/>
      <c r="D113" s="19" t="s">
        <v>1061</v>
      </c>
      <c r="E113" s="20" t="s">
        <v>175</v>
      </c>
      <c r="F113" s="82" t="s">
        <v>177</v>
      </c>
      <c r="G113" s="58">
        <v>1709</v>
      </c>
      <c r="H113" s="121">
        <f>40000+1069500</f>
        <v>1109500</v>
      </c>
      <c r="I113" s="24">
        <v>1056667</v>
      </c>
      <c r="J113" s="122"/>
      <c r="K113" s="24">
        <f t="shared" si="8"/>
        <v>1056667</v>
      </c>
      <c r="L113" s="123">
        <v>1</v>
      </c>
      <c r="M113" s="24">
        <f t="shared" si="9"/>
        <v>1056667</v>
      </c>
      <c r="N113" s="124">
        <f t="shared" si="10"/>
        <v>0</v>
      </c>
      <c r="O113" s="107" t="s">
        <v>1084</v>
      </c>
    </row>
    <row r="114" spans="1:188" s="3" customFormat="1">
      <c r="A114" s="80">
        <v>4</v>
      </c>
      <c r="B114" s="56">
        <v>42867</v>
      </c>
      <c r="C114" s="18"/>
      <c r="D114" s="19" t="s">
        <v>178</v>
      </c>
      <c r="E114" s="20" t="s">
        <v>1068</v>
      </c>
      <c r="F114" s="82" t="s">
        <v>1085</v>
      </c>
      <c r="G114" s="58">
        <v>1703</v>
      </c>
      <c r="H114" s="121"/>
      <c r="I114" s="24">
        <v>1238095</v>
      </c>
      <c r="J114" s="24"/>
      <c r="K114" s="24">
        <f t="shared" si="8"/>
        <v>1238095</v>
      </c>
      <c r="L114" s="123">
        <v>1</v>
      </c>
      <c r="M114" s="24">
        <f t="shared" si="9"/>
        <v>1238095</v>
      </c>
      <c r="N114" s="124">
        <f t="shared" si="10"/>
        <v>0</v>
      </c>
      <c r="O114" s="107" t="s">
        <v>1084</v>
      </c>
    </row>
    <row r="115" spans="1:188" s="3" customFormat="1">
      <c r="A115" s="80">
        <v>5</v>
      </c>
      <c r="B115" s="29">
        <v>42866</v>
      </c>
      <c r="C115" s="18"/>
      <c r="D115" s="19" t="s">
        <v>178</v>
      </c>
      <c r="E115" s="20" t="s">
        <v>1086</v>
      </c>
      <c r="F115" s="82" t="s">
        <v>1087</v>
      </c>
      <c r="G115" s="58">
        <v>1703</v>
      </c>
      <c r="H115" s="121"/>
      <c r="I115" s="24">
        <v>1455810</v>
      </c>
      <c r="J115" s="24"/>
      <c r="K115" s="24">
        <f t="shared" si="8"/>
        <v>1455810</v>
      </c>
      <c r="L115" s="123">
        <v>1</v>
      </c>
      <c r="M115" s="24">
        <f t="shared" si="9"/>
        <v>1455810</v>
      </c>
      <c r="N115" s="124">
        <f t="shared" si="10"/>
        <v>0</v>
      </c>
      <c r="O115" s="107" t="s">
        <v>1084</v>
      </c>
    </row>
    <row r="116" spans="1:188" s="3" customFormat="1">
      <c r="A116" s="80">
        <v>6</v>
      </c>
      <c r="B116" s="29">
        <v>43074</v>
      </c>
      <c r="C116" s="18"/>
      <c r="D116" s="19" t="s">
        <v>1081</v>
      </c>
      <c r="E116" s="20" t="s">
        <v>201</v>
      </c>
      <c r="F116" s="82" t="s">
        <v>202</v>
      </c>
      <c r="G116" s="58">
        <v>1707</v>
      </c>
      <c r="H116" s="121">
        <v>1450800</v>
      </c>
      <c r="I116" s="24">
        <v>1381714</v>
      </c>
      <c r="J116" s="122"/>
      <c r="K116" s="24">
        <f t="shared" ref="K116:K147" si="11">I116+J116</f>
        <v>1381714</v>
      </c>
      <c r="L116" s="123">
        <v>1</v>
      </c>
      <c r="M116" s="24">
        <f t="shared" si="9"/>
        <v>1381714</v>
      </c>
      <c r="N116" s="27">
        <f t="shared" si="10"/>
        <v>0</v>
      </c>
      <c r="O116" s="107" t="s">
        <v>1084</v>
      </c>
    </row>
    <row r="117" spans="1:188" s="3" customFormat="1">
      <c r="A117" s="80">
        <v>7</v>
      </c>
      <c r="B117" s="60">
        <v>43126</v>
      </c>
      <c r="C117" s="18" t="s">
        <v>1088</v>
      </c>
      <c r="D117" s="19" t="s">
        <v>1081</v>
      </c>
      <c r="E117" s="20" t="s">
        <v>1089</v>
      </c>
      <c r="F117" s="120" t="s">
        <v>1090</v>
      </c>
      <c r="G117" s="58">
        <v>1708</v>
      </c>
      <c r="H117" s="121">
        <f>1450800+15600</f>
        <v>1466400</v>
      </c>
      <c r="I117" s="24"/>
      <c r="J117" s="122">
        <v>1396571</v>
      </c>
      <c r="K117" s="24">
        <f t="shared" si="11"/>
        <v>1396571</v>
      </c>
      <c r="L117" s="123">
        <v>1</v>
      </c>
      <c r="M117" s="24">
        <f t="shared" si="9"/>
        <v>1396571</v>
      </c>
      <c r="N117" s="124">
        <f t="shared" si="10"/>
        <v>0</v>
      </c>
      <c r="O117" s="107" t="s">
        <v>1084</v>
      </c>
    </row>
    <row r="118" spans="1:188" s="3" customFormat="1">
      <c r="A118" s="80">
        <v>8</v>
      </c>
      <c r="B118" s="60">
        <v>43103</v>
      </c>
      <c r="C118" s="18"/>
      <c r="D118" s="19" t="s">
        <v>1081</v>
      </c>
      <c r="E118" s="20" t="s">
        <v>201</v>
      </c>
      <c r="F118" s="82" t="s">
        <v>1091</v>
      </c>
      <c r="G118" s="58">
        <v>1710</v>
      </c>
      <c r="H118" s="121">
        <v>1450800</v>
      </c>
      <c r="I118" s="24"/>
      <c r="J118" s="122">
        <f>H118/1.05</f>
        <v>1381714.2857142857</v>
      </c>
      <c r="K118" s="24">
        <f t="shared" si="11"/>
        <v>1381714.2857142857</v>
      </c>
      <c r="L118" s="123">
        <v>1</v>
      </c>
      <c r="M118" s="24">
        <f t="shared" si="9"/>
        <v>1381714.2857142857</v>
      </c>
      <c r="N118" s="124">
        <f t="shared" si="10"/>
        <v>0</v>
      </c>
      <c r="O118" s="107" t="s">
        <v>1084</v>
      </c>
      <c r="P118" s="125"/>
      <c r="Q118" s="125"/>
      <c r="R118" s="125"/>
      <c r="S118" s="125"/>
      <c r="T118" s="125"/>
      <c r="U118" s="125"/>
      <c r="V118" s="125"/>
      <c r="W118" s="125"/>
      <c r="X118" s="125"/>
      <c r="Y118" s="125"/>
      <c r="Z118" s="125"/>
      <c r="AA118" s="125"/>
      <c r="AB118" s="125"/>
      <c r="AC118" s="125"/>
      <c r="AD118" s="125"/>
      <c r="AE118" s="125"/>
      <c r="AF118" s="125"/>
      <c r="AG118" s="125"/>
      <c r="AH118" s="125"/>
      <c r="AI118" s="125"/>
      <c r="AJ118" s="125"/>
      <c r="AK118" s="125"/>
      <c r="AL118" s="125"/>
      <c r="AM118" s="125"/>
      <c r="AN118" s="125"/>
      <c r="AO118" s="125"/>
      <c r="AP118" s="125"/>
      <c r="AQ118" s="125"/>
      <c r="AR118" s="125"/>
      <c r="AS118" s="125"/>
      <c r="AT118" s="125"/>
      <c r="AU118" s="125"/>
      <c r="AV118" s="125"/>
      <c r="AW118" s="125"/>
      <c r="AX118" s="125"/>
      <c r="AY118" s="125"/>
      <c r="AZ118" s="125"/>
      <c r="BA118" s="125"/>
      <c r="BB118" s="125"/>
      <c r="BC118" s="125"/>
      <c r="BD118" s="125"/>
      <c r="BE118" s="125"/>
      <c r="BF118" s="125"/>
      <c r="BG118" s="125"/>
      <c r="BH118" s="125"/>
      <c r="BI118" s="125"/>
      <c r="BJ118" s="125"/>
      <c r="BK118" s="125"/>
      <c r="BL118" s="125"/>
      <c r="BM118" s="125"/>
      <c r="BN118" s="125"/>
      <c r="BO118" s="125"/>
      <c r="BP118" s="125"/>
      <c r="BQ118" s="125"/>
      <c r="BR118" s="125"/>
      <c r="BS118" s="125"/>
      <c r="BT118" s="125"/>
      <c r="BU118" s="125"/>
      <c r="BV118" s="125"/>
      <c r="BW118" s="125"/>
      <c r="BX118" s="125"/>
      <c r="BY118" s="125"/>
      <c r="BZ118" s="125"/>
      <c r="CA118" s="125"/>
      <c r="CB118" s="125"/>
      <c r="CC118" s="125"/>
      <c r="CD118" s="125"/>
      <c r="CE118" s="125"/>
      <c r="CF118" s="125"/>
      <c r="CG118" s="125"/>
      <c r="CH118" s="125"/>
      <c r="CI118" s="125"/>
      <c r="CJ118" s="125"/>
      <c r="CK118" s="125"/>
      <c r="CL118" s="125"/>
      <c r="CM118" s="125"/>
      <c r="CN118" s="125"/>
      <c r="CO118" s="125"/>
      <c r="CP118" s="125"/>
      <c r="CQ118" s="125"/>
      <c r="CR118" s="125"/>
      <c r="CS118" s="125"/>
      <c r="CT118" s="125"/>
      <c r="CU118" s="125"/>
      <c r="CV118" s="125"/>
      <c r="CW118" s="125"/>
      <c r="CX118" s="125"/>
      <c r="CY118" s="125"/>
      <c r="CZ118" s="125"/>
      <c r="DA118" s="125"/>
      <c r="DB118" s="125"/>
      <c r="DC118" s="125"/>
      <c r="DD118" s="125"/>
      <c r="DE118" s="125"/>
      <c r="DF118" s="125"/>
      <c r="DG118" s="125"/>
      <c r="DH118" s="125"/>
      <c r="DI118" s="125"/>
      <c r="DJ118" s="125"/>
      <c r="DK118" s="125"/>
      <c r="DL118" s="125"/>
      <c r="DM118" s="125"/>
      <c r="DN118" s="125"/>
      <c r="DO118" s="125"/>
      <c r="DP118" s="125"/>
      <c r="DQ118" s="125"/>
      <c r="DR118" s="125"/>
      <c r="DS118" s="125"/>
      <c r="DT118" s="125"/>
      <c r="DU118" s="125"/>
      <c r="DV118" s="125"/>
      <c r="DW118" s="125"/>
      <c r="DX118" s="125"/>
      <c r="DY118" s="125"/>
      <c r="DZ118" s="125"/>
      <c r="EA118" s="125"/>
      <c r="EB118" s="125"/>
      <c r="EC118" s="125"/>
      <c r="ED118" s="125"/>
      <c r="EE118" s="125"/>
      <c r="EF118" s="125"/>
      <c r="EG118" s="125"/>
      <c r="EH118" s="125"/>
      <c r="EI118" s="125"/>
      <c r="EJ118" s="125"/>
      <c r="EK118" s="125"/>
      <c r="EL118" s="125"/>
      <c r="EM118" s="125"/>
      <c r="EN118" s="125"/>
      <c r="EO118" s="125"/>
      <c r="EP118" s="125"/>
      <c r="EQ118" s="125"/>
      <c r="ER118" s="125"/>
      <c r="ES118" s="125"/>
      <c r="ET118" s="125"/>
      <c r="EU118" s="125"/>
      <c r="EV118" s="125"/>
      <c r="EW118" s="125"/>
      <c r="EX118" s="125"/>
      <c r="EY118" s="125"/>
      <c r="EZ118" s="125"/>
      <c r="FA118" s="125"/>
      <c r="FB118" s="125"/>
      <c r="FC118" s="125"/>
      <c r="FD118" s="125"/>
      <c r="FE118" s="125"/>
      <c r="FF118" s="125"/>
      <c r="FG118" s="125"/>
      <c r="FH118" s="125"/>
      <c r="FI118" s="125"/>
      <c r="FJ118" s="125"/>
      <c r="FK118" s="125"/>
      <c r="FL118" s="125"/>
      <c r="FM118" s="125"/>
      <c r="FN118" s="125"/>
      <c r="FO118" s="125"/>
      <c r="FP118" s="125"/>
      <c r="FQ118" s="125"/>
      <c r="FR118" s="125"/>
      <c r="FS118" s="125"/>
      <c r="FT118" s="125"/>
      <c r="FU118" s="125"/>
      <c r="FV118" s="125"/>
      <c r="FW118" s="125"/>
      <c r="FX118" s="125"/>
      <c r="FY118" s="125"/>
      <c r="FZ118" s="125"/>
      <c r="GA118" s="125"/>
      <c r="GB118" s="125"/>
      <c r="GC118" s="125"/>
      <c r="GD118" s="125"/>
      <c r="GE118" s="125"/>
      <c r="GF118" s="125"/>
    </row>
    <row r="119" spans="1:188" s="3" customFormat="1">
      <c r="A119" s="80">
        <v>9</v>
      </c>
      <c r="B119" s="237">
        <v>43103</v>
      </c>
      <c r="C119" s="18"/>
      <c r="D119" s="19" t="s">
        <v>1081</v>
      </c>
      <c r="E119" s="20" t="s">
        <v>201</v>
      </c>
      <c r="F119" s="120" t="s">
        <v>1092</v>
      </c>
      <c r="G119" s="58">
        <v>1710</v>
      </c>
      <c r="H119" s="121">
        <f>6300+1450800</f>
        <v>1457100</v>
      </c>
      <c r="I119" s="24"/>
      <c r="J119" s="122">
        <f>H119/1.05</f>
        <v>1387714.2857142857</v>
      </c>
      <c r="K119" s="24">
        <f t="shared" si="11"/>
        <v>1387714.2857142857</v>
      </c>
      <c r="L119" s="123">
        <v>1</v>
      </c>
      <c r="M119" s="24">
        <f t="shared" si="9"/>
        <v>1387714.2857142857</v>
      </c>
      <c r="N119" s="124">
        <f t="shared" si="10"/>
        <v>0</v>
      </c>
      <c r="O119" s="107" t="s">
        <v>1084</v>
      </c>
      <c r="P119" s="125"/>
      <c r="Q119" s="125"/>
      <c r="R119" s="125"/>
      <c r="S119" s="125"/>
      <c r="T119" s="125"/>
      <c r="U119" s="125"/>
      <c r="V119" s="125"/>
      <c r="W119" s="125"/>
      <c r="X119" s="125"/>
      <c r="Y119" s="125"/>
      <c r="Z119" s="125"/>
      <c r="AA119" s="125"/>
      <c r="AB119" s="125"/>
      <c r="AC119" s="125"/>
      <c r="AD119" s="125"/>
      <c r="AE119" s="125"/>
      <c r="AF119" s="125"/>
      <c r="AG119" s="125"/>
      <c r="AH119" s="125"/>
      <c r="AI119" s="125"/>
      <c r="AJ119" s="125"/>
      <c r="AK119" s="125"/>
      <c r="AL119" s="125"/>
      <c r="AM119" s="125"/>
      <c r="AN119" s="125"/>
      <c r="AO119" s="125"/>
      <c r="AP119" s="125"/>
      <c r="AQ119" s="125"/>
      <c r="AR119" s="125"/>
      <c r="AS119" s="125"/>
      <c r="AT119" s="125"/>
      <c r="AU119" s="125"/>
      <c r="AV119" s="125"/>
      <c r="AW119" s="125"/>
      <c r="AX119" s="125"/>
      <c r="AY119" s="125"/>
      <c r="AZ119" s="125"/>
      <c r="BA119" s="125"/>
      <c r="BB119" s="125"/>
      <c r="BC119" s="125"/>
      <c r="BD119" s="125"/>
      <c r="BE119" s="125"/>
      <c r="BF119" s="125"/>
      <c r="BG119" s="125"/>
      <c r="BH119" s="125"/>
      <c r="BI119" s="125"/>
      <c r="BJ119" s="125"/>
      <c r="BK119" s="125"/>
      <c r="BL119" s="125"/>
      <c r="BM119" s="125"/>
      <c r="BN119" s="125"/>
      <c r="BO119" s="125"/>
      <c r="BP119" s="125"/>
      <c r="BQ119" s="125"/>
      <c r="BR119" s="125"/>
      <c r="BS119" s="125"/>
      <c r="BT119" s="125"/>
      <c r="BU119" s="125"/>
      <c r="BV119" s="125"/>
      <c r="BW119" s="125"/>
      <c r="BX119" s="125"/>
      <c r="BY119" s="125"/>
      <c r="BZ119" s="125"/>
      <c r="CA119" s="125"/>
      <c r="CB119" s="125"/>
      <c r="CC119" s="125"/>
      <c r="CD119" s="125"/>
      <c r="CE119" s="125"/>
      <c r="CF119" s="125"/>
      <c r="CG119" s="125"/>
      <c r="CH119" s="125"/>
      <c r="CI119" s="125"/>
      <c r="CJ119" s="125"/>
      <c r="CK119" s="125"/>
      <c r="CL119" s="125"/>
      <c r="CM119" s="125"/>
      <c r="CN119" s="125"/>
      <c r="CO119" s="125"/>
      <c r="CP119" s="125"/>
      <c r="CQ119" s="125"/>
      <c r="CR119" s="125"/>
      <c r="CS119" s="125"/>
      <c r="CT119" s="125"/>
      <c r="CU119" s="125"/>
      <c r="CV119" s="125"/>
      <c r="CW119" s="125"/>
      <c r="CX119" s="125"/>
      <c r="CY119" s="125"/>
      <c r="CZ119" s="125"/>
      <c r="DA119" s="125"/>
      <c r="DB119" s="125"/>
      <c r="DC119" s="125"/>
      <c r="DD119" s="125"/>
      <c r="DE119" s="125"/>
      <c r="DF119" s="125"/>
      <c r="DG119" s="125"/>
      <c r="DH119" s="125"/>
      <c r="DI119" s="125"/>
      <c r="DJ119" s="125"/>
      <c r="DK119" s="125"/>
      <c r="DL119" s="125"/>
      <c r="DM119" s="125"/>
      <c r="DN119" s="125"/>
      <c r="DO119" s="125"/>
      <c r="DP119" s="125"/>
      <c r="DQ119" s="125"/>
      <c r="DR119" s="125"/>
      <c r="DS119" s="125"/>
      <c r="DT119" s="125"/>
      <c r="DU119" s="125"/>
      <c r="DV119" s="125"/>
      <c r="DW119" s="125"/>
      <c r="DX119" s="125"/>
      <c r="DY119" s="125"/>
      <c r="DZ119" s="125"/>
      <c r="EA119" s="125"/>
      <c r="EB119" s="125"/>
      <c r="EC119" s="125"/>
      <c r="ED119" s="125"/>
      <c r="EE119" s="125"/>
      <c r="EF119" s="125"/>
      <c r="EG119" s="125"/>
      <c r="EH119" s="125"/>
      <c r="EI119" s="125"/>
      <c r="EJ119" s="125"/>
      <c r="EK119" s="125"/>
      <c r="EL119" s="125"/>
      <c r="EM119" s="125"/>
      <c r="EN119" s="125"/>
      <c r="EO119" s="125"/>
      <c r="EP119" s="125"/>
      <c r="EQ119" s="125"/>
      <c r="ER119" s="125"/>
      <c r="ES119" s="125"/>
      <c r="ET119" s="125"/>
      <c r="EU119" s="125"/>
      <c r="EV119" s="125"/>
      <c r="EW119" s="125"/>
      <c r="EX119" s="125"/>
      <c r="EY119" s="125"/>
      <c r="EZ119" s="125"/>
      <c r="FA119" s="125"/>
      <c r="FB119" s="125"/>
      <c r="FC119" s="125"/>
      <c r="FD119" s="125"/>
      <c r="FE119" s="125"/>
      <c r="FF119" s="125"/>
      <c r="FG119" s="125"/>
      <c r="FH119" s="125"/>
      <c r="FI119" s="125"/>
      <c r="FJ119" s="125"/>
      <c r="FK119" s="125"/>
      <c r="FL119" s="125"/>
      <c r="FM119" s="125"/>
      <c r="FN119" s="125"/>
      <c r="FO119" s="125"/>
      <c r="FP119" s="125"/>
      <c r="FQ119" s="125"/>
      <c r="FR119" s="125"/>
      <c r="FS119" s="125"/>
      <c r="FT119" s="125"/>
      <c r="FU119" s="125"/>
      <c r="FV119" s="125"/>
      <c r="FW119" s="125"/>
      <c r="FX119" s="125"/>
      <c r="FY119" s="125"/>
      <c r="FZ119" s="125"/>
      <c r="GA119" s="125"/>
      <c r="GB119" s="125"/>
      <c r="GC119" s="125"/>
      <c r="GD119" s="125"/>
      <c r="GE119" s="125"/>
      <c r="GF119" s="125"/>
    </row>
    <row r="120" spans="1:188" s="3" customFormat="1">
      <c r="A120" s="80">
        <v>10</v>
      </c>
      <c r="B120" s="56">
        <v>43103</v>
      </c>
      <c r="C120" s="18"/>
      <c r="D120" s="19" t="s">
        <v>1081</v>
      </c>
      <c r="E120" s="20" t="s">
        <v>201</v>
      </c>
      <c r="F120" s="82" t="s">
        <v>1093</v>
      </c>
      <c r="G120" s="58">
        <v>1711</v>
      </c>
      <c r="H120" s="121">
        <f>900+1450800</f>
        <v>1451700</v>
      </c>
      <c r="I120" s="24"/>
      <c r="J120" s="122">
        <f>H120/1.05</f>
        <v>1382571.4285714284</v>
      </c>
      <c r="K120" s="24">
        <f t="shared" si="11"/>
        <v>1382571.4285714284</v>
      </c>
      <c r="L120" s="123">
        <v>1</v>
      </c>
      <c r="M120" s="24">
        <f t="shared" si="9"/>
        <v>1382571.4285714284</v>
      </c>
      <c r="N120" s="124">
        <f t="shared" si="10"/>
        <v>0</v>
      </c>
      <c r="O120" s="107" t="s">
        <v>1084</v>
      </c>
    </row>
    <row r="121" spans="1:188" s="3" customFormat="1">
      <c r="A121" s="80">
        <v>11</v>
      </c>
      <c r="B121" s="56">
        <v>43126</v>
      </c>
      <c r="C121" s="18"/>
      <c r="D121" s="19" t="s">
        <v>1081</v>
      </c>
      <c r="E121" s="20" t="s">
        <v>201</v>
      </c>
      <c r="F121" s="82" t="s">
        <v>1094</v>
      </c>
      <c r="G121" s="58">
        <v>1711</v>
      </c>
      <c r="H121" s="121">
        <f>9000+1450800</f>
        <v>1459800</v>
      </c>
      <c r="I121" s="24"/>
      <c r="J121" s="122">
        <v>1390285</v>
      </c>
      <c r="K121" s="24">
        <f t="shared" si="11"/>
        <v>1390285</v>
      </c>
      <c r="L121" s="123">
        <v>1</v>
      </c>
      <c r="M121" s="24">
        <f t="shared" si="9"/>
        <v>1390285</v>
      </c>
      <c r="N121" s="124">
        <f t="shared" si="10"/>
        <v>0</v>
      </c>
      <c r="O121" s="107" t="s">
        <v>1084</v>
      </c>
    </row>
    <row r="122" spans="1:188" s="3" customFormat="1">
      <c r="A122" s="80">
        <v>12</v>
      </c>
      <c r="B122" s="56">
        <v>43070</v>
      </c>
      <c r="C122" s="18"/>
      <c r="D122" s="19" t="s">
        <v>1081</v>
      </c>
      <c r="E122" s="20" t="s">
        <v>203</v>
      </c>
      <c r="F122" s="82" t="s">
        <v>205</v>
      </c>
      <c r="G122" s="58">
        <v>1708</v>
      </c>
      <c r="H122" s="121">
        <f>14400+1962300</f>
        <v>1976700</v>
      </c>
      <c r="I122" s="24">
        <v>1882571</v>
      </c>
      <c r="J122" s="122"/>
      <c r="K122" s="24">
        <f t="shared" si="11"/>
        <v>1882571</v>
      </c>
      <c r="L122" s="123">
        <v>1</v>
      </c>
      <c r="M122" s="24">
        <f t="shared" si="9"/>
        <v>1882571</v>
      </c>
      <c r="N122" s="27">
        <f t="shared" si="10"/>
        <v>0</v>
      </c>
      <c r="O122" s="107" t="s">
        <v>1084</v>
      </c>
    </row>
    <row r="123" spans="1:188" s="3" customFormat="1">
      <c r="A123" s="80">
        <v>13</v>
      </c>
      <c r="B123" s="29">
        <v>43122</v>
      </c>
      <c r="C123" s="18" t="s">
        <v>1063</v>
      </c>
      <c r="D123" s="19" t="s">
        <v>1081</v>
      </c>
      <c r="E123" s="20" t="s">
        <v>1095</v>
      </c>
      <c r="F123" s="82" t="s">
        <v>1096</v>
      </c>
      <c r="G123" s="58">
        <v>1707</v>
      </c>
      <c r="H123" s="121">
        <v>1674000</v>
      </c>
      <c r="I123" s="24"/>
      <c r="J123" s="122">
        <v>1594286</v>
      </c>
      <c r="K123" s="24">
        <f t="shared" si="11"/>
        <v>1594286</v>
      </c>
      <c r="L123" s="123">
        <v>1</v>
      </c>
      <c r="M123" s="24">
        <f t="shared" si="9"/>
        <v>1594286</v>
      </c>
      <c r="N123" s="124">
        <f t="shared" si="10"/>
        <v>0</v>
      </c>
      <c r="O123" s="107" t="s">
        <v>1084</v>
      </c>
    </row>
    <row r="124" spans="1:188" s="3" customFormat="1">
      <c r="A124" s="80">
        <v>14</v>
      </c>
      <c r="B124" s="29">
        <v>43110</v>
      </c>
      <c r="C124" s="18" t="s">
        <v>1088</v>
      </c>
      <c r="D124" s="19" t="s">
        <v>1081</v>
      </c>
      <c r="E124" s="20" t="s">
        <v>1082</v>
      </c>
      <c r="F124" s="82" t="s">
        <v>1097</v>
      </c>
      <c r="G124" s="58">
        <v>1708</v>
      </c>
      <c r="H124" s="121">
        <f>1674000+18000</f>
        <v>1692000</v>
      </c>
      <c r="I124" s="24"/>
      <c r="J124" s="122">
        <v>1611429</v>
      </c>
      <c r="K124" s="24">
        <f t="shared" si="11"/>
        <v>1611429</v>
      </c>
      <c r="L124" s="123">
        <v>1</v>
      </c>
      <c r="M124" s="24">
        <f t="shared" si="9"/>
        <v>1611429</v>
      </c>
      <c r="N124" s="124">
        <f t="shared" si="10"/>
        <v>0</v>
      </c>
      <c r="O124" s="107" t="s">
        <v>1084</v>
      </c>
    </row>
    <row r="125" spans="1:188" s="3" customFormat="1">
      <c r="A125" s="80">
        <v>15</v>
      </c>
      <c r="B125" s="29">
        <v>43074</v>
      </c>
      <c r="C125" s="18"/>
      <c r="D125" s="19" t="s">
        <v>1081</v>
      </c>
      <c r="E125" s="20" t="s">
        <v>209</v>
      </c>
      <c r="F125" s="62" t="s">
        <v>211</v>
      </c>
      <c r="G125" s="63">
        <v>1708</v>
      </c>
      <c r="H125" s="121">
        <v>1674000</v>
      </c>
      <c r="I125" s="24">
        <v>1594286</v>
      </c>
      <c r="J125" s="122"/>
      <c r="K125" s="24">
        <f t="shared" si="11"/>
        <v>1594286</v>
      </c>
      <c r="L125" s="123">
        <v>1</v>
      </c>
      <c r="M125" s="24">
        <f t="shared" si="9"/>
        <v>1594286</v>
      </c>
      <c r="N125" s="124">
        <f t="shared" si="10"/>
        <v>0</v>
      </c>
      <c r="O125" s="107" t="s">
        <v>1084</v>
      </c>
      <c r="AE125" s="130"/>
      <c r="AF125" s="130"/>
      <c r="AG125" s="130"/>
      <c r="AH125" s="130"/>
      <c r="AI125" s="130"/>
      <c r="AJ125" s="130"/>
      <c r="AK125" s="130"/>
      <c r="AL125" s="130"/>
      <c r="BC125" s="130"/>
      <c r="BD125" s="130"/>
      <c r="BE125" s="130"/>
      <c r="BF125" s="130"/>
      <c r="BG125" s="130"/>
      <c r="BH125" s="130"/>
      <c r="BI125" s="130"/>
      <c r="BJ125" s="130"/>
      <c r="CA125" s="130"/>
      <c r="CB125" s="130"/>
      <c r="CC125" s="130"/>
      <c r="CD125" s="130"/>
      <c r="CE125" s="130"/>
      <c r="CF125" s="130"/>
      <c r="CG125" s="130"/>
      <c r="CH125" s="130"/>
      <c r="CY125" s="130"/>
      <c r="CZ125" s="130"/>
      <c r="DA125" s="130"/>
      <c r="DB125" s="130"/>
      <c r="DC125" s="130"/>
      <c r="DD125" s="130"/>
      <c r="DE125" s="130"/>
      <c r="DF125" s="130"/>
      <c r="DW125" s="130"/>
      <c r="DX125" s="130"/>
      <c r="DY125" s="130"/>
      <c r="DZ125" s="130"/>
      <c r="EA125" s="130"/>
      <c r="EB125" s="130"/>
      <c r="EC125" s="130"/>
      <c r="ED125" s="130"/>
      <c r="EU125" s="130"/>
      <c r="EV125" s="130"/>
      <c r="EW125" s="130"/>
      <c r="EX125" s="130"/>
      <c r="EY125" s="130"/>
      <c r="EZ125" s="130"/>
      <c r="FA125" s="130"/>
      <c r="FB125" s="130"/>
      <c r="FS125" s="130"/>
      <c r="FT125" s="130"/>
      <c r="FU125" s="130"/>
      <c r="FV125" s="130"/>
      <c r="FW125" s="130"/>
      <c r="FX125" s="130"/>
      <c r="FY125" s="130"/>
      <c r="FZ125" s="130"/>
    </row>
    <row r="126" spans="1:188" s="3" customFormat="1">
      <c r="A126" s="80">
        <v>16</v>
      </c>
      <c r="B126" s="29">
        <v>43126</v>
      </c>
      <c r="C126" s="18"/>
      <c r="D126" s="19" t="s">
        <v>1081</v>
      </c>
      <c r="E126" s="20" t="s">
        <v>209</v>
      </c>
      <c r="F126" s="57" t="s">
        <v>1098</v>
      </c>
      <c r="G126" s="58">
        <v>1711</v>
      </c>
      <c r="H126" s="121">
        <f>79200+1674000</f>
        <v>1753200</v>
      </c>
      <c r="I126" s="24"/>
      <c r="J126" s="122">
        <f>H126/1.05</f>
        <v>1669714.2857142857</v>
      </c>
      <c r="K126" s="24">
        <f t="shared" si="11"/>
        <v>1669714.2857142857</v>
      </c>
      <c r="L126" s="123">
        <v>1</v>
      </c>
      <c r="M126" s="24">
        <f t="shared" si="9"/>
        <v>1669714.2857142857</v>
      </c>
      <c r="N126" s="124">
        <f t="shared" si="10"/>
        <v>0</v>
      </c>
      <c r="O126" s="107" t="s">
        <v>1084</v>
      </c>
      <c r="V126" s="131"/>
      <c r="W126" s="15"/>
      <c r="AC126" s="131"/>
      <c r="AD126" s="15"/>
      <c r="AE126" s="132"/>
      <c r="AF126" s="133"/>
      <c r="AG126" s="134"/>
      <c r="AH126" s="134"/>
      <c r="AI126" s="135"/>
      <c r="AJ126" s="136"/>
      <c r="AK126" s="137"/>
      <c r="AL126" s="137"/>
      <c r="AN126" s="138"/>
      <c r="AO126" s="2"/>
      <c r="AP126" s="139"/>
      <c r="BA126" s="131"/>
      <c r="BB126" s="15"/>
      <c r="BC126" s="132"/>
      <c r="BD126" s="133"/>
      <c r="BE126" s="134"/>
      <c r="BF126" s="134"/>
      <c r="BG126" s="135"/>
      <c r="BH126" s="136"/>
      <c r="BI126" s="137"/>
      <c r="BJ126" s="137"/>
      <c r="BL126" s="138"/>
      <c r="BM126" s="2"/>
      <c r="BN126" s="139"/>
      <c r="BY126" s="131"/>
      <c r="BZ126" s="15"/>
      <c r="CA126" s="132"/>
      <c r="CB126" s="133"/>
      <c r="CC126" s="134"/>
      <c r="CD126" s="134"/>
      <c r="CE126" s="135"/>
      <c r="CF126" s="136"/>
      <c r="CG126" s="137"/>
      <c r="CH126" s="137"/>
      <c r="CJ126" s="138"/>
      <c r="CK126" s="2"/>
      <c r="CL126" s="139"/>
      <c r="CW126" s="131"/>
      <c r="CX126" s="15"/>
      <c r="CY126" s="132"/>
      <c r="CZ126" s="133"/>
      <c r="DA126" s="134"/>
      <c r="DB126" s="134"/>
      <c r="DC126" s="135"/>
      <c r="DD126" s="136"/>
      <c r="DE126" s="137"/>
      <c r="DF126" s="137"/>
      <c r="DH126" s="138"/>
      <c r="DI126" s="2"/>
      <c r="DJ126" s="139"/>
      <c r="DU126" s="131"/>
      <c r="DV126" s="15"/>
      <c r="DW126" s="132"/>
      <c r="DX126" s="133"/>
      <c r="DY126" s="134"/>
      <c r="DZ126" s="134"/>
      <c r="EA126" s="135"/>
      <c r="EB126" s="136"/>
      <c r="EC126" s="137"/>
      <c r="ED126" s="137"/>
      <c r="EF126" s="138"/>
      <c r="EG126" s="2"/>
      <c r="EH126" s="139"/>
      <c r="ES126" s="131"/>
      <c r="ET126" s="15"/>
      <c r="EU126" s="132"/>
      <c r="EV126" s="133"/>
      <c r="EW126" s="134"/>
      <c r="EX126" s="134"/>
      <c r="EY126" s="135"/>
      <c r="EZ126" s="136"/>
      <c r="FA126" s="137"/>
      <c r="FB126" s="137"/>
      <c r="FD126" s="138"/>
      <c r="FE126" s="2"/>
      <c r="FF126" s="139"/>
      <c r="FQ126" s="131"/>
      <c r="FR126" s="15"/>
      <c r="FS126" s="132"/>
      <c r="FT126" s="133"/>
      <c r="FU126" s="134"/>
      <c r="FV126" s="134"/>
      <c r="FW126" s="135"/>
      <c r="FX126" s="136"/>
      <c r="FY126" s="137"/>
      <c r="FZ126" s="137"/>
      <c r="GB126" s="138"/>
      <c r="GC126" s="2"/>
      <c r="GD126" s="139"/>
    </row>
    <row r="127" spans="1:188" s="3" customFormat="1">
      <c r="A127" s="80">
        <v>17</v>
      </c>
      <c r="B127" s="29">
        <v>43126</v>
      </c>
      <c r="C127" s="18"/>
      <c r="D127" s="19" t="s">
        <v>1081</v>
      </c>
      <c r="E127" s="20" t="s">
        <v>246</v>
      </c>
      <c r="F127" s="82" t="s">
        <v>1099</v>
      </c>
      <c r="G127" s="58">
        <v>1711</v>
      </c>
      <c r="H127" s="121">
        <f>9000+1209000</f>
        <v>1218000</v>
      </c>
      <c r="I127" s="24"/>
      <c r="J127" s="122">
        <v>1159999</v>
      </c>
      <c r="K127" s="24">
        <f t="shared" si="11"/>
        <v>1159999</v>
      </c>
      <c r="L127" s="123">
        <v>1</v>
      </c>
      <c r="M127" s="24">
        <f t="shared" si="9"/>
        <v>1159999</v>
      </c>
      <c r="N127" s="124">
        <f t="shared" si="10"/>
        <v>0</v>
      </c>
      <c r="O127" s="107" t="s">
        <v>1084</v>
      </c>
      <c r="AE127" s="130"/>
      <c r="AF127" s="130"/>
      <c r="AG127" s="130"/>
      <c r="AH127" s="130"/>
      <c r="AI127" s="130"/>
      <c r="AJ127" s="130"/>
      <c r="AK127" s="130"/>
      <c r="AL127" s="130"/>
      <c r="BC127" s="130"/>
      <c r="BD127" s="130"/>
      <c r="BE127" s="130"/>
      <c r="BF127" s="130"/>
      <c r="BG127" s="130"/>
      <c r="BH127" s="130"/>
      <c r="BI127" s="130"/>
      <c r="BJ127" s="130"/>
      <c r="CA127" s="130"/>
      <c r="CB127" s="130"/>
      <c r="CC127" s="130"/>
      <c r="CD127" s="130"/>
      <c r="CE127" s="130"/>
      <c r="CF127" s="130"/>
      <c r="CG127" s="130"/>
      <c r="CH127" s="130"/>
      <c r="CY127" s="130"/>
      <c r="CZ127" s="130"/>
      <c r="DA127" s="130"/>
      <c r="DB127" s="130"/>
      <c r="DC127" s="130"/>
      <c r="DD127" s="130"/>
      <c r="DE127" s="130"/>
      <c r="DF127" s="130"/>
      <c r="DW127" s="130"/>
      <c r="DX127" s="130"/>
      <c r="DY127" s="130"/>
      <c r="DZ127" s="130"/>
      <c r="EA127" s="130"/>
      <c r="EB127" s="130"/>
      <c r="EC127" s="130"/>
      <c r="ED127" s="130"/>
      <c r="EU127" s="130"/>
      <c r="EV127" s="130"/>
      <c r="EW127" s="130"/>
      <c r="EX127" s="130"/>
      <c r="EY127" s="130"/>
      <c r="EZ127" s="130"/>
      <c r="FA127" s="130"/>
      <c r="FB127" s="130"/>
      <c r="FS127" s="130"/>
      <c r="FT127" s="130"/>
      <c r="FU127" s="130"/>
      <c r="FV127" s="130"/>
      <c r="FW127" s="130"/>
      <c r="FX127" s="130"/>
      <c r="FY127" s="130"/>
      <c r="FZ127" s="130"/>
    </row>
    <row r="128" spans="1:188" s="3" customFormat="1">
      <c r="A128" s="84">
        <v>1</v>
      </c>
      <c r="B128" s="17">
        <v>43070</v>
      </c>
      <c r="C128" s="18"/>
      <c r="D128" s="19" t="s">
        <v>1059</v>
      </c>
      <c r="E128" s="20" t="s">
        <v>169</v>
      </c>
      <c r="F128" s="120" t="s">
        <v>170</v>
      </c>
      <c r="G128" s="58">
        <v>1708</v>
      </c>
      <c r="H128" s="121">
        <v>1674000</v>
      </c>
      <c r="I128" s="24">
        <v>1594286</v>
      </c>
      <c r="J128" s="122"/>
      <c r="K128" s="24">
        <f t="shared" si="11"/>
        <v>1594286</v>
      </c>
      <c r="L128" s="123">
        <v>1</v>
      </c>
      <c r="M128" s="24">
        <f t="shared" si="9"/>
        <v>1594286</v>
      </c>
      <c r="N128" s="124">
        <f t="shared" si="10"/>
        <v>0</v>
      </c>
      <c r="O128" s="85" t="s">
        <v>1100</v>
      </c>
      <c r="AE128" s="141"/>
      <c r="AF128" s="142"/>
      <c r="AG128" s="142"/>
      <c r="AH128" s="142"/>
      <c r="AI128" s="142"/>
      <c r="AJ128" s="142"/>
      <c r="AK128" s="142"/>
      <c r="AL128" s="143"/>
      <c r="BC128" s="141"/>
      <c r="BD128" s="142"/>
      <c r="BE128" s="142"/>
      <c r="BF128" s="142"/>
      <c r="BG128" s="142"/>
      <c r="BH128" s="142"/>
      <c r="BI128" s="142"/>
      <c r="BJ128" s="143"/>
      <c r="CA128" s="141"/>
      <c r="CB128" s="142"/>
      <c r="CC128" s="142"/>
      <c r="CD128" s="142"/>
      <c r="CE128" s="142"/>
      <c r="CF128" s="142"/>
      <c r="CG128" s="142"/>
      <c r="CH128" s="143"/>
      <c r="CY128" s="141"/>
      <c r="CZ128" s="142"/>
      <c r="DA128" s="142"/>
      <c r="DB128" s="142"/>
      <c r="DC128" s="142"/>
      <c r="DD128" s="142"/>
      <c r="DE128" s="142"/>
      <c r="DF128" s="143"/>
      <c r="DW128" s="141"/>
      <c r="DX128" s="142"/>
      <c r="DY128" s="142"/>
      <c r="DZ128" s="142"/>
      <c r="EA128" s="142"/>
      <c r="EB128" s="142"/>
      <c r="EC128" s="142"/>
      <c r="ED128" s="143"/>
      <c r="EU128" s="141"/>
      <c r="EV128" s="142"/>
      <c r="EW128" s="142"/>
      <c r="EX128" s="142"/>
      <c r="EY128" s="142"/>
      <c r="EZ128" s="142"/>
      <c r="FA128" s="142"/>
      <c r="FB128" s="143"/>
      <c r="FS128" s="141"/>
      <c r="FT128" s="142"/>
      <c r="FU128" s="142"/>
      <c r="FV128" s="142"/>
      <c r="FW128" s="142"/>
      <c r="FX128" s="142"/>
      <c r="FY128" s="142"/>
      <c r="FZ128" s="143"/>
    </row>
    <row r="129" spans="1:188" s="125" customFormat="1">
      <c r="A129" s="84">
        <v>2</v>
      </c>
      <c r="B129" s="29">
        <v>43096</v>
      </c>
      <c r="C129" s="18"/>
      <c r="D129" s="19" t="s">
        <v>1059</v>
      </c>
      <c r="E129" s="20" t="s">
        <v>169</v>
      </c>
      <c r="F129" s="82" t="s">
        <v>171</v>
      </c>
      <c r="G129" s="58">
        <v>1708</v>
      </c>
      <c r="H129" s="121">
        <f>6300+1674000</f>
        <v>1680300</v>
      </c>
      <c r="I129" s="24">
        <v>1600286</v>
      </c>
      <c r="J129" s="122"/>
      <c r="K129" s="24">
        <f t="shared" si="11"/>
        <v>1600286</v>
      </c>
      <c r="L129" s="123">
        <v>1</v>
      </c>
      <c r="M129" s="24">
        <f t="shared" si="9"/>
        <v>1600286</v>
      </c>
      <c r="N129" s="27">
        <f t="shared" si="10"/>
        <v>0</v>
      </c>
      <c r="O129" s="85" t="s">
        <v>1100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130"/>
      <c r="AF129" s="130"/>
      <c r="AG129" s="130"/>
      <c r="AH129" s="130"/>
      <c r="AI129" s="130"/>
      <c r="AJ129" s="130"/>
      <c r="AK129" s="130"/>
      <c r="AL129" s="130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130"/>
      <c r="BD129" s="130"/>
      <c r="BE129" s="130"/>
      <c r="BF129" s="130"/>
      <c r="BG129" s="130"/>
      <c r="BH129" s="130"/>
      <c r="BI129" s="130"/>
      <c r="BJ129" s="130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130"/>
      <c r="CB129" s="130"/>
      <c r="CC129" s="130"/>
      <c r="CD129" s="130"/>
      <c r="CE129" s="130"/>
      <c r="CF129" s="130"/>
      <c r="CG129" s="130"/>
      <c r="CH129" s="130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3"/>
      <c r="CV129" s="3"/>
      <c r="CW129" s="3"/>
      <c r="CX129" s="3"/>
      <c r="CY129" s="130"/>
      <c r="CZ129" s="130"/>
      <c r="DA129" s="130"/>
      <c r="DB129" s="130"/>
      <c r="DC129" s="130"/>
      <c r="DD129" s="130"/>
      <c r="DE129" s="130"/>
      <c r="DF129" s="130"/>
      <c r="DG129" s="3"/>
      <c r="DH129" s="3"/>
      <c r="DI129" s="3"/>
      <c r="DJ129" s="3"/>
      <c r="DK129" s="3"/>
      <c r="DL129" s="3"/>
      <c r="DM129" s="3"/>
      <c r="DN129" s="3"/>
      <c r="DO129" s="3"/>
      <c r="DP129" s="3"/>
      <c r="DQ129" s="3"/>
      <c r="DR129" s="3"/>
      <c r="DS129" s="3"/>
      <c r="DT129" s="3"/>
      <c r="DU129" s="3"/>
      <c r="DV129" s="3"/>
      <c r="DW129" s="130"/>
      <c r="DX129" s="130"/>
      <c r="DY129" s="130"/>
      <c r="DZ129" s="130"/>
      <c r="EA129" s="130"/>
      <c r="EB129" s="130"/>
      <c r="EC129" s="130"/>
      <c r="ED129" s="130"/>
      <c r="EE129" s="3"/>
      <c r="EF129" s="3"/>
      <c r="EG129" s="3"/>
      <c r="EH129" s="3"/>
      <c r="EI129" s="3"/>
      <c r="EJ129" s="3"/>
      <c r="EK129" s="3"/>
      <c r="EL129" s="3"/>
      <c r="EM129" s="3"/>
      <c r="EN129" s="3"/>
      <c r="EO129" s="3"/>
      <c r="EP129" s="3"/>
      <c r="EQ129" s="3"/>
      <c r="ER129" s="3"/>
      <c r="ES129" s="3"/>
      <c r="ET129" s="3"/>
      <c r="EU129" s="130"/>
      <c r="EV129" s="130"/>
      <c r="EW129" s="130"/>
      <c r="EX129" s="130"/>
      <c r="EY129" s="130"/>
      <c r="EZ129" s="130"/>
      <c r="FA129" s="130"/>
      <c r="FB129" s="130"/>
      <c r="FC129" s="3"/>
      <c r="FD129" s="3"/>
      <c r="FE129" s="3"/>
      <c r="FF129" s="3"/>
      <c r="FG129" s="3"/>
      <c r="FH129" s="3"/>
      <c r="FI129" s="3"/>
      <c r="FJ129" s="3"/>
      <c r="FK129" s="3"/>
      <c r="FL129" s="3"/>
      <c r="FM129" s="3"/>
      <c r="FN129" s="3"/>
      <c r="FO129" s="3"/>
      <c r="FP129" s="3"/>
      <c r="FQ129" s="3"/>
      <c r="FR129" s="3"/>
      <c r="FS129" s="130"/>
      <c r="FT129" s="130"/>
      <c r="FU129" s="130"/>
      <c r="FV129" s="130"/>
      <c r="FW129" s="130"/>
      <c r="FX129" s="130"/>
      <c r="FY129" s="130"/>
      <c r="FZ129" s="130"/>
      <c r="GA129" s="3"/>
      <c r="GB129" s="3"/>
      <c r="GC129" s="3"/>
      <c r="GD129" s="3"/>
      <c r="GE129" s="3"/>
      <c r="GF129" s="3"/>
    </row>
    <row r="130" spans="1:188" s="3" customFormat="1">
      <c r="A130" s="84">
        <v>3</v>
      </c>
      <c r="B130" s="29">
        <v>43033</v>
      </c>
      <c r="C130" s="18"/>
      <c r="D130" s="19" t="s">
        <v>1061</v>
      </c>
      <c r="E130" s="20" t="s">
        <v>173</v>
      </c>
      <c r="F130" s="82" t="s">
        <v>174</v>
      </c>
      <c r="G130" s="58">
        <v>1708</v>
      </c>
      <c r="H130" s="121">
        <f>90000+1302000</f>
        <v>1392000</v>
      </c>
      <c r="I130" s="24">
        <v>1325714</v>
      </c>
      <c r="J130" s="122"/>
      <c r="K130" s="24">
        <f t="shared" si="11"/>
        <v>1325714</v>
      </c>
      <c r="L130" s="123">
        <v>1</v>
      </c>
      <c r="M130" s="24">
        <f t="shared" si="9"/>
        <v>1325714</v>
      </c>
      <c r="N130" s="27">
        <f t="shared" si="10"/>
        <v>0</v>
      </c>
      <c r="O130" s="85" t="s">
        <v>1100</v>
      </c>
    </row>
    <row r="131" spans="1:188" s="3" customFormat="1">
      <c r="A131" s="84">
        <v>4</v>
      </c>
      <c r="B131" s="17">
        <v>43104</v>
      </c>
      <c r="C131" s="18"/>
      <c r="D131" s="19" t="s">
        <v>1061</v>
      </c>
      <c r="E131" s="20" t="s">
        <v>173</v>
      </c>
      <c r="F131" s="120" t="s">
        <v>1101</v>
      </c>
      <c r="G131" s="58">
        <v>1709</v>
      </c>
      <c r="H131" s="121">
        <f>90000+1302000</f>
        <v>1392000</v>
      </c>
      <c r="I131" s="24"/>
      <c r="J131" s="122">
        <f>H131/1.05</f>
        <v>1325714.2857142857</v>
      </c>
      <c r="K131" s="24">
        <f t="shared" si="11"/>
        <v>1325714.2857142857</v>
      </c>
      <c r="L131" s="123">
        <v>1</v>
      </c>
      <c r="M131" s="24">
        <f t="shared" si="9"/>
        <v>1325714.2857142857</v>
      </c>
      <c r="N131" s="124">
        <f t="shared" si="10"/>
        <v>0</v>
      </c>
      <c r="O131" s="85" t="s">
        <v>1100</v>
      </c>
      <c r="P131" s="125"/>
      <c r="Q131" s="125"/>
      <c r="R131" s="125"/>
      <c r="S131" s="125"/>
      <c r="T131" s="125"/>
      <c r="U131" s="125"/>
      <c r="V131" s="125"/>
      <c r="W131" s="125"/>
      <c r="X131" s="125"/>
      <c r="Y131" s="125"/>
      <c r="Z131" s="125"/>
      <c r="AA131" s="125"/>
      <c r="AB131" s="125"/>
      <c r="AC131" s="125"/>
      <c r="AD131" s="125"/>
      <c r="AE131" s="125"/>
      <c r="AF131" s="125"/>
      <c r="AG131" s="125"/>
      <c r="AH131" s="125"/>
      <c r="AI131" s="125"/>
      <c r="AJ131" s="125"/>
      <c r="AK131" s="125"/>
      <c r="AL131" s="125"/>
      <c r="AM131" s="125"/>
      <c r="AN131" s="125"/>
      <c r="AO131" s="125"/>
      <c r="AP131" s="125"/>
      <c r="AQ131" s="125"/>
      <c r="AR131" s="125"/>
      <c r="AS131" s="125"/>
      <c r="AT131" s="125"/>
      <c r="AU131" s="125"/>
      <c r="AV131" s="125"/>
      <c r="AW131" s="125"/>
      <c r="AX131" s="125"/>
      <c r="AY131" s="125"/>
      <c r="AZ131" s="125"/>
      <c r="BA131" s="125"/>
      <c r="BB131" s="125"/>
      <c r="BC131" s="125"/>
      <c r="BD131" s="125"/>
      <c r="BE131" s="125"/>
      <c r="BF131" s="125"/>
      <c r="BG131" s="125"/>
      <c r="BH131" s="125"/>
      <c r="BI131" s="125"/>
      <c r="BJ131" s="125"/>
      <c r="BK131" s="125"/>
      <c r="BL131" s="125"/>
      <c r="BM131" s="125"/>
      <c r="BN131" s="125"/>
      <c r="BO131" s="125"/>
      <c r="BP131" s="125"/>
      <c r="BQ131" s="125"/>
      <c r="BR131" s="125"/>
      <c r="BS131" s="125"/>
      <c r="BT131" s="125"/>
      <c r="BU131" s="125"/>
      <c r="BV131" s="125"/>
      <c r="BW131" s="125"/>
      <c r="BX131" s="125"/>
      <c r="BY131" s="125"/>
      <c r="BZ131" s="125"/>
      <c r="CA131" s="125"/>
      <c r="CB131" s="125"/>
      <c r="CC131" s="125"/>
      <c r="CD131" s="125"/>
      <c r="CE131" s="125"/>
      <c r="CF131" s="125"/>
      <c r="CG131" s="125"/>
      <c r="CH131" s="125"/>
      <c r="CI131" s="125"/>
      <c r="CJ131" s="125"/>
      <c r="CK131" s="125"/>
      <c r="CL131" s="125"/>
      <c r="CM131" s="125"/>
      <c r="CN131" s="125"/>
      <c r="CO131" s="125"/>
      <c r="CP131" s="125"/>
      <c r="CQ131" s="125"/>
      <c r="CR131" s="125"/>
      <c r="CS131" s="125"/>
      <c r="CT131" s="125"/>
      <c r="CU131" s="125"/>
      <c r="CV131" s="125"/>
      <c r="CW131" s="125"/>
      <c r="CX131" s="125"/>
      <c r="CY131" s="125"/>
      <c r="CZ131" s="125"/>
      <c r="DA131" s="125"/>
      <c r="DB131" s="125"/>
      <c r="DC131" s="125"/>
      <c r="DD131" s="125"/>
      <c r="DE131" s="125"/>
      <c r="DF131" s="125"/>
      <c r="DG131" s="125"/>
      <c r="DH131" s="125"/>
      <c r="DI131" s="125"/>
      <c r="DJ131" s="125"/>
      <c r="DK131" s="125"/>
      <c r="DL131" s="125"/>
      <c r="DM131" s="125"/>
      <c r="DN131" s="125"/>
      <c r="DO131" s="125"/>
      <c r="DP131" s="125"/>
      <c r="DQ131" s="125"/>
      <c r="DR131" s="125"/>
      <c r="DS131" s="125"/>
      <c r="DT131" s="125"/>
      <c r="DU131" s="125"/>
      <c r="DV131" s="125"/>
      <c r="DW131" s="125"/>
      <c r="DX131" s="125"/>
      <c r="DY131" s="125"/>
      <c r="DZ131" s="125"/>
      <c r="EA131" s="125"/>
      <c r="EB131" s="125"/>
      <c r="EC131" s="125"/>
      <c r="ED131" s="125"/>
      <c r="EE131" s="125"/>
      <c r="EF131" s="125"/>
      <c r="EG131" s="125"/>
      <c r="EH131" s="125"/>
      <c r="EI131" s="125"/>
      <c r="EJ131" s="125"/>
      <c r="EK131" s="125"/>
      <c r="EL131" s="125"/>
      <c r="EM131" s="125"/>
      <c r="EN131" s="125"/>
      <c r="EO131" s="125"/>
      <c r="EP131" s="125"/>
      <c r="EQ131" s="125"/>
      <c r="ER131" s="125"/>
      <c r="ES131" s="125"/>
      <c r="ET131" s="125"/>
      <c r="EU131" s="125"/>
      <c r="EV131" s="125"/>
      <c r="EW131" s="125"/>
      <c r="EX131" s="125"/>
      <c r="EY131" s="125"/>
      <c r="EZ131" s="125"/>
      <c r="FA131" s="125"/>
      <c r="FB131" s="125"/>
      <c r="FC131" s="125"/>
      <c r="FD131" s="125"/>
      <c r="FE131" s="125"/>
      <c r="FF131" s="125"/>
      <c r="FG131" s="125"/>
      <c r="FH131" s="125"/>
      <c r="FI131" s="125"/>
      <c r="FJ131" s="125"/>
      <c r="FK131" s="125"/>
      <c r="FL131" s="125"/>
      <c r="FM131" s="125"/>
      <c r="FN131" s="125"/>
      <c r="FO131" s="125"/>
      <c r="FP131" s="125"/>
      <c r="FQ131" s="125"/>
      <c r="FR131" s="125"/>
      <c r="FS131" s="125"/>
      <c r="FT131" s="125"/>
      <c r="FU131" s="125"/>
      <c r="FV131" s="125"/>
      <c r="FW131" s="125"/>
      <c r="FX131" s="125"/>
      <c r="FY131" s="125"/>
      <c r="FZ131" s="125"/>
      <c r="GA131" s="125"/>
      <c r="GB131" s="125"/>
      <c r="GC131" s="125"/>
      <c r="GD131" s="125"/>
      <c r="GE131" s="125"/>
      <c r="GF131" s="125"/>
    </row>
    <row r="132" spans="1:188" s="3" customFormat="1">
      <c r="A132" s="84">
        <v>5</v>
      </c>
      <c r="B132" s="29">
        <v>43129</v>
      </c>
      <c r="C132" s="18" t="s">
        <v>1102</v>
      </c>
      <c r="D132" s="19" t="s">
        <v>1061</v>
      </c>
      <c r="E132" s="20" t="s">
        <v>1064</v>
      </c>
      <c r="F132" s="82" t="s">
        <v>1103</v>
      </c>
      <c r="G132" s="58">
        <v>1708</v>
      </c>
      <c r="H132" s="121">
        <v>1469400</v>
      </c>
      <c r="I132" s="24"/>
      <c r="J132" s="122">
        <v>1399429</v>
      </c>
      <c r="K132" s="24">
        <f t="shared" si="11"/>
        <v>1399429</v>
      </c>
      <c r="L132" s="123">
        <v>1</v>
      </c>
      <c r="M132" s="24">
        <f t="shared" si="9"/>
        <v>1399429</v>
      </c>
      <c r="N132" s="124">
        <f t="shared" si="10"/>
        <v>0</v>
      </c>
      <c r="O132" s="85" t="s">
        <v>1100</v>
      </c>
      <c r="P132" s="125"/>
      <c r="Q132" s="125"/>
      <c r="R132" s="125"/>
      <c r="S132" s="125"/>
      <c r="T132" s="125"/>
      <c r="U132" s="125"/>
      <c r="V132" s="125"/>
      <c r="W132" s="125"/>
      <c r="X132" s="125"/>
      <c r="Y132" s="125"/>
      <c r="Z132" s="125"/>
      <c r="AA132" s="125"/>
      <c r="AB132" s="125"/>
      <c r="AC132" s="125"/>
      <c r="AD132" s="125"/>
      <c r="AE132" s="125"/>
      <c r="AF132" s="125"/>
      <c r="AG132" s="125"/>
      <c r="AH132" s="125"/>
      <c r="AI132" s="125"/>
      <c r="AJ132" s="125"/>
      <c r="AK132" s="125"/>
      <c r="AL132" s="125"/>
      <c r="AM132" s="125"/>
      <c r="AN132" s="125"/>
      <c r="AO132" s="125"/>
      <c r="AP132" s="125"/>
      <c r="AQ132" s="125"/>
      <c r="AR132" s="125"/>
      <c r="AS132" s="125"/>
      <c r="AT132" s="125"/>
      <c r="AU132" s="125"/>
      <c r="AV132" s="125"/>
      <c r="AW132" s="125"/>
      <c r="AX132" s="125"/>
      <c r="AY132" s="125"/>
      <c r="AZ132" s="125"/>
      <c r="BA132" s="125"/>
      <c r="BB132" s="125"/>
      <c r="BC132" s="125"/>
      <c r="BD132" s="125"/>
      <c r="BE132" s="125"/>
      <c r="BF132" s="125"/>
      <c r="BG132" s="125"/>
      <c r="BH132" s="125"/>
      <c r="BI132" s="125"/>
      <c r="BJ132" s="125"/>
      <c r="BK132" s="125"/>
      <c r="BL132" s="125"/>
      <c r="BM132" s="125"/>
      <c r="BN132" s="125"/>
      <c r="BO132" s="125"/>
      <c r="BP132" s="125"/>
      <c r="BQ132" s="125"/>
      <c r="BR132" s="125"/>
      <c r="BS132" s="125"/>
      <c r="BT132" s="125"/>
      <c r="BU132" s="125"/>
      <c r="BV132" s="125"/>
      <c r="BW132" s="125"/>
      <c r="BX132" s="125"/>
      <c r="BY132" s="125"/>
      <c r="BZ132" s="125"/>
      <c r="CA132" s="125"/>
      <c r="CB132" s="125"/>
      <c r="CC132" s="125"/>
      <c r="CD132" s="125"/>
      <c r="CE132" s="125"/>
      <c r="CF132" s="125"/>
      <c r="CG132" s="125"/>
      <c r="CH132" s="125"/>
      <c r="CI132" s="125"/>
      <c r="CJ132" s="125"/>
      <c r="CK132" s="125"/>
      <c r="CL132" s="125"/>
      <c r="CM132" s="125"/>
      <c r="CN132" s="125"/>
      <c r="CO132" s="125"/>
      <c r="CP132" s="125"/>
      <c r="CQ132" s="125"/>
      <c r="CR132" s="125"/>
      <c r="CS132" s="125"/>
      <c r="CT132" s="125"/>
      <c r="CU132" s="125"/>
      <c r="CV132" s="125"/>
      <c r="CW132" s="125"/>
      <c r="CX132" s="125"/>
      <c r="CY132" s="125"/>
      <c r="CZ132" s="125"/>
      <c r="DA132" s="125"/>
      <c r="DB132" s="125"/>
      <c r="DC132" s="125"/>
      <c r="DD132" s="125"/>
      <c r="DE132" s="125"/>
      <c r="DF132" s="125"/>
      <c r="DG132" s="125"/>
      <c r="DH132" s="125"/>
      <c r="DI132" s="125"/>
      <c r="DJ132" s="125"/>
      <c r="DK132" s="125"/>
      <c r="DL132" s="125"/>
      <c r="DM132" s="125"/>
      <c r="DN132" s="125"/>
      <c r="DO132" s="125"/>
      <c r="DP132" s="125"/>
      <c r="DQ132" s="125"/>
      <c r="DR132" s="125"/>
      <c r="DS132" s="125"/>
      <c r="DT132" s="125"/>
      <c r="DU132" s="125"/>
      <c r="DV132" s="125"/>
      <c r="DW132" s="125"/>
      <c r="DX132" s="125"/>
      <c r="DY132" s="125"/>
      <c r="DZ132" s="125"/>
      <c r="EA132" s="125"/>
      <c r="EB132" s="125"/>
      <c r="EC132" s="125"/>
      <c r="ED132" s="125"/>
      <c r="EE132" s="125"/>
      <c r="EF132" s="125"/>
      <c r="EG132" s="125"/>
      <c r="EH132" s="125"/>
      <c r="EI132" s="125"/>
      <c r="EJ132" s="125"/>
      <c r="EK132" s="125"/>
      <c r="EL132" s="125"/>
      <c r="EM132" s="125"/>
      <c r="EN132" s="125"/>
      <c r="EO132" s="125"/>
      <c r="EP132" s="125"/>
      <c r="EQ132" s="125"/>
      <c r="ER132" s="125"/>
      <c r="ES132" s="125"/>
      <c r="ET132" s="125"/>
      <c r="EU132" s="125"/>
      <c r="EV132" s="125"/>
      <c r="EW132" s="125"/>
      <c r="EX132" s="125"/>
      <c r="EY132" s="125"/>
      <c r="EZ132" s="125"/>
      <c r="FA132" s="125"/>
      <c r="FB132" s="125"/>
      <c r="FC132" s="125"/>
      <c r="FD132" s="125"/>
      <c r="FE132" s="125"/>
      <c r="FF132" s="125"/>
      <c r="FG132" s="125"/>
      <c r="FH132" s="125"/>
      <c r="FI132" s="125"/>
      <c r="FJ132" s="125"/>
      <c r="FK132" s="125"/>
      <c r="FL132" s="125"/>
      <c r="FM132" s="125"/>
      <c r="FN132" s="125"/>
      <c r="FO132" s="125"/>
      <c r="FP132" s="125"/>
      <c r="FQ132" s="125"/>
      <c r="FR132" s="125"/>
      <c r="FS132" s="125"/>
      <c r="FT132" s="125"/>
      <c r="FU132" s="125"/>
      <c r="FV132" s="125"/>
      <c r="FW132" s="125"/>
      <c r="FX132" s="125"/>
      <c r="FY132" s="125"/>
      <c r="FZ132" s="125"/>
      <c r="GA132" s="125"/>
      <c r="GB132" s="125"/>
      <c r="GC132" s="125"/>
      <c r="GD132" s="125"/>
      <c r="GE132" s="125"/>
      <c r="GF132" s="125"/>
    </row>
    <row r="133" spans="1:188" s="3" customFormat="1">
      <c r="A133" s="84">
        <v>6</v>
      </c>
      <c r="B133" s="128">
        <v>43112</v>
      </c>
      <c r="C133" s="18" t="s">
        <v>1102</v>
      </c>
      <c r="D133" s="19" t="s">
        <v>1061</v>
      </c>
      <c r="E133" s="20" t="s">
        <v>1104</v>
      </c>
      <c r="F133" s="120" t="s">
        <v>1105</v>
      </c>
      <c r="G133" s="58">
        <v>1708</v>
      </c>
      <c r="H133" s="121">
        <f>1069500+20000+11500</f>
        <v>1101000</v>
      </c>
      <c r="I133" s="24"/>
      <c r="J133" s="122">
        <v>1048571</v>
      </c>
      <c r="K133" s="24">
        <f t="shared" si="11"/>
        <v>1048571</v>
      </c>
      <c r="L133" s="123">
        <v>1</v>
      </c>
      <c r="M133" s="24">
        <f t="shared" si="9"/>
        <v>1048571</v>
      </c>
      <c r="N133" s="124">
        <f t="shared" si="10"/>
        <v>0</v>
      </c>
      <c r="O133" s="85" t="s">
        <v>1100</v>
      </c>
      <c r="P133" s="125"/>
      <c r="Q133" s="125"/>
      <c r="R133" s="125"/>
      <c r="S133" s="125"/>
      <c r="T133" s="125"/>
      <c r="U133" s="125"/>
      <c r="V133" s="125"/>
      <c r="W133" s="125"/>
      <c r="X133" s="125"/>
      <c r="Y133" s="125"/>
      <c r="Z133" s="125"/>
      <c r="AA133" s="125"/>
      <c r="AB133" s="125"/>
      <c r="AC133" s="125"/>
      <c r="AD133" s="125"/>
      <c r="AE133" s="125"/>
      <c r="AF133" s="125"/>
      <c r="AG133" s="125"/>
      <c r="AH133" s="125"/>
      <c r="AI133" s="125"/>
      <c r="AJ133" s="125"/>
      <c r="AK133" s="125"/>
      <c r="AL133" s="125"/>
      <c r="AM133" s="125"/>
      <c r="AN133" s="125"/>
      <c r="AO133" s="125"/>
      <c r="AP133" s="125"/>
      <c r="AQ133" s="125"/>
      <c r="AR133" s="125"/>
      <c r="AS133" s="125"/>
      <c r="AT133" s="125"/>
      <c r="AU133" s="125"/>
      <c r="AV133" s="125"/>
      <c r="AW133" s="125"/>
      <c r="AX133" s="125"/>
      <c r="AY133" s="125"/>
      <c r="AZ133" s="125"/>
      <c r="BA133" s="125"/>
      <c r="BB133" s="125"/>
      <c r="BC133" s="125"/>
      <c r="BD133" s="125"/>
      <c r="BE133" s="125"/>
      <c r="BF133" s="125"/>
      <c r="BG133" s="125"/>
      <c r="BH133" s="125"/>
      <c r="BI133" s="125"/>
      <c r="BJ133" s="125"/>
      <c r="BK133" s="125"/>
      <c r="BL133" s="125"/>
      <c r="BM133" s="125"/>
      <c r="BN133" s="125"/>
      <c r="BO133" s="125"/>
      <c r="BP133" s="125"/>
      <c r="BQ133" s="125"/>
      <c r="BR133" s="125"/>
      <c r="BS133" s="125"/>
      <c r="BT133" s="125"/>
      <c r="BU133" s="125"/>
      <c r="BV133" s="125"/>
      <c r="BW133" s="125"/>
      <c r="BX133" s="125"/>
      <c r="BY133" s="125"/>
      <c r="BZ133" s="125"/>
      <c r="CA133" s="125"/>
      <c r="CB133" s="125"/>
      <c r="CC133" s="125"/>
      <c r="CD133" s="125"/>
      <c r="CE133" s="125"/>
      <c r="CF133" s="125"/>
      <c r="CG133" s="125"/>
      <c r="CH133" s="125"/>
      <c r="CI133" s="125"/>
      <c r="CJ133" s="125"/>
      <c r="CK133" s="125"/>
      <c r="CL133" s="125"/>
      <c r="CM133" s="125"/>
      <c r="CN133" s="125"/>
      <c r="CO133" s="125"/>
      <c r="CP133" s="125"/>
      <c r="CQ133" s="125"/>
      <c r="CR133" s="125"/>
      <c r="CS133" s="125"/>
      <c r="CT133" s="125"/>
      <c r="CU133" s="125"/>
      <c r="CV133" s="125"/>
      <c r="CW133" s="125"/>
      <c r="CX133" s="125"/>
      <c r="CY133" s="125"/>
      <c r="CZ133" s="125"/>
      <c r="DA133" s="125"/>
      <c r="DB133" s="125"/>
      <c r="DC133" s="125"/>
      <c r="DD133" s="125"/>
      <c r="DE133" s="125"/>
      <c r="DF133" s="125"/>
      <c r="DG133" s="125"/>
      <c r="DH133" s="125"/>
      <c r="DI133" s="125"/>
      <c r="DJ133" s="125"/>
      <c r="DK133" s="125"/>
      <c r="DL133" s="125"/>
      <c r="DM133" s="125"/>
      <c r="DN133" s="125"/>
      <c r="DO133" s="125"/>
      <c r="DP133" s="125"/>
      <c r="DQ133" s="125"/>
      <c r="DR133" s="125"/>
      <c r="DS133" s="125"/>
      <c r="DT133" s="125"/>
      <c r="DU133" s="125"/>
      <c r="DV133" s="125"/>
      <c r="DW133" s="125"/>
      <c r="DX133" s="125"/>
      <c r="DY133" s="125"/>
      <c r="DZ133" s="125"/>
      <c r="EA133" s="125"/>
      <c r="EB133" s="125"/>
      <c r="EC133" s="125"/>
      <c r="ED133" s="125"/>
      <c r="EE133" s="125"/>
      <c r="EF133" s="125"/>
      <c r="EG133" s="125"/>
      <c r="EH133" s="125"/>
      <c r="EI133" s="125"/>
      <c r="EJ133" s="125"/>
      <c r="EK133" s="125"/>
      <c r="EL133" s="125"/>
      <c r="EM133" s="125"/>
      <c r="EN133" s="125"/>
      <c r="EO133" s="125"/>
      <c r="EP133" s="125"/>
      <c r="EQ133" s="125"/>
      <c r="ER133" s="125"/>
      <c r="ES133" s="125"/>
      <c r="ET133" s="125"/>
      <c r="EU133" s="125"/>
      <c r="EV133" s="125"/>
      <c r="EW133" s="125"/>
      <c r="EX133" s="125"/>
      <c r="EY133" s="125"/>
      <c r="EZ133" s="125"/>
      <c r="FA133" s="125"/>
      <c r="FB133" s="125"/>
      <c r="FC133" s="125"/>
      <c r="FD133" s="125"/>
      <c r="FE133" s="125"/>
      <c r="FF133" s="125"/>
      <c r="FG133" s="125"/>
      <c r="FH133" s="125"/>
      <c r="FI133" s="125"/>
      <c r="FJ133" s="125"/>
      <c r="FK133" s="125"/>
      <c r="FL133" s="125"/>
      <c r="FM133" s="125"/>
      <c r="FN133" s="125"/>
      <c r="FO133" s="125"/>
      <c r="FP133" s="125"/>
      <c r="FQ133" s="125"/>
      <c r="FR133" s="125"/>
      <c r="FS133" s="125"/>
      <c r="FT133" s="125"/>
      <c r="FU133" s="125"/>
      <c r="FV133" s="125"/>
      <c r="FW133" s="125"/>
      <c r="FX133" s="125"/>
      <c r="FY133" s="125"/>
      <c r="FZ133" s="125"/>
      <c r="GA133" s="125"/>
      <c r="GB133" s="125"/>
      <c r="GC133" s="125"/>
      <c r="GD133" s="125"/>
      <c r="GE133" s="125"/>
      <c r="GF133" s="125"/>
    </row>
    <row r="134" spans="1:188" s="3" customFormat="1">
      <c r="A134" s="84">
        <v>7</v>
      </c>
      <c r="B134" s="29">
        <v>42891</v>
      </c>
      <c r="C134" s="18"/>
      <c r="D134" s="19" t="s">
        <v>178</v>
      </c>
      <c r="E134" s="20" t="s">
        <v>1068</v>
      </c>
      <c r="F134" s="82" t="s">
        <v>1106</v>
      </c>
      <c r="G134" s="58">
        <v>1703</v>
      </c>
      <c r="H134" s="121"/>
      <c r="I134" s="24">
        <v>1238095</v>
      </c>
      <c r="J134" s="24"/>
      <c r="K134" s="24">
        <f t="shared" si="11"/>
        <v>1238095</v>
      </c>
      <c r="L134" s="123">
        <v>1</v>
      </c>
      <c r="M134" s="24">
        <f t="shared" si="9"/>
        <v>1238095</v>
      </c>
      <c r="N134" s="124">
        <f t="shared" si="10"/>
        <v>0</v>
      </c>
      <c r="O134" s="85" t="s">
        <v>1100</v>
      </c>
      <c r="P134" s="125"/>
      <c r="Q134" s="125"/>
      <c r="R134" s="125"/>
      <c r="S134" s="125"/>
      <c r="T134" s="125"/>
      <c r="U134" s="125"/>
      <c r="V134" s="125"/>
      <c r="W134" s="125"/>
      <c r="X134" s="125"/>
      <c r="Y134" s="125"/>
      <c r="Z134" s="125"/>
      <c r="AA134" s="125"/>
      <c r="AB134" s="125"/>
      <c r="AC134" s="125"/>
      <c r="AD134" s="125"/>
      <c r="AE134" s="125"/>
      <c r="AF134" s="125"/>
      <c r="AG134" s="125"/>
      <c r="AH134" s="125"/>
      <c r="AI134" s="125"/>
      <c r="AJ134" s="125"/>
      <c r="AK134" s="125"/>
      <c r="AL134" s="125"/>
      <c r="AM134" s="125"/>
      <c r="AN134" s="125"/>
      <c r="AO134" s="125"/>
      <c r="AP134" s="125"/>
      <c r="AQ134" s="125"/>
      <c r="AR134" s="125"/>
      <c r="AS134" s="125"/>
      <c r="AT134" s="125"/>
      <c r="AU134" s="125"/>
      <c r="AV134" s="125"/>
      <c r="AW134" s="125"/>
      <c r="AX134" s="125"/>
      <c r="AY134" s="125"/>
      <c r="AZ134" s="125"/>
      <c r="BA134" s="125"/>
      <c r="BB134" s="125"/>
      <c r="BC134" s="125"/>
      <c r="BD134" s="125"/>
      <c r="BE134" s="125"/>
      <c r="BF134" s="125"/>
      <c r="BG134" s="125"/>
      <c r="BH134" s="125"/>
      <c r="BI134" s="125"/>
      <c r="BJ134" s="125"/>
      <c r="BK134" s="125"/>
      <c r="BL134" s="125"/>
      <c r="BM134" s="125"/>
      <c r="BN134" s="125"/>
      <c r="BO134" s="125"/>
      <c r="BP134" s="125"/>
      <c r="BQ134" s="125"/>
      <c r="BR134" s="125"/>
      <c r="BS134" s="125"/>
      <c r="BT134" s="125"/>
      <c r="BU134" s="125"/>
      <c r="BV134" s="125"/>
      <c r="BW134" s="125"/>
      <c r="BX134" s="125"/>
      <c r="BY134" s="125"/>
      <c r="BZ134" s="125"/>
      <c r="CA134" s="125"/>
      <c r="CB134" s="125"/>
      <c r="CC134" s="125"/>
      <c r="CD134" s="125"/>
      <c r="CE134" s="125"/>
      <c r="CF134" s="125"/>
      <c r="CG134" s="125"/>
      <c r="CH134" s="125"/>
      <c r="CI134" s="125"/>
      <c r="CJ134" s="125"/>
      <c r="CK134" s="125"/>
      <c r="CL134" s="125"/>
      <c r="CM134" s="125"/>
      <c r="CN134" s="125"/>
      <c r="CO134" s="125"/>
      <c r="CP134" s="125"/>
      <c r="CQ134" s="125"/>
      <c r="CR134" s="125"/>
      <c r="CS134" s="125"/>
      <c r="CT134" s="125"/>
      <c r="CU134" s="125"/>
      <c r="CV134" s="125"/>
      <c r="CW134" s="125"/>
      <c r="CX134" s="125"/>
      <c r="CY134" s="125"/>
      <c r="CZ134" s="125"/>
      <c r="DA134" s="125"/>
      <c r="DB134" s="125"/>
      <c r="DC134" s="125"/>
      <c r="DD134" s="125"/>
      <c r="DE134" s="125"/>
      <c r="DF134" s="125"/>
      <c r="DG134" s="125"/>
      <c r="DH134" s="125"/>
      <c r="DI134" s="125"/>
      <c r="DJ134" s="125"/>
      <c r="DK134" s="125"/>
      <c r="DL134" s="125"/>
      <c r="DM134" s="125"/>
      <c r="DN134" s="125"/>
      <c r="DO134" s="125"/>
      <c r="DP134" s="125"/>
      <c r="DQ134" s="125"/>
      <c r="DR134" s="125"/>
      <c r="DS134" s="125"/>
      <c r="DT134" s="125"/>
      <c r="DU134" s="125"/>
      <c r="DV134" s="125"/>
      <c r="DW134" s="125"/>
      <c r="DX134" s="125"/>
      <c r="DY134" s="125"/>
      <c r="DZ134" s="125"/>
      <c r="EA134" s="125"/>
      <c r="EB134" s="125"/>
      <c r="EC134" s="125"/>
      <c r="ED134" s="125"/>
      <c r="EE134" s="125"/>
      <c r="EF134" s="125"/>
      <c r="EG134" s="125"/>
      <c r="EH134" s="125"/>
      <c r="EI134" s="125"/>
      <c r="EJ134" s="125"/>
      <c r="EK134" s="125"/>
      <c r="EL134" s="125"/>
      <c r="EM134" s="125"/>
      <c r="EN134" s="125"/>
      <c r="EO134" s="125"/>
      <c r="EP134" s="125"/>
      <c r="EQ134" s="125"/>
      <c r="ER134" s="125"/>
      <c r="ES134" s="125"/>
      <c r="ET134" s="125"/>
      <c r="EU134" s="125"/>
      <c r="EV134" s="125"/>
      <c r="EW134" s="125"/>
      <c r="EX134" s="125"/>
      <c r="EY134" s="125"/>
      <c r="EZ134" s="125"/>
      <c r="FA134" s="125"/>
      <c r="FB134" s="125"/>
      <c r="FC134" s="125"/>
      <c r="FD134" s="125"/>
      <c r="FE134" s="125"/>
      <c r="FF134" s="125"/>
      <c r="FG134" s="125"/>
      <c r="FH134" s="125"/>
      <c r="FI134" s="125"/>
      <c r="FJ134" s="125"/>
      <c r="FK134" s="125"/>
      <c r="FL134" s="125"/>
      <c r="FM134" s="125"/>
      <c r="FN134" s="125"/>
      <c r="FO134" s="125"/>
      <c r="FP134" s="125"/>
      <c r="FQ134" s="125"/>
      <c r="FR134" s="125"/>
      <c r="FS134" s="125"/>
      <c r="FT134" s="125"/>
      <c r="FU134" s="125"/>
      <c r="FV134" s="125"/>
      <c r="FW134" s="125"/>
      <c r="FX134" s="125"/>
      <c r="FY134" s="125"/>
      <c r="FZ134" s="125"/>
      <c r="GA134" s="125"/>
      <c r="GB134" s="125"/>
      <c r="GC134" s="125"/>
      <c r="GD134" s="125"/>
      <c r="GE134" s="125"/>
      <c r="GF134" s="125"/>
    </row>
    <row r="135" spans="1:188" s="3" customFormat="1">
      <c r="A135" s="84">
        <v>8</v>
      </c>
      <c r="B135" s="29">
        <v>43004</v>
      </c>
      <c r="C135" s="18"/>
      <c r="D135" s="19" t="s">
        <v>1068</v>
      </c>
      <c r="E135" s="20" t="s">
        <v>1086</v>
      </c>
      <c r="F135" s="82" t="s">
        <v>199</v>
      </c>
      <c r="G135" s="58">
        <v>1707</v>
      </c>
      <c r="H135" s="121">
        <f>60000+1488000</f>
        <v>1548000</v>
      </c>
      <c r="I135" s="24">
        <v>1474286</v>
      </c>
      <c r="J135" s="122"/>
      <c r="K135" s="24">
        <f t="shared" si="11"/>
        <v>1474286</v>
      </c>
      <c r="L135" s="123">
        <v>1</v>
      </c>
      <c r="M135" s="24">
        <f t="shared" si="9"/>
        <v>1474286</v>
      </c>
      <c r="N135" s="27">
        <f t="shared" si="10"/>
        <v>0</v>
      </c>
      <c r="O135" s="85" t="s">
        <v>1100</v>
      </c>
      <c r="P135" s="125"/>
      <c r="Q135" s="125"/>
      <c r="R135" s="125"/>
      <c r="S135" s="125"/>
      <c r="T135" s="125"/>
      <c r="U135" s="125"/>
      <c r="V135" s="125"/>
      <c r="W135" s="125"/>
      <c r="X135" s="125"/>
      <c r="Y135" s="125"/>
      <c r="Z135" s="125"/>
      <c r="AA135" s="125"/>
      <c r="AB135" s="125"/>
      <c r="AC135" s="125"/>
      <c r="AD135" s="125"/>
      <c r="AE135" s="125"/>
      <c r="AF135" s="125"/>
      <c r="AG135" s="125"/>
      <c r="AH135" s="125"/>
      <c r="AI135" s="125"/>
      <c r="AJ135" s="125"/>
      <c r="AK135" s="125"/>
      <c r="AL135" s="125"/>
      <c r="AM135" s="125"/>
      <c r="AN135" s="125"/>
      <c r="AO135" s="125"/>
      <c r="AP135" s="125"/>
      <c r="AQ135" s="125"/>
      <c r="AR135" s="125"/>
      <c r="AS135" s="125"/>
      <c r="AT135" s="125"/>
      <c r="AU135" s="125"/>
      <c r="AV135" s="125"/>
      <c r="AW135" s="125"/>
      <c r="AX135" s="125"/>
      <c r="AY135" s="125"/>
      <c r="AZ135" s="125"/>
      <c r="BA135" s="125"/>
      <c r="BB135" s="125"/>
      <c r="BC135" s="125"/>
      <c r="BD135" s="125"/>
      <c r="BE135" s="125"/>
      <c r="BF135" s="125"/>
      <c r="BG135" s="125"/>
      <c r="BH135" s="125"/>
      <c r="BI135" s="125"/>
      <c r="BJ135" s="125"/>
      <c r="BK135" s="125"/>
      <c r="BL135" s="125"/>
      <c r="BM135" s="125"/>
      <c r="BN135" s="125"/>
      <c r="BO135" s="125"/>
      <c r="BP135" s="125"/>
      <c r="BQ135" s="125"/>
      <c r="BR135" s="125"/>
      <c r="BS135" s="125"/>
      <c r="BT135" s="125"/>
      <c r="BU135" s="125"/>
      <c r="BV135" s="125"/>
      <c r="BW135" s="125"/>
      <c r="BX135" s="125"/>
      <c r="BY135" s="125"/>
      <c r="BZ135" s="125"/>
      <c r="CA135" s="125"/>
      <c r="CB135" s="125"/>
      <c r="CC135" s="125"/>
      <c r="CD135" s="125"/>
      <c r="CE135" s="125"/>
      <c r="CF135" s="125"/>
      <c r="CG135" s="125"/>
      <c r="CH135" s="125"/>
      <c r="CI135" s="125"/>
      <c r="CJ135" s="125"/>
      <c r="CK135" s="125"/>
      <c r="CL135" s="125"/>
      <c r="CM135" s="125"/>
      <c r="CN135" s="125"/>
      <c r="CO135" s="125"/>
      <c r="CP135" s="125"/>
      <c r="CQ135" s="125"/>
      <c r="CR135" s="125"/>
      <c r="CS135" s="125"/>
      <c r="CT135" s="125"/>
      <c r="CU135" s="125"/>
      <c r="CV135" s="125"/>
      <c r="CW135" s="125"/>
      <c r="CX135" s="125"/>
      <c r="CY135" s="125"/>
      <c r="CZ135" s="125"/>
      <c r="DA135" s="125"/>
      <c r="DB135" s="125"/>
      <c r="DC135" s="125"/>
      <c r="DD135" s="125"/>
      <c r="DE135" s="125"/>
      <c r="DF135" s="125"/>
      <c r="DG135" s="125"/>
      <c r="DH135" s="125"/>
      <c r="DI135" s="125"/>
      <c r="DJ135" s="125"/>
      <c r="DK135" s="125"/>
      <c r="DL135" s="125"/>
      <c r="DM135" s="125"/>
      <c r="DN135" s="125"/>
      <c r="DO135" s="125"/>
      <c r="DP135" s="125"/>
      <c r="DQ135" s="125"/>
      <c r="DR135" s="125"/>
      <c r="DS135" s="125"/>
      <c r="DT135" s="125"/>
      <c r="DU135" s="125"/>
      <c r="DV135" s="125"/>
      <c r="DW135" s="125"/>
      <c r="DX135" s="125"/>
      <c r="DY135" s="125"/>
      <c r="DZ135" s="125"/>
      <c r="EA135" s="125"/>
      <c r="EB135" s="125"/>
      <c r="EC135" s="125"/>
      <c r="ED135" s="125"/>
      <c r="EE135" s="125"/>
      <c r="EF135" s="125"/>
      <c r="EG135" s="125"/>
      <c r="EH135" s="125"/>
      <c r="EI135" s="125"/>
      <c r="EJ135" s="125"/>
      <c r="EK135" s="125"/>
      <c r="EL135" s="125"/>
      <c r="EM135" s="125"/>
      <c r="EN135" s="125"/>
      <c r="EO135" s="125"/>
      <c r="EP135" s="125"/>
      <c r="EQ135" s="125"/>
      <c r="ER135" s="125"/>
      <c r="ES135" s="125"/>
      <c r="ET135" s="125"/>
      <c r="EU135" s="125"/>
      <c r="EV135" s="125"/>
      <c r="EW135" s="125"/>
      <c r="EX135" s="125"/>
      <c r="EY135" s="125"/>
      <c r="EZ135" s="125"/>
      <c r="FA135" s="125"/>
      <c r="FB135" s="125"/>
      <c r="FC135" s="125"/>
      <c r="FD135" s="125"/>
      <c r="FE135" s="125"/>
      <c r="FF135" s="125"/>
      <c r="FG135" s="125"/>
      <c r="FH135" s="125"/>
      <c r="FI135" s="125"/>
      <c r="FJ135" s="125"/>
      <c r="FK135" s="125"/>
      <c r="FL135" s="125"/>
      <c r="FM135" s="125"/>
      <c r="FN135" s="125"/>
      <c r="FO135" s="125"/>
      <c r="FP135" s="125"/>
      <c r="FQ135" s="125"/>
      <c r="FR135" s="125"/>
      <c r="FS135" s="125"/>
      <c r="FT135" s="125"/>
      <c r="FU135" s="125"/>
      <c r="FV135" s="125"/>
      <c r="FW135" s="125"/>
      <c r="FX135" s="125"/>
      <c r="FY135" s="125"/>
      <c r="FZ135" s="125"/>
      <c r="GA135" s="125"/>
      <c r="GB135" s="125"/>
      <c r="GC135" s="125"/>
      <c r="GD135" s="125"/>
      <c r="GE135" s="125"/>
      <c r="GF135" s="125"/>
    </row>
    <row r="136" spans="1:188" s="3" customFormat="1">
      <c r="A136" s="84">
        <v>9</v>
      </c>
      <c r="B136" s="29">
        <v>43112</v>
      </c>
      <c r="C136" s="18"/>
      <c r="D136" s="19" t="s">
        <v>1068</v>
      </c>
      <c r="E136" s="20" t="s">
        <v>193</v>
      </c>
      <c r="F136" s="82" t="s">
        <v>1107</v>
      </c>
      <c r="G136" s="58">
        <v>1708</v>
      </c>
      <c r="H136" s="121">
        <f>30000+1488000</f>
        <v>1518000</v>
      </c>
      <c r="I136" s="24"/>
      <c r="J136" s="122">
        <f>H136/1.05</f>
        <v>1445714.2857142857</v>
      </c>
      <c r="K136" s="24">
        <f t="shared" si="11"/>
        <v>1445714.2857142857</v>
      </c>
      <c r="L136" s="123">
        <v>1</v>
      </c>
      <c r="M136" s="24">
        <f t="shared" si="9"/>
        <v>1445714.2857142857</v>
      </c>
      <c r="N136" s="124">
        <f t="shared" si="10"/>
        <v>0</v>
      </c>
      <c r="O136" s="85" t="s">
        <v>1100</v>
      </c>
      <c r="P136" s="125"/>
      <c r="Q136" s="125"/>
      <c r="R136" s="125"/>
      <c r="S136" s="125"/>
      <c r="T136" s="125"/>
      <c r="U136" s="125"/>
      <c r="V136" s="125"/>
      <c r="W136" s="125"/>
      <c r="X136" s="125"/>
      <c r="Y136" s="125"/>
      <c r="Z136" s="125"/>
      <c r="AA136" s="125"/>
      <c r="AB136" s="125"/>
      <c r="AC136" s="125"/>
      <c r="AD136" s="125"/>
      <c r="AE136" s="125"/>
      <c r="AF136" s="125"/>
      <c r="AG136" s="125"/>
      <c r="AH136" s="125"/>
      <c r="AI136" s="125"/>
      <c r="AJ136" s="125"/>
      <c r="AK136" s="125"/>
      <c r="AL136" s="125"/>
      <c r="AM136" s="125"/>
      <c r="AN136" s="125"/>
      <c r="AO136" s="125"/>
      <c r="AP136" s="125"/>
      <c r="AQ136" s="125"/>
      <c r="AR136" s="125"/>
      <c r="AS136" s="125"/>
      <c r="AT136" s="125"/>
      <c r="AU136" s="125"/>
      <c r="AV136" s="125"/>
      <c r="AW136" s="125"/>
      <c r="AX136" s="125"/>
      <c r="AY136" s="125"/>
      <c r="AZ136" s="125"/>
      <c r="BA136" s="125"/>
      <c r="BB136" s="125"/>
      <c r="BC136" s="125"/>
      <c r="BD136" s="125"/>
      <c r="BE136" s="125"/>
      <c r="BF136" s="125"/>
      <c r="BG136" s="125"/>
      <c r="BH136" s="125"/>
      <c r="BI136" s="125"/>
      <c r="BJ136" s="125"/>
      <c r="BK136" s="125"/>
      <c r="BL136" s="125"/>
      <c r="BM136" s="125"/>
      <c r="BN136" s="125"/>
      <c r="BO136" s="125"/>
      <c r="BP136" s="125"/>
      <c r="BQ136" s="125"/>
      <c r="BR136" s="125"/>
      <c r="BS136" s="125"/>
      <c r="BT136" s="125"/>
      <c r="BU136" s="125"/>
      <c r="BV136" s="125"/>
      <c r="BW136" s="125"/>
      <c r="BX136" s="125"/>
      <c r="BY136" s="125"/>
      <c r="BZ136" s="125"/>
      <c r="CA136" s="125"/>
      <c r="CB136" s="125"/>
      <c r="CC136" s="125"/>
      <c r="CD136" s="125"/>
      <c r="CE136" s="125"/>
      <c r="CF136" s="125"/>
      <c r="CG136" s="125"/>
      <c r="CH136" s="125"/>
      <c r="CI136" s="125"/>
      <c r="CJ136" s="125"/>
      <c r="CK136" s="125"/>
      <c r="CL136" s="125"/>
      <c r="CM136" s="125"/>
      <c r="CN136" s="125"/>
      <c r="CO136" s="125"/>
      <c r="CP136" s="125"/>
      <c r="CQ136" s="125"/>
      <c r="CR136" s="125"/>
      <c r="CS136" s="125"/>
      <c r="CT136" s="125"/>
      <c r="CU136" s="125"/>
      <c r="CV136" s="125"/>
      <c r="CW136" s="125"/>
      <c r="CX136" s="125"/>
      <c r="CY136" s="125"/>
      <c r="CZ136" s="125"/>
      <c r="DA136" s="125"/>
      <c r="DB136" s="125"/>
      <c r="DC136" s="125"/>
      <c r="DD136" s="125"/>
      <c r="DE136" s="125"/>
      <c r="DF136" s="125"/>
      <c r="DG136" s="125"/>
      <c r="DH136" s="125"/>
      <c r="DI136" s="125"/>
      <c r="DJ136" s="125"/>
      <c r="DK136" s="125"/>
      <c r="DL136" s="125"/>
      <c r="DM136" s="125"/>
      <c r="DN136" s="125"/>
      <c r="DO136" s="125"/>
      <c r="DP136" s="125"/>
      <c r="DQ136" s="125"/>
      <c r="DR136" s="125"/>
      <c r="DS136" s="125"/>
      <c r="DT136" s="125"/>
      <c r="DU136" s="125"/>
      <c r="DV136" s="125"/>
      <c r="DW136" s="125"/>
      <c r="DX136" s="125"/>
      <c r="DY136" s="125"/>
      <c r="DZ136" s="125"/>
      <c r="EA136" s="125"/>
      <c r="EB136" s="125"/>
      <c r="EC136" s="125"/>
      <c r="ED136" s="125"/>
      <c r="EE136" s="125"/>
      <c r="EF136" s="125"/>
      <c r="EG136" s="125"/>
      <c r="EH136" s="125"/>
      <c r="EI136" s="125"/>
      <c r="EJ136" s="125"/>
      <c r="EK136" s="125"/>
      <c r="EL136" s="125"/>
      <c r="EM136" s="125"/>
      <c r="EN136" s="125"/>
      <c r="EO136" s="125"/>
      <c r="EP136" s="125"/>
      <c r="EQ136" s="125"/>
      <c r="ER136" s="125"/>
      <c r="ES136" s="125"/>
      <c r="ET136" s="125"/>
      <c r="EU136" s="125"/>
      <c r="EV136" s="125"/>
      <c r="EW136" s="125"/>
      <c r="EX136" s="125"/>
      <c r="EY136" s="125"/>
      <c r="EZ136" s="125"/>
      <c r="FA136" s="125"/>
      <c r="FB136" s="125"/>
      <c r="FC136" s="125"/>
      <c r="FD136" s="125"/>
      <c r="FE136" s="125"/>
      <c r="FF136" s="125"/>
      <c r="FG136" s="125"/>
      <c r="FH136" s="125"/>
      <c r="FI136" s="125"/>
      <c r="FJ136" s="125"/>
      <c r="FK136" s="125"/>
      <c r="FL136" s="125"/>
      <c r="FM136" s="125"/>
      <c r="FN136" s="125"/>
      <c r="FO136" s="125"/>
      <c r="FP136" s="125"/>
      <c r="FQ136" s="125"/>
      <c r="FR136" s="125"/>
      <c r="FS136" s="125"/>
      <c r="FT136" s="125"/>
      <c r="FU136" s="125"/>
      <c r="FV136" s="125"/>
      <c r="FW136" s="125"/>
      <c r="FX136" s="125"/>
      <c r="FY136" s="125"/>
      <c r="FZ136" s="125"/>
      <c r="GA136" s="125"/>
      <c r="GB136" s="125"/>
      <c r="GC136" s="125"/>
      <c r="GD136" s="125"/>
      <c r="GE136" s="125"/>
      <c r="GF136" s="125"/>
    </row>
    <row r="137" spans="1:188" s="3" customFormat="1">
      <c r="A137" s="84">
        <v>10</v>
      </c>
      <c r="B137" s="17">
        <v>43103</v>
      </c>
      <c r="C137" s="18"/>
      <c r="D137" s="19" t="s">
        <v>1081</v>
      </c>
      <c r="E137" s="20" t="s">
        <v>201</v>
      </c>
      <c r="F137" s="82" t="s">
        <v>1108</v>
      </c>
      <c r="G137" s="58">
        <v>1711</v>
      </c>
      <c r="H137" s="121">
        <v>1450800</v>
      </c>
      <c r="I137" s="24"/>
      <c r="J137" s="122">
        <f>H137/1.05</f>
        <v>1381714.2857142857</v>
      </c>
      <c r="K137" s="24">
        <f t="shared" si="11"/>
        <v>1381714.2857142857</v>
      </c>
      <c r="L137" s="123">
        <v>1</v>
      </c>
      <c r="M137" s="24">
        <f t="shared" si="9"/>
        <v>1381714.2857142857</v>
      </c>
      <c r="N137" s="124">
        <f t="shared" si="10"/>
        <v>0</v>
      </c>
      <c r="O137" s="85" t="s">
        <v>1100</v>
      </c>
      <c r="P137" s="125"/>
      <c r="Q137" s="125"/>
      <c r="R137" s="125"/>
      <c r="S137" s="125"/>
      <c r="T137" s="125"/>
      <c r="U137" s="125"/>
      <c r="V137" s="125"/>
      <c r="W137" s="125"/>
      <c r="X137" s="125"/>
      <c r="Y137" s="125"/>
      <c r="Z137" s="125"/>
      <c r="AA137" s="125"/>
      <c r="AB137" s="125"/>
      <c r="AC137" s="125"/>
      <c r="AD137" s="125"/>
      <c r="AE137" s="125"/>
      <c r="AF137" s="125"/>
      <c r="AG137" s="125"/>
      <c r="AH137" s="125"/>
      <c r="AI137" s="125"/>
      <c r="AJ137" s="125"/>
      <c r="AK137" s="125"/>
      <c r="AL137" s="125"/>
      <c r="AM137" s="125"/>
      <c r="AN137" s="125"/>
      <c r="AO137" s="125"/>
      <c r="AP137" s="125"/>
      <c r="AQ137" s="125"/>
      <c r="AR137" s="125"/>
      <c r="AS137" s="125"/>
      <c r="AT137" s="125"/>
      <c r="AU137" s="125"/>
      <c r="AV137" s="125"/>
      <c r="AW137" s="125"/>
      <c r="AX137" s="125"/>
      <c r="AY137" s="125"/>
      <c r="AZ137" s="125"/>
      <c r="BA137" s="125"/>
      <c r="BB137" s="125"/>
      <c r="BC137" s="125"/>
      <c r="BD137" s="125"/>
      <c r="BE137" s="125"/>
      <c r="BF137" s="125"/>
      <c r="BG137" s="125"/>
      <c r="BH137" s="125"/>
      <c r="BI137" s="125"/>
      <c r="BJ137" s="125"/>
      <c r="BK137" s="125"/>
      <c r="BL137" s="125"/>
      <c r="BM137" s="125"/>
      <c r="BN137" s="125"/>
      <c r="BO137" s="125"/>
      <c r="BP137" s="125"/>
      <c r="BQ137" s="125"/>
      <c r="BR137" s="125"/>
      <c r="BS137" s="125"/>
      <c r="BT137" s="125"/>
      <c r="BU137" s="125"/>
      <c r="BV137" s="125"/>
      <c r="BW137" s="125"/>
      <c r="BX137" s="125"/>
      <c r="BY137" s="125"/>
      <c r="BZ137" s="125"/>
      <c r="CA137" s="125"/>
      <c r="CB137" s="125"/>
      <c r="CC137" s="125"/>
      <c r="CD137" s="125"/>
      <c r="CE137" s="125"/>
      <c r="CF137" s="125"/>
      <c r="CG137" s="125"/>
      <c r="CH137" s="125"/>
      <c r="CI137" s="125"/>
      <c r="CJ137" s="125"/>
      <c r="CK137" s="125"/>
      <c r="CL137" s="125"/>
      <c r="CM137" s="125"/>
      <c r="CN137" s="125"/>
      <c r="CO137" s="125"/>
      <c r="CP137" s="125"/>
      <c r="CQ137" s="125"/>
      <c r="CR137" s="125"/>
      <c r="CS137" s="125"/>
      <c r="CT137" s="125"/>
      <c r="CU137" s="125"/>
      <c r="CV137" s="125"/>
      <c r="CW137" s="125"/>
      <c r="CX137" s="125"/>
      <c r="CY137" s="125"/>
      <c r="CZ137" s="125"/>
      <c r="DA137" s="125"/>
      <c r="DB137" s="125"/>
      <c r="DC137" s="125"/>
      <c r="DD137" s="125"/>
      <c r="DE137" s="125"/>
      <c r="DF137" s="125"/>
      <c r="DG137" s="125"/>
      <c r="DH137" s="125"/>
      <c r="DI137" s="125"/>
      <c r="DJ137" s="125"/>
      <c r="DK137" s="125"/>
      <c r="DL137" s="125"/>
      <c r="DM137" s="125"/>
      <c r="DN137" s="125"/>
      <c r="DO137" s="125"/>
      <c r="DP137" s="125"/>
      <c r="DQ137" s="125"/>
      <c r="DR137" s="125"/>
      <c r="DS137" s="125"/>
      <c r="DT137" s="125"/>
      <c r="DU137" s="125"/>
      <c r="DV137" s="125"/>
      <c r="DW137" s="125"/>
      <c r="DX137" s="125"/>
      <c r="DY137" s="125"/>
      <c r="DZ137" s="125"/>
      <c r="EA137" s="125"/>
      <c r="EB137" s="125"/>
      <c r="EC137" s="125"/>
      <c r="ED137" s="125"/>
      <c r="EE137" s="125"/>
      <c r="EF137" s="125"/>
      <c r="EG137" s="125"/>
      <c r="EH137" s="125"/>
      <c r="EI137" s="125"/>
      <c r="EJ137" s="125"/>
      <c r="EK137" s="125"/>
      <c r="EL137" s="125"/>
      <c r="EM137" s="125"/>
      <c r="EN137" s="125"/>
      <c r="EO137" s="125"/>
      <c r="EP137" s="125"/>
      <c r="EQ137" s="125"/>
      <c r="ER137" s="125"/>
      <c r="ES137" s="125"/>
      <c r="ET137" s="125"/>
      <c r="EU137" s="125"/>
      <c r="EV137" s="125"/>
      <c r="EW137" s="125"/>
      <c r="EX137" s="125"/>
      <c r="EY137" s="125"/>
      <c r="EZ137" s="125"/>
      <c r="FA137" s="125"/>
      <c r="FB137" s="125"/>
      <c r="FC137" s="125"/>
      <c r="FD137" s="125"/>
      <c r="FE137" s="125"/>
      <c r="FF137" s="125"/>
      <c r="FG137" s="125"/>
      <c r="FH137" s="125"/>
      <c r="FI137" s="125"/>
      <c r="FJ137" s="125"/>
      <c r="FK137" s="125"/>
      <c r="FL137" s="125"/>
      <c r="FM137" s="125"/>
      <c r="FN137" s="125"/>
      <c r="FO137" s="125"/>
      <c r="FP137" s="125"/>
      <c r="FQ137" s="125"/>
      <c r="FR137" s="125"/>
      <c r="FS137" s="125"/>
      <c r="FT137" s="125"/>
      <c r="FU137" s="125"/>
      <c r="FV137" s="125"/>
      <c r="FW137" s="125"/>
      <c r="FX137" s="125"/>
      <c r="FY137" s="125"/>
      <c r="FZ137" s="125"/>
      <c r="GA137" s="125"/>
      <c r="GB137" s="125"/>
      <c r="GC137" s="125"/>
      <c r="GD137" s="125"/>
      <c r="GE137" s="125"/>
      <c r="GF137" s="125"/>
    </row>
    <row r="138" spans="1:188" s="3" customFormat="1">
      <c r="A138" s="84">
        <v>11</v>
      </c>
      <c r="B138" s="17">
        <v>43126</v>
      </c>
      <c r="C138" s="18"/>
      <c r="D138" s="19" t="s">
        <v>1081</v>
      </c>
      <c r="E138" s="20" t="s">
        <v>201</v>
      </c>
      <c r="F138" s="120" t="s">
        <v>1109</v>
      </c>
      <c r="G138" s="58">
        <v>1711</v>
      </c>
      <c r="H138" s="121">
        <f>29700+1450800</f>
        <v>1480500</v>
      </c>
      <c r="I138" s="24"/>
      <c r="J138" s="122">
        <v>1409999</v>
      </c>
      <c r="K138" s="24">
        <f t="shared" si="11"/>
        <v>1409999</v>
      </c>
      <c r="L138" s="123">
        <v>1</v>
      </c>
      <c r="M138" s="24">
        <f t="shared" si="9"/>
        <v>1409999</v>
      </c>
      <c r="N138" s="124">
        <f t="shared" si="10"/>
        <v>0</v>
      </c>
      <c r="O138" s="85" t="s">
        <v>1100</v>
      </c>
    </row>
    <row r="139" spans="1:188" s="3" customFormat="1">
      <c r="A139" s="84">
        <v>12</v>
      </c>
      <c r="B139" s="17">
        <v>43069</v>
      </c>
      <c r="C139" s="18"/>
      <c r="D139" s="19" t="s">
        <v>1081</v>
      </c>
      <c r="E139" s="20" t="s">
        <v>209</v>
      </c>
      <c r="F139" s="120" t="s">
        <v>210</v>
      </c>
      <c r="G139" s="58">
        <v>1708</v>
      </c>
      <c r="H139" s="121">
        <v>1674000</v>
      </c>
      <c r="I139" s="24">
        <v>1594286</v>
      </c>
      <c r="J139" s="122"/>
      <c r="K139" s="24">
        <f t="shared" si="11"/>
        <v>1594286</v>
      </c>
      <c r="L139" s="123">
        <v>1</v>
      </c>
      <c r="M139" s="24">
        <f t="shared" si="9"/>
        <v>1594286</v>
      </c>
      <c r="N139" s="124">
        <f t="shared" si="10"/>
        <v>0</v>
      </c>
      <c r="O139" s="85" t="s">
        <v>1100</v>
      </c>
    </row>
    <row r="140" spans="1:188" s="3" customFormat="1">
      <c r="A140" s="84">
        <v>18</v>
      </c>
      <c r="B140" s="29">
        <v>43095</v>
      </c>
      <c r="C140" s="18"/>
      <c r="D140" s="19" t="s">
        <v>1081</v>
      </c>
      <c r="E140" s="20" t="s">
        <v>209</v>
      </c>
      <c r="F140" s="82" t="s">
        <v>214</v>
      </c>
      <c r="G140" s="58">
        <v>1710</v>
      </c>
      <c r="H140" s="121">
        <v>1674000</v>
      </c>
      <c r="I140" s="24">
        <v>1594286</v>
      </c>
      <c r="J140" s="122"/>
      <c r="K140" s="24">
        <f t="shared" si="11"/>
        <v>1594286</v>
      </c>
      <c r="L140" s="123">
        <v>1</v>
      </c>
      <c r="M140" s="24">
        <f t="shared" si="9"/>
        <v>1594286</v>
      </c>
      <c r="N140" s="124">
        <f t="shared" si="10"/>
        <v>0</v>
      </c>
      <c r="O140" s="85" t="s">
        <v>1100</v>
      </c>
    </row>
    <row r="141" spans="1:188" s="3" customFormat="1">
      <c r="A141" s="84">
        <v>19</v>
      </c>
      <c r="B141" s="128">
        <v>43103</v>
      </c>
      <c r="C141" s="18"/>
      <c r="D141" s="19" t="s">
        <v>1081</v>
      </c>
      <c r="E141" s="20" t="s">
        <v>246</v>
      </c>
      <c r="F141" s="120" t="s">
        <v>1110</v>
      </c>
      <c r="G141" s="58">
        <v>1711</v>
      </c>
      <c r="H141" s="121">
        <f>1209000</f>
        <v>1209000</v>
      </c>
      <c r="I141" s="24"/>
      <c r="J141" s="122">
        <v>1151428</v>
      </c>
      <c r="K141" s="24">
        <f t="shared" si="11"/>
        <v>1151428</v>
      </c>
      <c r="L141" s="123">
        <v>1</v>
      </c>
      <c r="M141" s="24">
        <f t="shared" si="9"/>
        <v>1151428</v>
      </c>
      <c r="N141" s="124">
        <f t="shared" si="10"/>
        <v>0</v>
      </c>
      <c r="O141" s="85" t="s">
        <v>1100</v>
      </c>
    </row>
    <row r="142" spans="1:188" s="3" customFormat="1">
      <c r="A142" s="213">
        <v>1</v>
      </c>
      <c r="B142" s="29">
        <v>43045</v>
      </c>
      <c r="C142" s="18"/>
      <c r="D142" s="19" t="s">
        <v>1068</v>
      </c>
      <c r="E142" s="20" t="s">
        <v>178</v>
      </c>
      <c r="F142" s="62" t="s">
        <v>182</v>
      </c>
      <c r="G142" s="63">
        <v>1707</v>
      </c>
      <c r="H142" s="121">
        <f>60000+1264800</f>
        <v>1324800</v>
      </c>
      <c r="I142" s="24">
        <v>1261714</v>
      </c>
      <c r="J142" s="122"/>
      <c r="K142" s="24">
        <f t="shared" si="11"/>
        <v>1261714</v>
      </c>
      <c r="L142" s="123">
        <v>1</v>
      </c>
      <c r="M142" s="24">
        <f t="shared" si="9"/>
        <v>1261714</v>
      </c>
      <c r="N142" s="124">
        <f t="shared" si="10"/>
        <v>0</v>
      </c>
      <c r="O142" s="196" t="s">
        <v>1088</v>
      </c>
    </row>
    <row r="143" spans="1:188" s="3" customFormat="1">
      <c r="A143" s="213">
        <v>2</v>
      </c>
      <c r="B143" s="29">
        <v>43039</v>
      </c>
      <c r="C143" s="18"/>
      <c r="D143" s="19" t="s">
        <v>1068</v>
      </c>
      <c r="E143" s="20" t="s">
        <v>178</v>
      </c>
      <c r="F143" s="120" t="s">
        <v>183</v>
      </c>
      <c r="G143" s="58">
        <v>1707</v>
      </c>
      <c r="H143" s="121">
        <f>60000+1264800</f>
        <v>1324800</v>
      </c>
      <c r="I143" s="24">
        <v>1261714</v>
      </c>
      <c r="J143" s="122"/>
      <c r="K143" s="24">
        <f t="shared" si="11"/>
        <v>1261714</v>
      </c>
      <c r="L143" s="123">
        <v>1</v>
      </c>
      <c r="M143" s="24">
        <f t="shared" si="9"/>
        <v>1261714</v>
      </c>
      <c r="N143" s="124">
        <f t="shared" si="10"/>
        <v>0</v>
      </c>
      <c r="O143" s="196" t="s">
        <v>1088</v>
      </c>
    </row>
    <row r="144" spans="1:188" s="3" customFormat="1">
      <c r="A144" s="213">
        <v>3</v>
      </c>
      <c r="B144" s="29">
        <v>43126</v>
      </c>
      <c r="C144" s="18"/>
      <c r="D144" s="19" t="s">
        <v>1081</v>
      </c>
      <c r="E144" s="20" t="s">
        <v>201</v>
      </c>
      <c r="F144" s="82" t="s">
        <v>1111</v>
      </c>
      <c r="G144" s="58">
        <v>1711</v>
      </c>
      <c r="H144" s="121">
        <f>9000+1450800</f>
        <v>1459800</v>
      </c>
      <c r="I144" s="24"/>
      <c r="J144" s="24">
        <v>1390285</v>
      </c>
      <c r="K144" s="24">
        <f t="shared" si="11"/>
        <v>1390285</v>
      </c>
      <c r="L144" s="123">
        <v>1</v>
      </c>
      <c r="M144" s="24">
        <f t="shared" si="9"/>
        <v>1390285</v>
      </c>
      <c r="N144" s="124">
        <f t="shared" si="10"/>
        <v>0</v>
      </c>
      <c r="O144" s="196" t="s">
        <v>1088</v>
      </c>
    </row>
    <row r="145" spans="1:15" s="3" customFormat="1">
      <c r="A145" s="213">
        <v>4</v>
      </c>
      <c r="B145" s="29">
        <v>43125</v>
      </c>
      <c r="C145" s="18"/>
      <c r="D145" s="19" t="s">
        <v>1061</v>
      </c>
      <c r="E145" s="20" t="s">
        <v>175</v>
      </c>
      <c r="F145" s="82" t="s">
        <v>1112</v>
      </c>
      <c r="G145" s="58">
        <v>1708</v>
      </c>
      <c r="H145" s="121">
        <f>20000+1069500</f>
        <v>1089500</v>
      </c>
      <c r="I145" s="24"/>
      <c r="J145" s="122">
        <f>H145/1.05</f>
        <v>1037619.0476190476</v>
      </c>
      <c r="K145" s="24">
        <f t="shared" si="11"/>
        <v>1037619.0476190476</v>
      </c>
      <c r="L145" s="123">
        <v>1</v>
      </c>
      <c r="M145" s="24">
        <f t="shared" si="9"/>
        <v>1037619.0476190476</v>
      </c>
      <c r="N145" s="124">
        <f t="shared" si="10"/>
        <v>0</v>
      </c>
      <c r="O145" s="196" t="s">
        <v>1063</v>
      </c>
    </row>
    <row r="146" spans="1:15" s="3" customFormat="1">
      <c r="A146" s="213">
        <v>5</v>
      </c>
      <c r="B146" s="29">
        <v>43117</v>
      </c>
      <c r="C146" s="18"/>
      <c r="D146" s="19" t="s">
        <v>1081</v>
      </c>
      <c r="E146" s="20" t="s">
        <v>1095</v>
      </c>
      <c r="F146" s="82" t="s">
        <v>1113</v>
      </c>
      <c r="G146" s="58">
        <v>1709</v>
      </c>
      <c r="H146" s="121">
        <v>1674000</v>
      </c>
      <c r="I146" s="24"/>
      <c r="J146" s="122">
        <v>1594285</v>
      </c>
      <c r="K146" s="24">
        <f t="shared" si="11"/>
        <v>1594285</v>
      </c>
      <c r="L146" s="123">
        <v>1</v>
      </c>
      <c r="M146" s="24">
        <f t="shared" si="9"/>
        <v>1594285</v>
      </c>
      <c r="N146" s="124">
        <f t="shared" si="10"/>
        <v>0</v>
      </c>
      <c r="O146" s="196" t="s">
        <v>1063</v>
      </c>
    </row>
    <row r="147" spans="1:15" s="3" customFormat="1">
      <c r="A147" s="213">
        <v>6</v>
      </c>
      <c r="B147" s="29">
        <v>43108</v>
      </c>
      <c r="C147" s="18"/>
      <c r="D147" s="19" t="s">
        <v>1061</v>
      </c>
      <c r="E147" s="20" t="s">
        <v>173</v>
      </c>
      <c r="F147" s="82" t="s">
        <v>1114</v>
      </c>
      <c r="G147" s="58">
        <v>1709</v>
      </c>
      <c r="H147" s="121">
        <f>60000+1302000</f>
        <v>1362000</v>
      </c>
      <c r="I147" s="24"/>
      <c r="J147" s="24">
        <v>1297142</v>
      </c>
      <c r="K147" s="24">
        <f t="shared" si="11"/>
        <v>1297142</v>
      </c>
      <c r="L147" s="123">
        <v>1</v>
      </c>
      <c r="M147" s="24">
        <f t="shared" si="9"/>
        <v>1297142</v>
      </c>
      <c r="N147" s="124">
        <f t="shared" si="10"/>
        <v>0</v>
      </c>
      <c r="O147" s="196" t="s">
        <v>1102</v>
      </c>
    </row>
    <row r="148" spans="1:15" s="3" customFormat="1">
      <c r="A148" s="213">
        <v>7</v>
      </c>
      <c r="B148" s="17">
        <v>43045</v>
      </c>
      <c r="C148" s="18"/>
      <c r="D148" s="19" t="s">
        <v>1068</v>
      </c>
      <c r="E148" s="20" t="s">
        <v>178</v>
      </c>
      <c r="F148" s="120" t="s">
        <v>184</v>
      </c>
      <c r="G148" s="58">
        <v>1707</v>
      </c>
      <c r="H148" s="121">
        <f>60000+1264800</f>
        <v>1324800</v>
      </c>
      <c r="I148" s="24">
        <v>1261714</v>
      </c>
      <c r="J148" s="122"/>
      <c r="K148" s="24">
        <f t="shared" ref="K148:K158" si="12">I148+J148</f>
        <v>1261714</v>
      </c>
      <c r="L148" s="123">
        <v>1</v>
      </c>
      <c r="M148" s="24">
        <f t="shared" ref="M148:M151" si="13">K148*L148</f>
        <v>1261714</v>
      </c>
      <c r="N148" s="124">
        <f t="shared" ref="N148:N158" si="14">K148-M148</f>
        <v>0</v>
      </c>
      <c r="O148" s="196" t="s">
        <v>1102</v>
      </c>
    </row>
    <row r="149" spans="1:15" s="3" customFormat="1">
      <c r="A149" s="213">
        <v>8</v>
      </c>
      <c r="B149" s="17">
        <v>43096</v>
      </c>
      <c r="C149" s="18"/>
      <c r="D149" s="19" t="s">
        <v>1068</v>
      </c>
      <c r="E149" s="20" t="s">
        <v>178</v>
      </c>
      <c r="F149" s="82" t="s">
        <v>185</v>
      </c>
      <c r="G149" s="58">
        <v>1708</v>
      </c>
      <c r="H149" s="121">
        <f>60000+1264800</f>
        <v>1324800</v>
      </c>
      <c r="I149" s="24">
        <v>1261714</v>
      </c>
      <c r="J149" s="122"/>
      <c r="K149" s="24">
        <f t="shared" si="12"/>
        <v>1261714</v>
      </c>
      <c r="L149" s="123">
        <v>1</v>
      </c>
      <c r="M149" s="24">
        <f t="shared" si="13"/>
        <v>1261714</v>
      </c>
      <c r="N149" s="124">
        <f t="shared" si="14"/>
        <v>0</v>
      </c>
      <c r="O149" s="196" t="s">
        <v>1102</v>
      </c>
    </row>
    <row r="150" spans="1:15" s="3" customFormat="1">
      <c r="A150" s="213">
        <v>9</v>
      </c>
      <c r="B150" s="29">
        <v>43126</v>
      </c>
      <c r="C150" s="18"/>
      <c r="D150" s="19" t="s">
        <v>1081</v>
      </c>
      <c r="E150" s="20" t="s">
        <v>246</v>
      </c>
      <c r="F150" s="82" t="s">
        <v>1115</v>
      </c>
      <c r="G150" s="58">
        <v>1711</v>
      </c>
      <c r="H150" s="121">
        <f>9000+1209000</f>
        <v>1218000</v>
      </c>
      <c r="I150" s="24"/>
      <c r="J150" s="24">
        <v>1159999</v>
      </c>
      <c r="K150" s="24">
        <f t="shared" si="12"/>
        <v>1159999</v>
      </c>
      <c r="L150" s="123">
        <v>1</v>
      </c>
      <c r="M150" s="24">
        <f t="shared" si="13"/>
        <v>1159999</v>
      </c>
      <c r="N150" s="124">
        <f t="shared" si="14"/>
        <v>0</v>
      </c>
      <c r="O150" s="196" t="s">
        <v>1102</v>
      </c>
    </row>
    <row r="151" spans="1:15" s="3" customFormat="1">
      <c r="A151" s="86">
        <v>1</v>
      </c>
      <c r="B151" s="60">
        <v>42997</v>
      </c>
      <c r="C151" s="18" t="s">
        <v>192</v>
      </c>
      <c r="D151" s="19" t="s">
        <v>178</v>
      </c>
      <c r="E151" s="20" t="s">
        <v>193</v>
      </c>
      <c r="F151" s="82" t="s">
        <v>194</v>
      </c>
      <c r="G151" s="58" t="s">
        <v>195</v>
      </c>
      <c r="H151" s="121">
        <v>1488000</v>
      </c>
      <c r="I151" s="24">
        <v>1417143</v>
      </c>
      <c r="J151" s="122"/>
      <c r="K151" s="24">
        <f t="shared" si="12"/>
        <v>1417143</v>
      </c>
      <c r="L151" s="123">
        <v>1</v>
      </c>
      <c r="M151" s="24">
        <f t="shared" si="13"/>
        <v>1417143</v>
      </c>
      <c r="N151" s="27">
        <f t="shared" si="14"/>
        <v>0</v>
      </c>
      <c r="O151" s="87" t="s">
        <v>1056</v>
      </c>
    </row>
    <row r="152" spans="1:15" s="3" customFormat="1">
      <c r="A152" s="80"/>
      <c r="B152" s="60"/>
      <c r="C152" s="18"/>
      <c r="D152" s="19"/>
      <c r="E152" s="20"/>
      <c r="F152" s="120" t="s">
        <v>1116</v>
      </c>
      <c r="G152" s="58"/>
      <c r="H152" s="121"/>
      <c r="I152" s="24"/>
      <c r="J152" s="122">
        <v>13333</v>
      </c>
      <c r="K152" s="24">
        <f t="shared" si="12"/>
        <v>13333</v>
      </c>
      <c r="L152" s="123"/>
      <c r="M152" s="24">
        <v>13333</v>
      </c>
      <c r="N152" s="124">
        <f t="shared" si="14"/>
        <v>0</v>
      </c>
      <c r="O152" s="108" t="s">
        <v>1057</v>
      </c>
    </row>
    <row r="153" spans="1:15" s="3" customFormat="1">
      <c r="A153" s="16"/>
      <c r="B153" s="56"/>
      <c r="C153" s="145"/>
      <c r="D153" s="19"/>
      <c r="E153" s="20"/>
      <c r="F153" s="62" t="s">
        <v>1117</v>
      </c>
      <c r="G153" s="63"/>
      <c r="H153" s="121"/>
      <c r="I153" s="24"/>
      <c r="J153" s="122"/>
      <c r="K153" s="24">
        <f t="shared" si="12"/>
        <v>0</v>
      </c>
      <c r="L153" s="123"/>
      <c r="M153" s="24">
        <f>K153*L153</f>
        <v>0</v>
      </c>
      <c r="N153" s="124">
        <f t="shared" si="14"/>
        <v>0</v>
      </c>
      <c r="O153" s="108" t="s">
        <v>1057</v>
      </c>
    </row>
    <row r="154" spans="1:15" s="3" customFormat="1">
      <c r="A154" s="16"/>
      <c r="B154" s="60"/>
      <c r="C154" s="18"/>
      <c r="D154" s="19"/>
      <c r="E154" s="20"/>
      <c r="F154" s="120" t="s">
        <v>1118</v>
      </c>
      <c r="G154" s="58"/>
      <c r="H154" s="121"/>
      <c r="I154" s="24"/>
      <c r="J154" s="122"/>
      <c r="K154" s="24">
        <f t="shared" si="12"/>
        <v>0</v>
      </c>
      <c r="L154" s="123"/>
      <c r="M154" s="24">
        <f>K154*L154</f>
        <v>0</v>
      </c>
      <c r="N154" s="124">
        <f t="shared" si="14"/>
        <v>0</v>
      </c>
      <c r="O154" s="108" t="s">
        <v>1057</v>
      </c>
    </row>
    <row r="155" spans="1:15" s="3" customFormat="1">
      <c r="A155" s="16"/>
      <c r="B155" s="56"/>
      <c r="C155" s="18"/>
      <c r="D155" s="19"/>
      <c r="E155" s="20"/>
      <c r="F155" s="82" t="s">
        <v>1119</v>
      </c>
      <c r="G155" s="58"/>
      <c r="H155" s="121"/>
      <c r="I155" s="24"/>
      <c r="J155" s="122"/>
      <c r="K155" s="24">
        <f t="shared" si="12"/>
        <v>0</v>
      </c>
      <c r="L155" s="123"/>
      <c r="M155" s="24">
        <f>K155*L155</f>
        <v>0</v>
      </c>
      <c r="N155" s="124">
        <f t="shared" si="14"/>
        <v>0</v>
      </c>
      <c r="O155" s="108" t="s">
        <v>1057</v>
      </c>
    </row>
    <row r="156" spans="1:15" s="3" customFormat="1">
      <c r="A156" s="16"/>
      <c r="B156" s="56"/>
      <c r="C156" s="18"/>
      <c r="D156" s="19"/>
      <c r="E156" s="20"/>
      <c r="F156" s="82" t="s">
        <v>1120</v>
      </c>
      <c r="G156" s="58"/>
      <c r="H156" s="121"/>
      <c r="I156" s="24"/>
      <c r="J156" s="122">
        <v>17143</v>
      </c>
      <c r="K156" s="24">
        <f t="shared" si="12"/>
        <v>17143</v>
      </c>
      <c r="L156" s="123"/>
      <c r="M156" s="24">
        <v>17143</v>
      </c>
      <c r="N156" s="124">
        <f t="shared" si="14"/>
        <v>0</v>
      </c>
      <c r="O156" s="108" t="s">
        <v>1057</v>
      </c>
    </row>
    <row r="157" spans="1:15" s="3" customFormat="1">
      <c r="A157" s="80"/>
      <c r="B157" s="17"/>
      <c r="C157" s="18"/>
      <c r="D157" s="19"/>
      <c r="E157" s="20"/>
      <c r="F157" s="120" t="s">
        <v>1121</v>
      </c>
      <c r="G157" s="58"/>
      <c r="H157" s="121"/>
      <c r="I157" s="24"/>
      <c r="J157" s="122">
        <v>14857</v>
      </c>
      <c r="K157" s="24">
        <f t="shared" si="12"/>
        <v>14857</v>
      </c>
      <c r="L157" s="123"/>
      <c r="M157" s="24">
        <v>14857</v>
      </c>
      <c r="N157" s="124">
        <f t="shared" si="14"/>
        <v>0</v>
      </c>
      <c r="O157" s="108" t="s">
        <v>1057</v>
      </c>
    </row>
    <row r="158" spans="1:15" s="3" customFormat="1">
      <c r="A158" s="80"/>
      <c r="B158" s="17"/>
      <c r="C158" s="145"/>
      <c r="D158" s="19"/>
      <c r="E158" s="20"/>
      <c r="F158" s="82" t="s">
        <v>1122</v>
      </c>
      <c r="G158" s="58"/>
      <c r="H158" s="121"/>
      <c r="I158" s="24"/>
      <c r="J158" s="122"/>
      <c r="K158" s="24">
        <f t="shared" si="12"/>
        <v>0</v>
      </c>
      <c r="L158" s="123"/>
      <c r="M158" s="24">
        <f>K158*L158</f>
        <v>0</v>
      </c>
      <c r="N158" s="124">
        <f t="shared" si="14"/>
        <v>0</v>
      </c>
      <c r="O158" s="108" t="s">
        <v>1057</v>
      </c>
    </row>
    <row r="159" spans="1:15" s="3" customFormat="1" ht="14.25" thickBot="1">
      <c r="A159" s="151" t="s">
        <v>1058</v>
      </c>
      <c r="B159" s="89"/>
      <c r="C159" s="90"/>
      <c r="D159" s="91"/>
      <c r="E159" s="152"/>
      <c r="F159" s="153" t="s">
        <v>1011</v>
      </c>
      <c r="G159" s="94"/>
      <c r="H159" s="95"/>
      <c r="I159" s="96">
        <f>SUM(I84:I158)</f>
        <v>44426383</v>
      </c>
      <c r="J159" s="96">
        <f t="shared" ref="J159:N159" si="15">SUM(J84:J158)</f>
        <v>50349989.523809522</v>
      </c>
      <c r="K159" s="96">
        <f t="shared" si="15"/>
        <v>94776372.523809507</v>
      </c>
      <c r="L159" s="96">
        <f t="shared" si="15"/>
        <v>41</v>
      </c>
      <c r="M159" s="96">
        <f t="shared" si="15"/>
        <v>56974470.190476187</v>
      </c>
      <c r="N159" s="96">
        <f t="shared" si="15"/>
        <v>37801902.333333328</v>
      </c>
      <c r="O159" s="154"/>
    </row>
    <row r="160" spans="1:15" ht="14.25" thickTop="1">
      <c r="A160" s="155"/>
      <c r="C160" s="102"/>
      <c r="D160" s="103"/>
      <c r="E160" s="156"/>
      <c r="F160" s="157"/>
      <c r="I160" s="28"/>
      <c r="J160" s="28"/>
      <c r="K160" s="28"/>
      <c r="L160" s="28"/>
      <c r="M160" s="28"/>
      <c r="N160" s="28"/>
      <c r="O160" s="28"/>
    </row>
    <row r="161" spans="1:188" ht="15.75" customHeight="1">
      <c r="A161" s="155"/>
      <c r="C161" s="102"/>
      <c r="D161" s="103"/>
      <c r="E161" s="156"/>
      <c r="F161" s="157"/>
      <c r="H161" s="159"/>
      <c r="I161" s="28"/>
      <c r="J161" s="28"/>
      <c r="K161" s="160"/>
      <c r="L161" s="28"/>
      <c r="M161" s="28"/>
      <c r="N161" s="28"/>
      <c r="O161" s="28"/>
    </row>
    <row r="162" spans="1:188" s="161" customFormat="1">
      <c r="A162" s="155"/>
      <c r="B162" s="101"/>
      <c r="C162" s="102"/>
      <c r="D162" s="103"/>
      <c r="E162" s="156"/>
      <c r="F162" s="157"/>
      <c r="G162" s="106"/>
      <c r="H162" s="159"/>
      <c r="I162" s="28"/>
      <c r="J162" s="28"/>
      <c r="K162" s="160"/>
      <c r="L162" s="28"/>
      <c r="M162" s="28"/>
      <c r="N162" s="28"/>
      <c r="O162" s="28"/>
    </row>
    <row r="163" spans="1:188" s="161" customFormat="1">
      <c r="A163" s="155"/>
      <c r="B163" s="101"/>
      <c r="C163" s="102"/>
      <c r="D163" s="103"/>
      <c r="E163" s="156"/>
      <c r="F163" s="105"/>
      <c r="G163" s="106"/>
      <c r="H163" s="159"/>
      <c r="I163" s="108"/>
      <c r="J163" s="108"/>
      <c r="K163" s="14"/>
      <c r="L163" s="108"/>
      <c r="M163" s="108"/>
      <c r="N163" s="108"/>
      <c r="O163" s="108"/>
    </row>
    <row r="164" spans="1:188" s="161" customFormat="1">
      <c r="A164" s="155"/>
      <c r="B164" s="101"/>
      <c r="C164" s="102"/>
      <c r="D164" s="103"/>
      <c r="E164" s="156"/>
      <c r="F164" s="105"/>
      <c r="G164" s="106"/>
      <c r="H164" s="159"/>
      <c r="I164" s="108"/>
      <c r="J164" s="108"/>
      <c r="K164" s="14"/>
      <c r="L164" s="108"/>
      <c r="M164" s="108"/>
      <c r="N164" s="108"/>
      <c r="O164" s="108"/>
    </row>
    <row r="165" spans="1:188" s="161" customFormat="1">
      <c r="A165" s="155"/>
      <c r="B165" s="101"/>
      <c r="C165" s="102"/>
      <c r="D165" s="103"/>
      <c r="E165" s="156"/>
      <c r="F165" s="105"/>
      <c r="G165" s="106"/>
      <c r="H165" s="159"/>
      <c r="I165" s="108"/>
      <c r="J165" s="108"/>
      <c r="K165" s="14"/>
      <c r="L165" s="108"/>
      <c r="M165" s="108"/>
      <c r="N165" s="108"/>
      <c r="O165" s="108"/>
    </row>
    <row r="166" spans="1:188" s="161" customFormat="1" ht="14.25" thickBot="1">
      <c r="A166" s="155"/>
      <c r="B166" s="101"/>
      <c r="C166" s="102"/>
      <c r="D166" s="103"/>
      <c r="E166" s="156"/>
      <c r="F166" s="155"/>
      <c r="G166" s="162"/>
      <c r="H166" s="159"/>
      <c r="I166" s="108"/>
      <c r="J166" s="108"/>
      <c r="K166" s="163"/>
      <c r="L166" s="98"/>
      <c r="M166" s="98"/>
      <c r="N166" s="98"/>
      <c r="O166" s="98"/>
    </row>
    <row r="167" spans="1:188" s="161" customFormat="1" ht="15" thickTop="1" thickBot="1">
      <c r="A167" s="155"/>
      <c r="B167" s="101"/>
      <c r="C167" s="102"/>
      <c r="D167" s="103"/>
      <c r="E167" s="156"/>
      <c r="F167" s="105"/>
      <c r="G167" s="106"/>
      <c r="H167" s="107"/>
      <c r="I167" s="108"/>
      <c r="J167" s="108"/>
      <c r="K167" s="108"/>
      <c r="L167" s="108"/>
      <c r="M167" s="108"/>
      <c r="N167" s="108"/>
      <c r="O167" s="108"/>
    </row>
    <row r="168" spans="1:188" s="161" customFormat="1" ht="14.25" thickTop="1">
      <c r="A168" s="164" t="s">
        <v>1123</v>
      </c>
      <c r="B168" s="165" t="s">
        <v>159</v>
      </c>
      <c r="C168" s="6" t="s">
        <v>160</v>
      </c>
      <c r="D168" s="7" t="s">
        <v>1007</v>
      </c>
      <c r="E168" s="8" t="s">
        <v>161</v>
      </c>
      <c r="F168" s="119" t="s">
        <v>1008</v>
      </c>
      <c r="G168" s="10" t="s">
        <v>162</v>
      </c>
      <c r="H168" s="11" t="s">
        <v>163</v>
      </c>
      <c r="I168" s="12" t="s">
        <v>1010</v>
      </c>
      <c r="J168" s="12" t="s">
        <v>1009</v>
      </c>
      <c r="K168" s="12" t="s">
        <v>1011</v>
      </c>
      <c r="L168" s="12" t="s">
        <v>1012</v>
      </c>
      <c r="M168" s="12" t="s">
        <v>1013</v>
      </c>
      <c r="N168" s="13" t="s">
        <v>1014</v>
      </c>
      <c r="O168" s="14"/>
    </row>
    <row r="169" spans="1:188" ht="15" customHeight="1">
      <c r="A169" s="16">
        <v>1</v>
      </c>
      <c r="B169" s="60">
        <v>43069</v>
      </c>
      <c r="C169" s="18"/>
      <c r="D169" s="19" t="s">
        <v>1124</v>
      </c>
      <c r="E169" s="20" t="s">
        <v>285</v>
      </c>
      <c r="F169" s="62" t="s">
        <v>286</v>
      </c>
      <c r="G169" s="63">
        <v>1707</v>
      </c>
      <c r="H169" s="121">
        <f>1406000-30000</f>
        <v>1376000</v>
      </c>
      <c r="I169" s="24">
        <v>1310476</v>
      </c>
      <c r="J169" s="24"/>
      <c r="K169" s="24">
        <f t="shared" ref="K169:K232" si="16">I169+J169</f>
        <v>1310476</v>
      </c>
      <c r="L169" s="123"/>
      <c r="M169" s="24">
        <f t="shared" ref="M169:M232" si="17">K169*L169</f>
        <v>0</v>
      </c>
      <c r="N169" s="124">
        <f t="shared" ref="N169:N232" si="18">K169-M169</f>
        <v>1310476</v>
      </c>
      <c r="O169" s="87"/>
    </row>
    <row r="170" spans="1:188" s="3" customFormat="1">
      <c r="A170" s="16">
        <v>2</v>
      </c>
      <c r="B170" s="60">
        <v>43069</v>
      </c>
      <c r="C170" s="18"/>
      <c r="D170" s="19" t="s">
        <v>1124</v>
      </c>
      <c r="E170" s="20" t="s">
        <v>285</v>
      </c>
      <c r="F170" s="62" t="s">
        <v>287</v>
      </c>
      <c r="G170" s="63">
        <v>1708</v>
      </c>
      <c r="H170" s="121">
        <v>1406000</v>
      </c>
      <c r="I170" s="24">
        <v>1339048</v>
      </c>
      <c r="J170" s="24"/>
      <c r="K170" s="24">
        <f t="shared" si="16"/>
        <v>1339048</v>
      </c>
      <c r="L170" s="123"/>
      <c r="M170" s="24">
        <f t="shared" si="17"/>
        <v>0</v>
      </c>
      <c r="N170" s="124">
        <f t="shared" si="18"/>
        <v>1339048</v>
      </c>
      <c r="O170" s="87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25"/>
      <c r="AD170" s="125"/>
      <c r="AE170" s="167"/>
      <c r="AF170" s="167"/>
      <c r="AG170" s="167"/>
      <c r="AH170" s="167"/>
      <c r="AI170" s="167"/>
      <c r="AJ170" s="167"/>
      <c r="AK170" s="167"/>
      <c r="AL170" s="167"/>
      <c r="AM170" s="125"/>
      <c r="AN170" s="125"/>
      <c r="AO170" s="125"/>
      <c r="AP170" s="125"/>
      <c r="AQ170" s="125"/>
      <c r="AR170" s="125"/>
      <c r="AS170" s="125"/>
      <c r="AT170" s="125"/>
      <c r="AU170" s="125"/>
      <c r="AV170" s="125"/>
      <c r="AW170" s="125"/>
      <c r="AX170" s="125"/>
      <c r="AY170" s="125"/>
      <c r="AZ170" s="125"/>
      <c r="BA170" s="125"/>
      <c r="BB170" s="125"/>
      <c r="BC170" s="167"/>
      <c r="BD170" s="167"/>
      <c r="BE170" s="167"/>
      <c r="BF170" s="167"/>
      <c r="BG170" s="167"/>
      <c r="BH170" s="167"/>
      <c r="BI170" s="167"/>
      <c r="BJ170" s="167"/>
      <c r="BK170" s="125"/>
      <c r="BL170" s="125"/>
      <c r="BM170" s="125"/>
      <c r="BN170" s="125"/>
      <c r="BO170" s="125"/>
      <c r="BP170" s="125"/>
      <c r="BQ170" s="125"/>
      <c r="BR170" s="125"/>
      <c r="BS170" s="125"/>
      <c r="BT170" s="125"/>
      <c r="BU170" s="125"/>
      <c r="BV170" s="125"/>
      <c r="BW170" s="125"/>
      <c r="BX170" s="125"/>
      <c r="BY170" s="125"/>
      <c r="BZ170" s="125"/>
      <c r="CA170" s="167"/>
      <c r="CB170" s="167"/>
      <c r="CC170" s="167"/>
      <c r="CD170" s="167"/>
      <c r="CE170" s="167"/>
      <c r="CF170" s="167"/>
      <c r="CG170" s="167"/>
      <c r="CH170" s="167"/>
      <c r="CI170" s="125"/>
      <c r="CJ170" s="125"/>
      <c r="CK170" s="125"/>
      <c r="CL170" s="125"/>
      <c r="CM170" s="125"/>
      <c r="CN170" s="125"/>
      <c r="CO170" s="125"/>
      <c r="CP170" s="125"/>
      <c r="CQ170" s="125"/>
      <c r="CR170" s="125"/>
      <c r="CS170" s="125"/>
      <c r="CT170" s="125"/>
      <c r="CU170" s="125"/>
      <c r="CV170" s="125"/>
      <c r="CW170" s="125"/>
      <c r="CX170" s="125"/>
      <c r="CY170" s="167"/>
      <c r="CZ170" s="167"/>
      <c r="DA170" s="167"/>
      <c r="DB170" s="167"/>
      <c r="DC170" s="167"/>
      <c r="DD170" s="167"/>
      <c r="DE170" s="167"/>
      <c r="DF170" s="167"/>
      <c r="DG170" s="125"/>
      <c r="DH170" s="125"/>
      <c r="DI170" s="125"/>
      <c r="DJ170" s="125"/>
      <c r="DK170" s="125"/>
      <c r="DL170" s="125"/>
      <c r="DM170" s="125"/>
      <c r="DN170" s="125"/>
      <c r="DO170" s="125"/>
      <c r="DP170" s="125"/>
      <c r="DQ170" s="125"/>
      <c r="DR170" s="125"/>
      <c r="DS170" s="125"/>
      <c r="DT170" s="125"/>
      <c r="DU170" s="125"/>
      <c r="DV170" s="125"/>
      <c r="DW170" s="167"/>
      <c r="DX170" s="167"/>
      <c r="DY170" s="167"/>
      <c r="DZ170" s="167"/>
      <c r="EA170" s="167"/>
      <c r="EB170" s="167"/>
      <c r="EC170" s="167"/>
      <c r="ED170" s="167"/>
      <c r="EE170" s="125"/>
      <c r="EF170" s="125"/>
      <c r="EG170" s="125"/>
      <c r="EH170" s="125"/>
      <c r="EI170" s="125"/>
      <c r="EJ170" s="125"/>
      <c r="EK170" s="125"/>
      <c r="EL170" s="125"/>
      <c r="EM170" s="125"/>
      <c r="EN170" s="125"/>
      <c r="EO170" s="125"/>
      <c r="EP170" s="125"/>
      <c r="EQ170" s="125"/>
      <c r="ER170" s="125"/>
      <c r="ES170" s="125"/>
      <c r="ET170" s="125"/>
      <c r="EU170" s="167"/>
      <c r="EV170" s="167"/>
      <c r="EW170" s="167"/>
      <c r="EX170" s="167"/>
      <c r="EY170" s="167"/>
      <c r="EZ170" s="167"/>
      <c r="FA170" s="167"/>
      <c r="FB170" s="167"/>
      <c r="FC170" s="125"/>
      <c r="FD170" s="125"/>
      <c r="FE170" s="125"/>
      <c r="FF170" s="125"/>
      <c r="FG170" s="125"/>
      <c r="FH170" s="125"/>
      <c r="FI170" s="125"/>
      <c r="FJ170" s="125"/>
      <c r="FK170" s="125"/>
      <c r="FL170" s="125"/>
      <c r="FM170" s="125"/>
      <c r="FN170" s="125"/>
      <c r="FO170" s="125"/>
      <c r="FP170" s="125"/>
      <c r="FQ170" s="125"/>
      <c r="FR170" s="125"/>
      <c r="FS170" s="167"/>
      <c r="FT170" s="167"/>
      <c r="FU170" s="167"/>
      <c r="FV170" s="167"/>
      <c r="FW170" s="167"/>
      <c r="FX170" s="167"/>
      <c r="FY170" s="167"/>
      <c r="FZ170" s="167"/>
      <c r="GA170" s="125"/>
      <c r="GB170" s="125"/>
      <c r="GC170" s="125"/>
      <c r="GD170" s="125"/>
      <c r="GE170" s="125"/>
      <c r="GF170" s="125"/>
    </row>
    <row r="171" spans="1:188" s="3" customFormat="1">
      <c r="A171" s="16">
        <v>3</v>
      </c>
      <c r="B171" s="56">
        <v>43073</v>
      </c>
      <c r="C171" s="18"/>
      <c r="D171" s="19" t="s">
        <v>1124</v>
      </c>
      <c r="E171" s="20" t="s">
        <v>285</v>
      </c>
      <c r="F171" s="57" t="s">
        <v>288</v>
      </c>
      <c r="G171" s="63">
        <v>1708</v>
      </c>
      <c r="H171" s="121">
        <v>1406000</v>
      </c>
      <c r="I171" s="24">
        <v>1339048</v>
      </c>
      <c r="J171" s="24"/>
      <c r="K171" s="24">
        <f t="shared" si="16"/>
        <v>1339048</v>
      </c>
      <c r="L171" s="123"/>
      <c r="M171" s="24">
        <f t="shared" si="17"/>
        <v>0</v>
      </c>
      <c r="N171" s="124">
        <f t="shared" si="18"/>
        <v>1339048</v>
      </c>
      <c r="O171" s="107"/>
      <c r="AE171" s="130"/>
      <c r="AF171" s="130"/>
      <c r="AG171" s="130"/>
      <c r="AH171" s="130"/>
      <c r="AI171" s="130"/>
      <c r="AJ171" s="130"/>
      <c r="AK171" s="130"/>
      <c r="AL171" s="130"/>
      <c r="BC171" s="130"/>
      <c r="BD171" s="130"/>
      <c r="BE171" s="130"/>
      <c r="BF171" s="130"/>
      <c r="BG171" s="130"/>
      <c r="BH171" s="130"/>
      <c r="BI171" s="130"/>
      <c r="BJ171" s="130"/>
      <c r="CA171" s="130"/>
      <c r="CB171" s="130"/>
      <c r="CC171" s="130"/>
      <c r="CD171" s="130"/>
      <c r="CE171" s="130"/>
      <c r="CF171" s="130"/>
      <c r="CG171" s="130"/>
      <c r="CH171" s="130"/>
      <c r="CY171" s="130"/>
      <c r="CZ171" s="130"/>
      <c r="DA171" s="130"/>
      <c r="DB171" s="130"/>
      <c r="DC171" s="130"/>
      <c r="DD171" s="130"/>
      <c r="DE171" s="130"/>
      <c r="DF171" s="130"/>
      <c r="DW171" s="130"/>
      <c r="DX171" s="130"/>
      <c r="DY171" s="130"/>
      <c r="DZ171" s="130"/>
      <c r="EA171" s="130"/>
      <c r="EB171" s="130"/>
      <c r="EC171" s="130"/>
      <c r="ED171" s="130"/>
      <c r="EU171" s="130"/>
      <c r="EV171" s="130"/>
      <c r="EW171" s="130"/>
      <c r="EX171" s="130"/>
      <c r="EY171" s="130"/>
      <c r="EZ171" s="130"/>
      <c r="FA171" s="130"/>
      <c r="FB171" s="130"/>
      <c r="FS171" s="130"/>
      <c r="FT171" s="130"/>
      <c r="FU171" s="130"/>
      <c r="FV171" s="130"/>
      <c r="FW171" s="130"/>
      <c r="FX171" s="130"/>
      <c r="FY171" s="130"/>
      <c r="FZ171" s="130"/>
    </row>
    <row r="172" spans="1:188" s="3" customFormat="1">
      <c r="A172" s="16">
        <v>4</v>
      </c>
      <c r="B172" s="60">
        <v>43122</v>
      </c>
      <c r="C172" s="18"/>
      <c r="D172" s="19" t="s">
        <v>1124</v>
      </c>
      <c r="E172" s="20" t="s">
        <v>285</v>
      </c>
      <c r="F172" s="168" t="s">
        <v>1125</v>
      </c>
      <c r="G172" s="63">
        <v>1710</v>
      </c>
      <c r="H172" s="121">
        <v>1212600</v>
      </c>
      <c r="I172" s="24"/>
      <c r="J172" s="24">
        <v>1154856</v>
      </c>
      <c r="K172" s="24">
        <f t="shared" si="16"/>
        <v>1154856</v>
      </c>
      <c r="L172" s="123"/>
      <c r="M172" s="24">
        <f t="shared" si="17"/>
        <v>0</v>
      </c>
      <c r="N172" s="124">
        <f t="shared" si="18"/>
        <v>1154856</v>
      </c>
      <c r="O172" s="107"/>
      <c r="AE172" s="130"/>
      <c r="AF172" s="130"/>
      <c r="AG172" s="130"/>
      <c r="AH172" s="130"/>
      <c r="AI172" s="130"/>
      <c r="AJ172" s="130"/>
      <c r="AK172" s="130"/>
      <c r="AL172" s="130"/>
      <c r="BC172" s="130"/>
      <c r="BD172" s="130"/>
      <c r="BE172" s="130"/>
      <c r="BF172" s="130"/>
      <c r="BG172" s="130"/>
      <c r="BH172" s="130"/>
      <c r="BI172" s="130"/>
      <c r="BJ172" s="130"/>
      <c r="CA172" s="130"/>
      <c r="CB172" s="130"/>
      <c r="CC172" s="130"/>
      <c r="CD172" s="130"/>
      <c r="CE172" s="130"/>
      <c r="CF172" s="130"/>
      <c r="CG172" s="130"/>
      <c r="CH172" s="130"/>
      <c r="CY172" s="130"/>
      <c r="CZ172" s="130"/>
      <c r="DA172" s="130"/>
      <c r="DB172" s="130"/>
      <c r="DC172" s="130"/>
      <c r="DD172" s="130"/>
      <c r="DE172" s="130"/>
      <c r="DF172" s="130"/>
      <c r="DW172" s="130"/>
      <c r="DX172" s="130"/>
      <c r="DY172" s="130"/>
      <c r="DZ172" s="130"/>
      <c r="EA172" s="130"/>
      <c r="EB172" s="130"/>
      <c r="EC172" s="130"/>
      <c r="ED172" s="130"/>
      <c r="EU172" s="130"/>
      <c r="EV172" s="130"/>
      <c r="EW172" s="130"/>
      <c r="EX172" s="130"/>
      <c r="EY172" s="130"/>
      <c r="EZ172" s="130"/>
      <c r="FA172" s="130"/>
      <c r="FB172" s="130"/>
      <c r="FS172" s="130"/>
      <c r="FT172" s="130"/>
      <c r="FU172" s="130"/>
      <c r="FV172" s="130"/>
      <c r="FW172" s="130"/>
      <c r="FX172" s="130"/>
      <c r="FY172" s="130"/>
      <c r="FZ172" s="130"/>
    </row>
    <row r="173" spans="1:188" s="3" customFormat="1">
      <c r="A173" s="16">
        <v>5</v>
      </c>
      <c r="B173" s="60">
        <v>43130</v>
      </c>
      <c r="C173" s="18"/>
      <c r="D173" s="19" t="s">
        <v>1124</v>
      </c>
      <c r="E173" s="20" t="s">
        <v>285</v>
      </c>
      <c r="F173" s="62" t="s">
        <v>1126</v>
      </c>
      <c r="G173" s="63">
        <v>1711</v>
      </c>
      <c r="H173" s="121">
        <v>1406000</v>
      </c>
      <c r="I173" s="24"/>
      <c r="J173" s="24">
        <v>1339047</v>
      </c>
      <c r="K173" s="24">
        <f t="shared" si="16"/>
        <v>1339047</v>
      </c>
      <c r="L173" s="123"/>
      <c r="M173" s="24">
        <f t="shared" si="17"/>
        <v>0</v>
      </c>
      <c r="N173" s="124">
        <f t="shared" si="18"/>
        <v>1339047</v>
      </c>
      <c r="O173" s="85"/>
      <c r="AE173" s="130"/>
      <c r="AF173" s="130"/>
      <c r="AG173" s="130"/>
      <c r="AH173" s="130"/>
      <c r="AI173" s="130"/>
      <c r="AJ173" s="130"/>
      <c r="AK173" s="130"/>
      <c r="AL173" s="130"/>
      <c r="BC173" s="130"/>
      <c r="BD173" s="130"/>
      <c r="BE173" s="130"/>
      <c r="BF173" s="130"/>
      <c r="BG173" s="130"/>
      <c r="BH173" s="130"/>
      <c r="BI173" s="130"/>
      <c r="BJ173" s="130"/>
      <c r="CA173" s="130"/>
      <c r="CB173" s="130"/>
      <c r="CC173" s="130"/>
      <c r="CD173" s="130"/>
      <c r="CE173" s="130"/>
      <c r="CF173" s="130"/>
      <c r="CG173" s="130"/>
      <c r="CH173" s="130"/>
      <c r="CY173" s="130"/>
      <c r="CZ173" s="130"/>
      <c r="DA173" s="130"/>
      <c r="DB173" s="130"/>
      <c r="DC173" s="130"/>
      <c r="DD173" s="130"/>
      <c r="DE173" s="130"/>
      <c r="DF173" s="130"/>
      <c r="DW173" s="130"/>
      <c r="DX173" s="130"/>
      <c r="DY173" s="130"/>
      <c r="DZ173" s="130"/>
      <c r="EA173" s="130"/>
      <c r="EB173" s="130"/>
      <c r="EC173" s="130"/>
      <c r="ED173" s="130"/>
      <c r="EU173" s="130"/>
      <c r="EV173" s="130"/>
      <c r="EW173" s="130"/>
      <c r="EX173" s="130"/>
      <c r="EY173" s="130"/>
      <c r="EZ173" s="130"/>
      <c r="FA173" s="130"/>
      <c r="FB173" s="130"/>
      <c r="FS173" s="130"/>
      <c r="FT173" s="130"/>
      <c r="FU173" s="130"/>
      <c r="FV173" s="130"/>
      <c r="FW173" s="130"/>
      <c r="FX173" s="130"/>
      <c r="FY173" s="130"/>
      <c r="FZ173" s="130"/>
    </row>
    <row r="174" spans="1:188" s="3" customFormat="1">
      <c r="A174" s="16">
        <v>6</v>
      </c>
      <c r="B174" s="56">
        <v>43104</v>
      </c>
      <c r="C174" s="18"/>
      <c r="D174" s="19" t="s">
        <v>1124</v>
      </c>
      <c r="E174" s="20" t="s">
        <v>285</v>
      </c>
      <c r="F174" s="82" t="s">
        <v>1127</v>
      </c>
      <c r="G174" s="58">
        <v>1711</v>
      </c>
      <c r="H174" s="121">
        <v>1406000</v>
      </c>
      <c r="I174" s="24"/>
      <c r="J174" s="24">
        <v>1339047</v>
      </c>
      <c r="K174" s="24">
        <f t="shared" si="16"/>
        <v>1339047</v>
      </c>
      <c r="L174" s="123"/>
      <c r="M174" s="24">
        <f t="shared" si="17"/>
        <v>0</v>
      </c>
      <c r="N174" s="124">
        <f t="shared" si="18"/>
        <v>1339047</v>
      </c>
      <c r="O174" s="107"/>
      <c r="AE174" s="130"/>
      <c r="AF174" s="130"/>
      <c r="AG174" s="130"/>
      <c r="AH174" s="130"/>
      <c r="AI174" s="130"/>
      <c r="AJ174" s="130"/>
      <c r="AK174" s="130"/>
      <c r="AL174" s="130"/>
      <c r="BC174" s="130"/>
      <c r="BD174" s="130"/>
      <c r="BE174" s="130"/>
      <c r="BF174" s="130"/>
      <c r="BG174" s="130"/>
      <c r="BH174" s="130"/>
      <c r="BI174" s="130"/>
      <c r="BJ174" s="130"/>
      <c r="CA174" s="130"/>
      <c r="CB174" s="130"/>
      <c r="CC174" s="130"/>
      <c r="CD174" s="130"/>
      <c r="CE174" s="130"/>
      <c r="CF174" s="130"/>
      <c r="CG174" s="130"/>
      <c r="CH174" s="130"/>
      <c r="CY174" s="130"/>
      <c r="CZ174" s="130"/>
      <c r="DA174" s="130"/>
      <c r="DB174" s="130"/>
      <c r="DC174" s="130"/>
      <c r="DD174" s="130"/>
      <c r="DE174" s="130"/>
      <c r="DF174" s="130"/>
      <c r="DW174" s="130"/>
      <c r="DX174" s="130"/>
      <c r="DY174" s="130"/>
      <c r="DZ174" s="130"/>
      <c r="EA174" s="130"/>
      <c r="EB174" s="130"/>
      <c r="EC174" s="130"/>
      <c r="ED174" s="130"/>
      <c r="EU174" s="130"/>
      <c r="EV174" s="130"/>
      <c r="EW174" s="130"/>
      <c r="EX174" s="130"/>
      <c r="EY174" s="130"/>
      <c r="EZ174" s="130"/>
      <c r="FA174" s="130"/>
      <c r="FB174" s="130"/>
      <c r="FS174" s="130"/>
      <c r="FT174" s="130"/>
      <c r="FU174" s="130"/>
      <c r="FV174" s="130"/>
      <c r="FW174" s="130"/>
      <c r="FX174" s="130"/>
      <c r="FY174" s="130"/>
      <c r="FZ174" s="130"/>
    </row>
    <row r="175" spans="1:188" s="3" customFormat="1">
      <c r="A175" s="16">
        <v>7</v>
      </c>
      <c r="B175" s="29">
        <v>43104</v>
      </c>
      <c r="C175" s="18"/>
      <c r="D175" s="19" t="s">
        <v>1124</v>
      </c>
      <c r="E175" s="20" t="s">
        <v>285</v>
      </c>
      <c r="F175" s="62" t="s">
        <v>1128</v>
      </c>
      <c r="G175" s="63">
        <v>1711</v>
      </c>
      <c r="H175" s="121">
        <v>1406000</v>
      </c>
      <c r="I175" s="24"/>
      <c r="J175" s="24">
        <v>1339047</v>
      </c>
      <c r="K175" s="24">
        <f t="shared" si="16"/>
        <v>1339047</v>
      </c>
      <c r="L175" s="123"/>
      <c r="M175" s="24">
        <f t="shared" si="17"/>
        <v>0</v>
      </c>
      <c r="N175" s="124">
        <f t="shared" si="18"/>
        <v>1339047</v>
      </c>
      <c r="O175" s="107"/>
      <c r="AE175" s="130"/>
      <c r="AF175" s="130"/>
      <c r="AG175" s="130"/>
      <c r="AH175" s="130"/>
      <c r="AI175" s="130"/>
      <c r="AJ175" s="130"/>
      <c r="AK175" s="130"/>
      <c r="AL175" s="130"/>
      <c r="BC175" s="130"/>
      <c r="BD175" s="130"/>
      <c r="BE175" s="130"/>
      <c r="BF175" s="130"/>
      <c r="BG175" s="130"/>
      <c r="BH175" s="130"/>
      <c r="BI175" s="130"/>
      <c r="BJ175" s="130"/>
      <c r="CA175" s="130"/>
      <c r="CB175" s="130"/>
      <c r="CC175" s="130"/>
      <c r="CD175" s="130"/>
      <c r="CE175" s="130"/>
      <c r="CF175" s="130"/>
      <c r="CG175" s="130"/>
      <c r="CH175" s="130"/>
      <c r="CY175" s="130"/>
      <c r="CZ175" s="130"/>
      <c r="DA175" s="130"/>
      <c r="DB175" s="130"/>
      <c r="DC175" s="130"/>
      <c r="DD175" s="130"/>
      <c r="DE175" s="130"/>
      <c r="DF175" s="130"/>
      <c r="DW175" s="130"/>
      <c r="DX175" s="130"/>
      <c r="DY175" s="130"/>
      <c r="DZ175" s="130"/>
      <c r="EA175" s="130"/>
      <c r="EB175" s="130"/>
      <c r="EC175" s="130"/>
      <c r="ED175" s="130"/>
      <c r="EU175" s="130"/>
      <c r="EV175" s="130"/>
      <c r="EW175" s="130"/>
      <c r="EX175" s="130"/>
      <c r="EY175" s="130"/>
      <c r="EZ175" s="130"/>
      <c r="FA175" s="130"/>
      <c r="FB175" s="130"/>
      <c r="FS175" s="130"/>
      <c r="FT175" s="130"/>
      <c r="FU175" s="130"/>
      <c r="FV175" s="130"/>
      <c r="FW175" s="130"/>
      <c r="FX175" s="130"/>
      <c r="FY175" s="130"/>
      <c r="FZ175" s="130"/>
    </row>
    <row r="176" spans="1:188" s="3" customFormat="1">
      <c r="A176" s="16">
        <v>8</v>
      </c>
      <c r="B176" s="29">
        <v>43104</v>
      </c>
      <c r="C176" s="18"/>
      <c r="D176" s="19" t="s">
        <v>1124</v>
      </c>
      <c r="E176" s="20" t="s">
        <v>285</v>
      </c>
      <c r="F176" s="82" t="s">
        <v>1129</v>
      </c>
      <c r="G176" s="58">
        <v>1711</v>
      </c>
      <c r="H176" s="121">
        <v>1406000</v>
      </c>
      <c r="I176" s="24"/>
      <c r="J176" s="24">
        <v>1339047</v>
      </c>
      <c r="K176" s="24">
        <f t="shared" si="16"/>
        <v>1339047</v>
      </c>
      <c r="L176" s="123"/>
      <c r="M176" s="24">
        <f t="shared" si="17"/>
        <v>0</v>
      </c>
      <c r="N176" s="124">
        <f t="shared" si="18"/>
        <v>1339047</v>
      </c>
      <c r="O176" s="107"/>
      <c r="AE176" s="130"/>
      <c r="AF176" s="130"/>
      <c r="AG176" s="130"/>
      <c r="AH176" s="130"/>
      <c r="AI176" s="130"/>
      <c r="AJ176" s="130"/>
      <c r="AK176" s="130"/>
      <c r="AL176" s="130"/>
      <c r="BC176" s="130"/>
      <c r="BD176" s="130"/>
      <c r="BE176" s="130"/>
      <c r="BF176" s="130"/>
      <c r="BG176" s="130"/>
      <c r="BH176" s="130"/>
      <c r="BI176" s="130"/>
      <c r="BJ176" s="130"/>
      <c r="CA176" s="130"/>
      <c r="CB176" s="130"/>
      <c r="CC176" s="130"/>
      <c r="CD176" s="130"/>
      <c r="CE176" s="130"/>
      <c r="CF176" s="130"/>
      <c r="CG176" s="130"/>
      <c r="CH176" s="130"/>
      <c r="CY176" s="130"/>
      <c r="CZ176" s="130"/>
      <c r="DA176" s="130"/>
      <c r="DB176" s="130"/>
      <c r="DC176" s="130"/>
      <c r="DD176" s="130"/>
      <c r="DE176" s="130"/>
      <c r="DF176" s="130"/>
      <c r="DW176" s="130"/>
      <c r="DX176" s="130"/>
      <c r="DY176" s="130"/>
      <c r="DZ176" s="130"/>
      <c r="EA176" s="130"/>
      <c r="EB176" s="130"/>
      <c r="EC176" s="130"/>
      <c r="ED176" s="130"/>
      <c r="EU176" s="130"/>
      <c r="EV176" s="130"/>
      <c r="EW176" s="130"/>
      <c r="EX176" s="130"/>
      <c r="EY176" s="130"/>
      <c r="EZ176" s="130"/>
      <c r="FA176" s="130"/>
      <c r="FB176" s="130"/>
      <c r="FS176" s="130"/>
      <c r="FT176" s="130"/>
      <c r="FU176" s="130"/>
      <c r="FV176" s="130"/>
      <c r="FW176" s="130"/>
      <c r="FX176" s="130"/>
      <c r="FY176" s="130"/>
      <c r="FZ176" s="130"/>
    </row>
    <row r="177" spans="1:188" s="3" customFormat="1">
      <c r="A177" s="16">
        <v>9</v>
      </c>
      <c r="B177" s="17">
        <v>43131</v>
      </c>
      <c r="C177" s="18"/>
      <c r="D177" s="19" t="s">
        <v>1124</v>
      </c>
      <c r="E177" s="20" t="s">
        <v>285</v>
      </c>
      <c r="F177" s="168" t="s">
        <v>1130</v>
      </c>
      <c r="G177" s="63">
        <v>1711</v>
      </c>
      <c r="H177" s="121">
        <v>1406000</v>
      </c>
      <c r="I177" s="24"/>
      <c r="J177" s="24">
        <v>1339047</v>
      </c>
      <c r="K177" s="24">
        <f t="shared" si="16"/>
        <v>1339047</v>
      </c>
      <c r="L177" s="123"/>
      <c r="M177" s="24">
        <f t="shared" si="17"/>
        <v>0</v>
      </c>
      <c r="N177" s="124">
        <f t="shared" si="18"/>
        <v>1339047</v>
      </c>
      <c r="O177" s="85"/>
      <c r="AE177" s="130"/>
      <c r="AF177" s="130"/>
      <c r="AG177" s="130"/>
      <c r="AH177" s="130"/>
      <c r="AI177" s="130"/>
      <c r="AJ177" s="130"/>
      <c r="AK177" s="130"/>
      <c r="AL177" s="130"/>
      <c r="BC177" s="130"/>
      <c r="BD177" s="130"/>
      <c r="BE177" s="130"/>
      <c r="BF177" s="130"/>
      <c r="BG177" s="130"/>
      <c r="BH177" s="130"/>
      <c r="BI177" s="130"/>
      <c r="BJ177" s="130"/>
      <c r="CA177" s="130"/>
      <c r="CB177" s="130"/>
      <c r="CC177" s="130"/>
      <c r="CD177" s="130"/>
      <c r="CE177" s="130"/>
      <c r="CF177" s="130"/>
      <c r="CG177" s="130"/>
      <c r="CH177" s="130"/>
      <c r="CY177" s="130"/>
      <c r="CZ177" s="130"/>
      <c r="DA177" s="130"/>
      <c r="DB177" s="130"/>
      <c r="DC177" s="130"/>
      <c r="DD177" s="130"/>
      <c r="DE177" s="130"/>
      <c r="DF177" s="130"/>
      <c r="DW177" s="130"/>
      <c r="DX177" s="130"/>
      <c r="DY177" s="130"/>
      <c r="DZ177" s="130"/>
      <c r="EA177" s="130"/>
      <c r="EB177" s="130"/>
      <c r="EC177" s="130"/>
      <c r="ED177" s="130"/>
      <c r="EU177" s="130"/>
      <c r="EV177" s="130"/>
      <c r="EW177" s="130"/>
      <c r="EX177" s="130"/>
      <c r="EY177" s="130"/>
      <c r="EZ177" s="130"/>
      <c r="FA177" s="130"/>
      <c r="FB177" s="130"/>
      <c r="FS177" s="130"/>
      <c r="FT177" s="130"/>
      <c r="FU177" s="130"/>
      <c r="FV177" s="130"/>
      <c r="FW177" s="130"/>
      <c r="FX177" s="130"/>
      <c r="FY177" s="130"/>
      <c r="FZ177" s="130"/>
    </row>
    <row r="178" spans="1:188" s="3" customFormat="1">
      <c r="A178" s="16">
        <v>10</v>
      </c>
      <c r="B178" s="29">
        <v>43088</v>
      </c>
      <c r="C178" s="18"/>
      <c r="D178" s="19" t="s">
        <v>1124</v>
      </c>
      <c r="E178" s="20" t="s">
        <v>295</v>
      </c>
      <c r="F178" s="62" t="s">
        <v>296</v>
      </c>
      <c r="G178" s="63">
        <v>1708</v>
      </c>
      <c r="H178" s="121">
        <f>50000+1567500</f>
        <v>1617500</v>
      </c>
      <c r="I178" s="24">
        <v>1540476</v>
      </c>
      <c r="J178" s="24"/>
      <c r="K178" s="24">
        <f t="shared" si="16"/>
        <v>1540476</v>
      </c>
      <c r="L178" s="123"/>
      <c r="M178" s="24">
        <f t="shared" si="17"/>
        <v>0</v>
      </c>
      <c r="N178" s="124">
        <f t="shared" si="18"/>
        <v>1540476</v>
      </c>
      <c r="O178" s="85"/>
      <c r="AE178" s="141"/>
      <c r="AF178" s="142"/>
      <c r="AG178" s="142"/>
      <c r="AH178" s="142"/>
      <c r="AI178" s="142"/>
      <c r="AJ178" s="142"/>
      <c r="AK178" s="142"/>
      <c r="AL178" s="143"/>
      <c r="BC178" s="141"/>
      <c r="BD178" s="142"/>
      <c r="BE178" s="142"/>
      <c r="BF178" s="142"/>
      <c r="BG178" s="142"/>
      <c r="BH178" s="142"/>
      <c r="BI178" s="142"/>
      <c r="BJ178" s="143"/>
      <c r="CA178" s="141"/>
      <c r="CB178" s="142"/>
      <c r="CC178" s="142"/>
      <c r="CD178" s="142"/>
      <c r="CE178" s="142"/>
      <c r="CF178" s="142"/>
      <c r="CG178" s="142"/>
      <c r="CH178" s="143"/>
      <c r="CY178" s="141"/>
      <c r="CZ178" s="142"/>
      <c r="DA178" s="142"/>
      <c r="DB178" s="142"/>
      <c r="DC178" s="142"/>
      <c r="DD178" s="142"/>
      <c r="DE178" s="142"/>
      <c r="DF178" s="143"/>
      <c r="DW178" s="141"/>
      <c r="DX178" s="142"/>
      <c r="DY178" s="142"/>
      <c r="DZ178" s="142"/>
      <c r="EA178" s="142"/>
      <c r="EB178" s="142"/>
      <c r="EC178" s="142"/>
      <c r="ED178" s="143"/>
      <c r="EU178" s="141"/>
      <c r="EV178" s="142"/>
      <c r="EW178" s="142"/>
      <c r="EX178" s="142"/>
      <c r="EY178" s="142"/>
      <c r="EZ178" s="142"/>
      <c r="FA178" s="142"/>
      <c r="FB178" s="143"/>
      <c r="FS178" s="141"/>
      <c r="FT178" s="142"/>
      <c r="FU178" s="142"/>
      <c r="FV178" s="142"/>
      <c r="FW178" s="142"/>
      <c r="FX178" s="142"/>
      <c r="FY178" s="142"/>
      <c r="FZ178" s="143"/>
    </row>
    <row r="179" spans="1:188" s="3" customFormat="1">
      <c r="A179" s="16">
        <v>11</v>
      </c>
      <c r="B179" s="17">
        <v>43054</v>
      </c>
      <c r="C179" s="18"/>
      <c r="D179" s="19" t="s">
        <v>1131</v>
      </c>
      <c r="E179" s="20" t="s">
        <v>380</v>
      </c>
      <c r="F179" s="168" t="s">
        <v>382</v>
      </c>
      <c r="G179" s="63">
        <v>1705</v>
      </c>
      <c r="H179" s="121">
        <v>1530000</v>
      </c>
      <c r="I179" s="24">
        <v>1361905</v>
      </c>
      <c r="J179" s="24"/>
      <c r="K179" s="24">
        <f t="shared" si="16"/>
        <v>1361905</v>
      </c>
      <c r="L179" s="123"/>
      <c r="M179" s="24">
        <f t="shared" si="17"/>
        <v>0</v>
      </c>
      <c r="N179" s="124">
        <f t="shared" si="18"/>
        <v>1361905</v>
      </c>
      <c r="O179" s="107"/>
      <c r="V179" s="131"/>
      <c r="W179" s="15"/>
      <c r="AC179" s="131"/>
      <c r="AD179" s="15"/>
      <c r="AE179" s="170"/>
      <c r="AF179" s="171"/>
      <c r="AG179" s="172"/>
      <c r="AH179" s="172"/>
      <c r="AI179" s="173"/>
      <c r="AJ179" s="174"/>
      <c r="AK179" s="175"/>
      <c r="AL179" s="176"/>
      <c r="AN179" s="138"/>
      <c r="AO179" s="2"/>
      <c r="AP179" s="139"/>
      <c r="BA179" s="131"/>
      <c r="BB179" s="15"/>
      <c r="BC179" s="170"/>
      <c r="BD179" s="171"/>
      <c r="BE179" s="172"/>
      <c r="BF179" s="172"/>
      <c r="BG179" s="173"/>
      <c r="BH179" s="174"/>
      <c r="BI179" s="175"/>
      <c r="BJ179" s="176"/>
      <c r="BL179" s="138"/>
      <c r="BM179" s="2"/>
      <c r="BN179" s="139"/>
      <c r="BY179" s="131"/>
      <c r="BZ179" s="15"/>
      <c r="CA179" s="170"/>
      <c r="CB179" s="171"/>
      <c r="CC179" s="172"/>
      <c r="CD179" s="172"/>
      <c r="CE179" s="173"/>
      <c r="CF179" s="174"/>
      <c r="CG179" s="175"/>
      <c r="CH179" s="176"/>
      <c r="CJ179" s="138"/>
      <c r="CK179" s="2"/>
      <c r="CL179" s="139"/>
      <c r="CW179" s="131"/>
      <c r="CX179" s="15"/>
      <c r="CY179" s="170"/>
      <c r="CZ179" s="171"/>
      <c r="DA179" s="172"/>
      <c r="DB179" s="172"/>
      <c r="DC179" s="173"/>
      <c r="DD179" s="174"/>
      <c r="DE179" s="175"/>
      <c r="DF179" s="176"/>
      <c r="DH179" s="138"/>
      <c r="DI179" s="2"/>
      <c r="DJ179" s="139"/>
      <c r="DU179" s="131"/>
      <c r="DV179" s="15"/>
      <c r="DW179" s="170"/>
      <c r="DX179" s="171"/>
      <c r="DY179" s="172"/>
      <c r="DZ179" s="172"/>
      <c r="EA179" s="173"/>
      <c r="EB179" s="174"/>
      <c r="EC179" s="175"/>
      <c r="ED179" s="176"/>
      <c r="EF179" s="138"/>
      <c r="EG179" s="2"/>
      <c r="EH179" s="139"/>
      <c r="ES179" s="131"/>
      <c r="ET179" s="15"/>
      <c r="EU179" s="170"/>
      <c r="EV179" s="171"/>
      <c r="EW179" s="172"/>
      <c r="EX179" s="172"/>
      <c r="EY179" s="173"/>
      <c r="EZ179" s="174"/>
      <c r="FA179" s="175"/>
      <c r="FB179" s="176"/>
      <c r="FD179" s="138"/>
      <c r="FE179" s="2"/>
      <c r="FF179" s="139"/>
      <c r="FQ179" s="131"/>
      <c r="FR179" s="15"/>
      <c r="FS179" s="170"/>
      <c r="FT179" s="171"/>
      <c r="FU179" s="172"/>
      <c r="FV179" s="172"/>
      <c r="FW179" s="173"/>
      <c r="FX179" s="174"/>
      <c r="FY179" s="175"/>
      <c r="FZ179" s="176"/>
      <c r="GB179" s="138"/>
      <c r="GC179" s="2"/>
      <c r="GD179" s="139"/>
    </row>
    <row r="180" spans="1:188" s="125" customFormat="1">
      <c r="A180" s="16">
        <v>12</v>
      </c>
      <c r="B180" s="17">
        <v>43083</v>
      </c>
      <c r="C180" s="18"/>
      <c r="D180" s="19" t="s">
        <v>1132</v>
      </c>
      <c r="E180" s="20" t="s">
        <v>398</v>
      </c>
      <c r="F180" s="168" t="s">
        <v>400</v>
      </c>
      <c r="G180" s="63">
        <v>1708</v>
      </c>
      <c r="H180" s="121">
        <v>1729000</v>
      </c>
      <c r="I180" s="24">
        <v>1646667</v>
      </c>
      <c r="J180" s="24"/>
      <c r="K180" s="24">
        <f t="shared" si="16"/>
        <v>1646667</v>
      </c>
      <c r="L180" s="123"/>
      <c r="M180" s="24">
        <f t="shared" si="17"/>
        <v>0</v>
      </c>
      <c r="N180" s="124">
        <f t="shared" si="18"/>
        <v>1646667</v>
      </c>
      <c r="O180" s="85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130"/>
      <c r="AF180" s="130"/>
      <c r="AG180" s="130"/>
      <c r="AH180" s="130"/>
      <c r="AI180" s="130"/>
      <c r="AJ180" s="130"/>
      <c r="AK180" s="130"/>
      <c r="AL180" s="130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130"/>
      <c r="BD180" s="130"/>
      <c r="BE180" s="130"/>
      <c r="BF180" s="130"/>
      <c r="BG180" s="130"/>
      <c r="BH180" s="130"/>
      <c r="BI180" s="130"/>
      <c r="BJ180" s="130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130"/>
      <c r="CB180" s="130"/>
      <c r="CC180" s="130"/>
      <c r="CD180" s="130"/>
      <c r="CE180" s="130"/>
      <c r="CF180" s="130"/>
      <c r="CG180" s="130"/>
      <c r="CH180" s="130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130"/>
      <c r="CZ180" s="130"/>
      <c r="DA180" s="130"/>
      <c r="DB180" s="130"/>
      <c r="DC180" s="130"/>
      <c r="DD180" s="130"/>
      <c r="DE180" s="130"/>
      <c r="DF180" s="130"/>
      <c r="DG180" s="3"/>
      <c r="DH180" s="3"/>
      <c r="DI180" s="3"/>
      <c r="DJ180" s="3"/>
      <c r="DK180" s="3"/>
      <c r="DL180" s="3"/>
      <c r="DM180" s="3"/>
      <c r="DN180" s="3"/>
      <c r="DO180" s="3"/>
      <c r="DP180" s="3"/>
      <c r="DQ180" s="3"/>
      <c r="DR180" s="3"/>
      <c r="DS180" s="3"/>
      <c r="DT180" s="3"/>
      <c r="DU180" s="3"/>
      <c r="DV180" s="3"/>
      <c r="DW180" s="130"/>
      <c r="DX180" s="130"/>
      <c r="DY180" s="130"/>
      <c r="DZ180" s="130"/>
      <c r="EA180" s="130"/>
      <c r="EB180" s="130"/>
      <c r="EC180" s="130"/>
      <c r="ED180" s="130"/>
      <c r="EE180" s="3"/>
      <c r="EF180" s="3"/>
      <c r="EG180" s="3"/>
      <c r="EH180" s="3"/>
      <c r="EI180" s="3"/>
      <c r="EJ180" s="3"/>
      <c r="EK180" s="3"/>
      <c r="EL180" s="3"/>
      <c r="EM180" s="3"/>
      <c r="EN180" s="3"/>
      <c r="EO180" s="3"/>
      <c r="EP180" s="3"/>
      <c r="EQ180" s="3"/>
      <c r="ER180" s="3"/>
      <c r="ES180" s="3"/>
      <c r="ET180" s="3"/>
      <c r="EU180" s="130"/>
      <c r="EV180" s="130"/>
      <c r="EW180" s="130"/>
      <c r="EX180" s="130"/>
      <c r="EY180" s="130"/>
      <c r="EZ180" s="130"/>
      <c r="FA180" s="130"/>
      <c r="FB180" s="130"/>
      <c r="FC180" s="3"/>
      <c r="FD180" s="3"/>
      <c r="FE180" s="3"/>
      <c r="FF180" s="3"/>
      <c r="FG180" s="3"/>
      <c r="FH180" s="3"/>
      <c r="FI180" s="3"/>
      <c r="FJ180" s="3"/>
      <c r="FK180" s="3"/>
      <c r="FL180" s="3"/>
      <c r="FM180" s="3"/>
      <c r="FN180" s="3"/>
      <c r="FO180" s="3"/>
      <c r="FP180" s="3"/>
      <c r="FQ180" s="3"/>
      <c r="FR180" s="3"/>
      <c r="FS180" s="130"/>
      <c r="FT180" s="130"/>
      <c r="FU180" s="130"/>
      <c r="FV180" s="130"/>
      <c r="FW180" s="130"/>
      <c r="FX180" s="130"/>
      <c r="FY180" s="130"/>
      <c r="FZ180" s="130"/>
      <c r="GA180" s="3"/>
      <c r="GB180" s="3"/>
      <c r="GC180" s="3"/>
      <c r="GD180" s="3"/>
      <c r="GE180" s="3"/>
      <c r="GF180" s="3"/>
    </row>
    <row r="181" spans="1:188" s="3" customFormat="1">
      <c r="A181" s="16">
        <v>13</v>
      </c>
      <c r="B181" s="17">
        <v>43116</v>
      </c>
      <c r="C181" s="18"/>
      <c r="D181" s="19" t="s">
        <v>1131</v>
      </c>
      <c r="E181" s="20" t="s">
        <v>383</v>
      </c>
      <c r="F181" s="168" t="s">
        <v>1133</v>
      </c>
      <c r="G181" s="63">
        <v>1711</v>
      </c>
      <c r="H181" s="121">
        <v>1273000</v>
      </c>
      <c r="I181" s="24"/>
      <c r="J181" s="24">
        <v>1212380</v>
      </c>
      <c r="K181" s="24">
        <f t="shared" si="16"/>
        <v>1212380</v>
      </c>
      <c r="L181" s="123"/>
      <c r="M181" s="24">
        <f t="shared" si="17"/>
        <v>0</v>
      </c>
      <c r="N181" s="124">
        <f t="shared" si="18"/>
        <v>1212380</v>
      </c>
      <c r="O181" s="107"/>
      <c r="AE181" s="141"/>
      <c r="AF181" s="142"/>
      <c r="AG181" s="142"/>
      <c r="AH181" s="142"/>
      <c r="AI181" s="142"/>
      <c r="AJ181" s="142"/>
      <c r="AK181" s="142"/>
      <c r="AL181" s="143"/>
      <c r="BC181" s="141"/>
      <c r="BD181" s="142"/>
      <c r="BE181" s="142"/>
      <c r="BF181" s="142"/>
      <c r="BG181" s="142"/>
      <c r="BH181" s="142"/>
      <c r="BI181" s="142"/>
      <c r="BJ181" s="143"/>
      <c r="CA181" s="141"/>
      <c r="CB181" s="142"/>
      <c r="CC181" s="142"/>
      <c r="CD181" s="142"/>
      <c r="CE181" s="142"/>
      <c r="CF181" s="142"/>
      <c r="CG181" s="142"/>
      <c r="CH181" s="143"/>
      <c r="CY181" s="141"/>
      <c r="CZ181" s="142"/>
      <c r="DA181" s="142"/>
      <c r="DB181" s="142"/>
      <c r="DC181" s="142"/>
      <c r="DD181" s="142"/>
      <c r="DE181" s="142"/>
      <c r="DF181" s="143"/>
      <c r="DW181" s="141"/>
      <c r="DX181" s="142"/>
      <c r="DY181" s="142"/>
      <c r="DZ181" s="142"/>
      <c r="EA181" s="142"/>
      <c r="EB181" s="142"/>
      <c r="EC181" s="142"/>
      <c r="ED181" s="143"/>
      <c r="EU181" s="141"/>
      <c r="EV181" s="142"/>
      <c r="EW181" s="142"/>
      <c r="EX181" s="142"/>
      <c r="EY181" s="142"/>
      <c r="EZ181" s="142"/>
      <c r="FA181" s="142"/>
      <c r="FB181" s="143"/>
      <c r="FS181" s="141"/>
      <c r="FT181" s="142"/>
      <c r="FU181" s="142"/>
      <c r="FV181" s="142"/>
      <c r="FW181" s="142"/>
      <c r="FX181" s="142"/>
      <c r="FY181" s="142"/>
      <c r="FZ181" s="143"/>
    </row>
    <row r="182" spans="1:188" s="3" customFormat="1">
      <c r="A182" s="16">
        <v>14</v>
      </c>
      <c r="B182" s="17">
        <v>43116</v>
      </c>
      <c r="C182" s="18"/>
      <c r="D182" s="19" t="s">
        <v>1131</v>
      </c>
      <c r="E182" s="20" t="s">
        <v>383</v>
      </c>
      <c r="F182" s="168" t="s">
        <v>1134</v>
      </c>
      <c r="G182" s="63">
        <v>1711</v>
      </c>
      <c r="H182" s="121">
        <v>1273000</v>
      </c>
      <c r="I182" s="24"/>
      <c r="J182" s="24">
        <v>1212380</v>
      </c>
      <c r="K182" s="24">
        <f t="shared" si="16"/>
        <v>1212380</v>
      </c>
      <c r="L182" s="123"/>
      <c r="M182" s="24">
        <f t="shared" si="17"/>
        <v>0</v>
      </c>
      <c r="N182" s="124">
        <f t="shared" si="18"/>
        <v>1212380</v>
      </c>
      <c r="O182" s="107"/>
      <c r="P182" s="125"/>
      <c r="Q182" s="125"/>
      <c r="R182" s="125"/>
      <c r="S182" s="125"/>
      <c r="T182" s="125"/>
      <c r="U182" s="125"/>
      <c r="V182" s="125"/>
      <c r="W182" s="125"/>
      <c r="X182" s="125"/>
      <c r="Y182" s="125"/>
      <c r="Z182" s="125"/>
      <c r="AA182" s="125"/>
      <c r="AB182" s="125"/>
      <c r="AC182" s="125"/>
      <c r="AD182" s="125"/>
      <c r="AE182" s="179"/>
      <c r="AF182" s="177"/>
      <c r="AG182" s="177"/>
      <c r="AH182" s="177"/>
      <c r="AI182" s="177"/>
      <c r="AJ182" s="177"/>
      <c r="AK182" s="177"/>
      <c r="AL182" s="178"/>
      <c r="AM182" s="125"/>
      <c r="AN182" s="125"/>
      <c r="AO182" s="125"/>
      <c r="AP182" s="125"/>
      <c r="AQ182" s="125"/>
      <c r="AR182" s="125"/>
      <c r="AS182" s="125"/>
      <c r="AT182" s="125"/>
      <c r="AU182" s="125"/>
      <c r="AV182" s="125"/>
      <c r="AW182" s="125"/>
      <c r="AX182" s="125"/>
      <c r="AY182" s="125"/>
      <c r="AZ182" s="125"/>
      <c r="BA182" s="125"/>
      <c r="BB182" s="125"/>
      <c r="BC182" s="179"/>
      <c r="BD182" s="177"/>
      <c r="BE182" s="177"/>
      <c r="BF182" s="177"/>
      <c r="BG182" s="177"/>
      <c r="BH182" s="177"/>
      <c r="BI182" s="177"/>
      <c r="BJ182" s="178"/>
      <c r="BK182" s="125"/>
      <c r="BL182" s="125"/>
      <c r="BM182" s="125"/>
      <c r="BN182" s="125"/>
      <c r="BO182" s="125"/>
      <c r="BP182" s="125"/>
      <c r="BQ182" s="125"/>
      <c r="BR182" s="125"/>
      <c r="BS182" s="125"/>
      <c r="BT182" s="125"/>
      <c r="BU182" s="125"/>
      <c r="BV182" s="125"/>
      <c r="BW182" s="125"/>
      <c r="BX182" s="125"/>
      <c r="BY182" s="125"/>
      <c r="BZ182" s="125"/>
      <c r="CA182" s="179"/>
      <c r="CB182" s="177"/>
      <c r="CC182" s="177"/>
      <c r="CD182" s="177"/>
      <c r="CE182" s="177"/>
      <c r="CF182" s="177"/>
      <c r="CG182" s="177"/>
      <c r="CH182" s="178"/>
      <c r="CI182" s="125"/>
      <c r="CJ182" s="125"/>
      <c r="CK182" s="125"/>
      <c r="CL182" s="125"/>
      <c r="CM182" s="125"/>
      <c r="CN182" s="125"/>
      <c r="CO182" s="125"/>
      <c r="CP182" s="125"/>
      <c r="CQ182" s="125"/>
      <c r="CR182" s="125"/>
      <c r="CS182" s="125"/>
      <c r="CT182" s="125"/>
      <c r="CU182" s="125"/>
      <c r="CV182" s="125"/>
      <c r="CW182" s="125"/>
      <c r="CX182" s="125"/>
      <c r="CY182" s="179"/>
      <c r="CZ182" s="177"/>
      <c r="DA182" s="177"/>
      <c r="DB182" s="177"/>
      <c r="DC182" s="177"/>
      <c r="DD182" s="177"/>
      <c r="DE182" s="177"/>
      <c r="DF182" s="178"/>
      <c r="DG182" s="125"/>
      <c r="DH182" s="125"/>
      <c r="DI182" s="125"/>
      <c r="DJ182" s="125"/>
      <c r="DK182" s="125"/>
      <c r="DL182" s="125"/>
      <c r="DM182" s="125"/>
      <c r="DN182" s="125"/>
      <c r="DO182" s="125"/>
      <c r="DP182" s="125"/>
      <c r="DQ182" s="125"/>
      <c r="DR182" s="125"/>
      <c r="DS182" s="125"/>
      <c r="DT182" s="125"/>
      <c r="DU182" s="125"/>
      <c r="DV182" s="125"/>
      <c r="DW182" s="179"/>
      <c r="DX182" s="177"/>
      <c r="DY182" s="177"/>
      <c r="DZ182" s="177"/>
      <c r="EA182" s="177"/>
      <c r="EB182" s="177"/>
      <c r="EC182" s="177"/>
      <c r="ED182" s="178"/>
      <c r="EE182" s="125"/>
      <c r="EF182" s="125"/>
      <c r="EG182" s="125"/>
      <c r="EH182" s="125"/>
      <c r="EI182" s="125"/>
      <c r="EJ182" s="125"/>
      <c r="EK182" s="125"/>
      <c r="EL182" s="125"/>
      <c r="EM182" s="125"/>
      <c r="EN182" s="125"/>
      <c r="EO182" s="125"/>
      <c r="EP182" s="125"/>
      <c r="EQ182" s="125"/>
      <c r="ER182" s="125"/>
      <c r="ES182" s="125"/>
      <c r="ET182" s="125"/>
      <c r="EU182" s="179"/>
      <c r="EV182" s="177"/>
      <c r="EW182" s="177"/>
      <c r="EX182" s="177"/>
      <c r="EY182" s="177"/>
      <c r="EZ182" s="177"/>
      <c r="FA182" s="177"/>
      <c r="FB182" s="178"/>
      <c r="FC182" s="125"/>
      <c r="FD182" s="125"/>
      <c r="FE182" s="125"/>
      <c r="FF182" s="125"/>
      <c r="FG182" s="125"/>
      <c r="FH182" s="125"/>
      <c r="FI182" s="125"/>
      <c r="FJ182" s="125"/>
      <c r="FK182" s="125"/>
      <c r="FL182" s="125"/>
      <c r="FM182" s="125"/>
      <c r="FN182" s="125"/>
      <c r="FO182" s="125"/>
      <c r="FP182" s="125"/>
      <c r="FQ182" s="125"/>
      <c r="FR182" s="125"/>
      <c r="FS182" s="179"/>
      <c r="FT182" s="177"/>
      <c r="FU182" s="177"/>
      <c r="FV182" s="177"/>
      <c r="FW182" s="177"/>
      <c r="FX182" s="177"/>
      <c r="FY182" s="177"/>
      <c r="FZ182" s="178"/>
      <c r="GA182" s="125"/>
      <c r="GB182" s="125"/>
      <c r="GC182" s="125"/>
      <c r="GD182" s="125"/>
      <c r="GE182" s="125"/>
      <c r="GF182" s="125"/>
    </row>
    <row r="183" spans="1:188" s="3" customFormat="1">
      <c r="A183" s="16">
        <v>15</v>
      </c>
      <c r="B183" s="128">
        <v>43088</v>
      </c>
      <c r="C183" s="18"/>
      <c r="D183" s="19" t="s">
        <v>385</v>
      </c>
      <c r="E183" s="20" t="s">
        <v>383</v>
      </c>
      <c r="F183" s="168" t="s">
        <v>390</v>
      </c>
      <c r="G183" s="63">
        <v>1708</v>
      </c>
      <c r="H183" s="121">
        <v>1410000</v>
      </c>
      <c r="I183" s="24">
        <v>1342857</v>
      </c>
      <c r="J183" s="24"/>
      <c r="K183" s="24">
        <f t="shared" si="16"/>
        <v>1342857</v>
      </c>
      <c r="L183" s="123"/>
      <c r="M183" s="24">
        <f t="shared" si="17"/>
        <v>0</v>
      </c>
      <c r="N183" s="124">
        <f t="shared" si="18"/>
        <v>1342857</v>
      </c>
      <c r="O183" s="85"/>
      <c r="AE183" s="141"/>
      <c r="AF183" s="142"/>
      <c r="AG183" s="142"/>
      <c r="AH183" s="142"/>
      <c r="AI183" s="142"/>
      <c r="AJ183" s="142"/>
      <c r="AK183" s="142"/>
      <c r="AL183" s="143"/>
      <c r="BC183" s="141"/>
      <c r="BD183" s="142"/>
      <c r="BE183" s="142"/>
      <c r="BF183" s="142"/>
      <c r="BG183" s="142"/>
      <c r="BH183" s="142"/>
      <c r="BI183" s="142"/>
      <c r="BJ183" s="143"/>
      <c r="CA183" s="141"/>
      <c r="CB183" s="142"/>
      <c r="CC183" s="142"/>
      <c r="CD183" s="142"/>
      <c r="CE183" s="142"/>
      <c r="CF183" s="142"/>
      <c r="CG183" s="142"/>
      <c r="CH183" s="143"/>
      <c r="CY183" s="141"/>
      <c r="CZ183" s="142"/>
      <c r="DA183" s="142"/>
      <c r="DB183" s="142"/>
      <c r="DC183" s="142"/>
      <c r="DD183" s="142"/>
      <c r="DE183" s="142"/>
      <c r="DF183" s="143"/>
      <c r="DW183" s="141"/>
      <c r="DX183" s="142"/>
      <c r="DY183" s="142"/>
      <c r="DZ183" s="142"/>
      <c r="EA183" s="142"/>
      <c r="EB183" s="142"/>
      <c r="EC183" s="142"/>
      <c r="ED183" s="143"/>
      <c r="EU183" s="141"/>
      <c r="EV183" s="142"/>
      <c r="EW183" s="142"/>
      <c r="EX183" s="142"/>
      <c r="EY183" s="142"/>
      <c r="EZ183" s="142"/>
      <c r="FA183" s="142"/>
      <c r="FB183" s="143"/>
      <c r="FS183" s="141"/>
      <c r="FT183" s="142"/>
      <c r="FU183" s="142"/>
      <c r="FV183" s="142"/>
      <c r="FW183" s="142"/>
      <c r="FX183" s="142"/>
      <c r="FY183" s="142"/>
      <c r="FZ183" s="143"/>
    </row>
    <row r="184" spans="1:188" s="3" customFormat="1">
      <c r="A184" s="16">
        <v>16</v>
      </c>
      <c r="B184" s="29">
        <v>43131</v>
      </c>
      <c r="C184" s="18"/>
      <c r="D184" s="19" t="s">
        <v>1131</v>
      </c>
      <c r="E184" s="20" t="s">
        <v>1135</v>
      </c>
      <c r="F184" s="82" t="s">
        <v>1136</v>
      </c>
      <c r="G184" s="58">
        <v>1711</v>
      </c>
      <c r="H184" s="121">
        <v>1273000</v>
      </c>
      <c r="I184" s="24"/>
      <c r="J184" s="24">
        <v>1212380</v>
      </c>
      <c r="K184" s="24">
        <f t="shared" si="16"/>
        <v>1212380</v>
      </c>
      <c r="L184" s="123"/>
      <c r="M184" s="24">
        <f t="shared" si="17"/>
        <v>0</v>
      </c>
      <c r="N184" s="124">
        <f t="shared" si="18"/>
        <v>1212380</v>
      </c>
      <c r="O184" s="85"/>
      <c r="AE184" s="141"/>
      <c r="AF184" s="142"/>
      <c r="AG184" s="142"/>
      <c r="AH184" s="142"/>
      <c r="AI184" s="142"/>
      <c r="AJ184" s="142"/>
      <c r="AK184" s="142"/>
      <c r="AL184" s="143"/>
      <c r="BC184" s="141"/>
      <c r="BD184" s="142"/>
      <c r="BE184" s="142"/>
      <c r="BF184" s="142"/>
      <c r="BG184" s="142"/>
      <c r="BH184" s="142"/>
      <c r="BI184" s="142"/>
      <c r="BJ184" s="143"/>
      <c r="CA184" s="141"/>
      <c r="CB184" s="142"/>
      <c r="CC184" s="142"/>
      <c r="CD184" s="142"/>
      <c r="CE184" s="142"/>
      <c r="CF184" s="142"/>
      <c r="CG184" s="142"/>
      <c r="CH184" s="143"/>
      <c r="CY184" s="141"/>
      <c r="CZ184" s="142"/>
      <c r="DA184" s="142"/>
      <c r="DB184" s="142"/>
      <c r="DC184" s="142"/>
      <c r="DD184" s="142"/>
      <c r="DE184" s="142"/>
      <c r="DF184" s="143"/>
      <c r="DW184" s="141"/>
      <c r="DX184" s="142"/>
      <c r="DY184" s="142"/>
      <c r="DZ184" s="142"/>
      <c r="EA184" s="142"/>
      <c r="EB184" s="142"/>
      <c r="EC184" s="142"/>
      <c r="ED184" s="143"/>
      <c r="EU184" s="141"/>
      <c r="EV184" s="142"/>
      <c r="EW184" s="142"/>
      <c r="EX184" s="142"/>
      <c r="EY184" s="142"/>
      <c r="EZ184" s="142"/>
      <c r="FA184" s="142"/>
      <c r="FB184" s="143"/>
      <c r="FS184" s="141"/>
      <c r="FT184" s="142"/>
      <c r="FU184" s="142"/>
      <c r="FV184" s="142"/>
      <c r="FW184" s="142"/>
      <c r="FX184" s="142"/>
      <c r="FY184" s="142"/>
      <c r="FZ184" s="143"/>
    </row>
    <row r="185" spans="1:188" s="3" customFormat="1">
      <c r="A185" s="16">
        <v>17</v>
      </c>
      <c r="B185" s="29">
        <v>43131</v>
      </c>
      <c r="C185" s="18"/>
      <c r="D185" s="19" t="s">
        <v>1131</v>
      </c>
      <c r="E185" s="20" t="s">
        <v>1135</v>
      </c>
      <c r="F185" s="120" t="s">
        <v>1137</v>
      </c>
      <c r="G185" s="63">
        <v>1711</v>
      </c>
      <c r="H185" s="121">
        <v>1273000</v>
      </c>
      <c r="I185" s="24"/>
      <c r="J185" s="24">
        <v>1212380</v>
      </c>
      <c r="K185" s="24">
        <f t="shared" si="16"/>
        <v>1212380</v>
      </c>
      <c r="L185" s="123"/>
      <c r="M185" s="24">
        <f t="shared" si="17"/>
        <v>0</v>
      </c>
      <c r="N185" s="124">
        <f t="shared" si="18"/>
        <v>1212380</v>
      </c>
      <c r="O185" s="85"/>
      <c r="V185" s="131"/>
      <c r="W185" s="15"/>
      <c r="AC185" s="131"/>
      <c r="AD185" s="15"/>
      <c r="AE185" s="170"/>
      <c r="AF185" s="171"/>
      <c r="AG185" s="172"/>
      <c r="AH185" s="172"/>
      <c r="AI185" s="173"/>
      <c r="AJ185" s="174"/>
      <c r="AK185" s="175"/>
      <c r="AL185" s="176"/>
      <c r="AN185" s="138"/>
      <c r="AO185" s="2"/>
      <c r="AP185" s="139"/>
      <c r="BA185" s="131"/>
      <c r="BB185" s="15"/>
      <c r="BC185" s="170"/>
      <c r="BD185" s="171"/>
      <c r="BE185" s="172"/>
      <c r="BF185" s="172"/>
      <c r="BG185" s="173"/>
      <c r="BH185" s="174"/>
      <c r="BI185" s="175"/>
      <c r="BJ185" s="176"/>
      <c r="BL185" s="138"/>
      <c r="BM185" s="2"/>
      <c r="BN185" s="139"/>
      <c r="BY185" s="131"/>
      <c r="BZ185" s="15"/>
      <c r="CA185" s="170"/>
      <c r="CB185" s="171"/>
      <c r="CC185" s="172"/>
      <c r="CD185" s="172"/>
      <c r="CE185" s="173"/>
      <c r="CF185" s="174"/>
      <c r="CG185" s="175"/>
      <c r="CH185" s="176"/>
      <c r="CJ185" s="138"/>
      <c r="CK185" s="2"/>
      <c r="CL185" s="139"/>
      <c r="CW185" s="131"/>
      <c r="CX185" s="15"/>
      <c r="CY185" s="170"/>
      <c r="CZ185" s="171"/>
      <c r="DA185" s="172"/>
      <c r="DB185" s="172"/>
      <c r="DC185" s="173"/>
      <c r="DD185" s="174"/>
      <c r="DE185" s="175"/>
      <c r="DF185" s="176"/>
      <c r="DH185" s="138"/>
      <c r="DI185" s="2"/>
      <c r="DJ185" s="139"/>
      <c r="DU185" s="131"/>
      <c r="DV185" s="15"/>
      <c r="DW185" s="170"/>
      <c r="DX185" s="171"/>
      <c r="DY185" s="172"/>
      <c r="DZ185" s="172"/>
      <c r="EA185" s="173"/>
      <c r="EB185" s="174"/>
      <c r="EC185" s="175"/>
      <c r="ED185" s="176"/>
      <c r="EF185" s="138"/>
      <c r="EG185" s="2"/>
      <c r="EH185" s="139"/>
      <c r="ES185" s="131"/>
      <c r="ET185" s="15"/>
      <c r="EU185" s="170"/>
      <c r="EV185" s="171"/>
      <c r="EW185" s="172"/>
      <c r="EX185" s="172"/>
      <c r="EY185" s="173"/>
      <c r="EZ185" s="174"/>
      <c r="FA185" s="175"/>
      <c r="FB185" s="176"/>
      <c r="FD185" s="138"/>
      <c r="FE185" s="2"/>
      <c r="FF185" s="139"/>
      <c r="FQ185" s="131"/>
      <c r="FR185" s="15"/>
      <c r="FS185" s="170"/>
      <c r="FT185" s="171"/>
      <c r="FU185" s="172"/>
      <c r="FV185" s="172"/>
      <c r="FW185" s="173"/>
      <c r="FX185" s="174"/>
      <c r="FY185" s="175"/>
      <c r="FZ185" s="176"/>
      <c r="GB185" s="138"/>
      <c r="GC185" s="2"/>
      <c r="GD185" s="139"/>
    </row>
    <row r="186" spans="1:188" s="125" customFormat="1">
      <c r="A186" s="16">
        <v>18</v>
      </c>
      <c r="B186" s="29">
        <v>43129</v>
      </c>
      <c r="C186" s="18"/>
      <c r="D186" s="19" t="s">
        <v>1131</v>
      </c>
      <c r="E186" s="20" t="s">
        <v>1135</v>
      </c>
      <c r="F186" s="82" t="s">
        <v>1138</v>
      </c>
      <c r="G186" s="58">
        <v>1711</v>
      </c>
      <c r="H186" s="121">
        <v>1273000</v>
      </c>
      <c r="I186" s="24"/>
      <c r="J186" s="24">
        <v>1212380</v>
      </c>
      <c r="K186" s="24">
        <f t="shared" si="16"/>
        <v>1212380</v>
      </c>
      <c r="L186" s="123"/>
      <c r="M186" s="24">
        <f t="shared" si="17"/>
        <v>0</v>
      </c>
      <c r="N186" s="124">
        <f t="shared" si="18"/>
        <v>1212380</v>
      </c>
      <c r="O186" s="107"/>
      <c r="AE186" s="167"/>
      <c r="AF186" s="167"/>
      <c r="AG186" s="167"/>
      <c r="AH186" s="167"/>
      <c r="AI186" s="167"/>
      <c r="AJ186" s="167"/>
      <c r="AK186" s="167"/>
      <c r="AL186" s="167"/>
      <c r="BC186" s="167"/>
      <c r="BD186" s="167"/>
      <c r="BE186" s="167"/>
      <c r="BF186" s="167"/>
      <c r="BG186" s="167"/>
      <c r="BH186" s="167"/>
      <c r="BI186" s="167"/>
      <c r="BJ186" s="167"/>
      <c r="CA186" s="167"/>
      <c r="CB186" s="167"/>
      <c r="CC186" s="167"/>
      <c r="CD186" s="167"/>
      <c r="CE186" s="167"/>
      <c r="CF186" s="167"/>
      <c r="CG186" s="167"/>
      <c r="CH186" s="167"/>
      <c r="CY186" s="167"/>
      <c r="CZ186" s="167"/>
      <c r="DA186" s="167"/>
      <c r="DB186" s="167"/>
      <c r="DC186" s="167"/>
      <c r="DD186" s="167"/>
      <c r="DE186" s="167"/>
      <c r="DF186" s="167"/>
      <c r="DW186" s="167"/>
      <c r="DX186" s="167"/>
      <c r="DY186" s="167"/>
      <c r="DZ186" s="167"/>
      <c r="EA186" s="167"/>
      <c r="EB186" s="167"/>
      <c r="EC186" s="167"/>
      <c r="ED186" s="167"/>
      <c r="EU186" s="167"/>
      <c r="EV186" s="167"/>
      <c r="EW186" s="167"/>
      <c r="EX186" s="167"/>
      <c r="EY186" s="167"/>
      <c r="EZ186" s="167"/>
      <c r="FA186" s="167"/>
      <c r="FB186" s="167"/>
      <c r="FS186" s="167"/>
      <c r="FT186" s="167"/>
      <c r="FU186" s="167"/>
      <c r="FV186" s="167"/>
      <c r="FW186" s="167"/>
      <c r="FX186" s="167"/>
      <c r="FY186" s="167"/>
      <c r="FZ186" s="167"/>
    </row>
    <row r="187" spans="1:188" s="125" customFormat="1">
      <c r="A187" s="16">
        <v>19</v>
      </c>
      <c r="B187" s="17">
        <v>43129</v>
      </c>
      <c r="C187" s="18"/>
      <c r="D187" s="19" t="s">
        <v>1131</v>
      </c>
      <c r="E187" s="20" t="s">
        <v>1135</v>
      </c>
      <c r="F187" s="62" t="s">
        <v>1139</v>
      </c>
      <c r="G187" s="63">
        <v>1711</v>
      </c>
      <c r="H187" s="121">
        <v>1273000</v>
      </c>
      <c r="I187" s="24"/>
      <c r="J187" s="24">
        <v>1212380</v>
      </c>
      <c r="K187" s="24">
        <f t="shared" si="16"/>
        <v>1212380</v>
      </c>
      <c r="L187" s="26"/>
      <c r="M187" s="24">
        <f t="shared" si="17"/>
        <v>0</v>
      </c>
      <c r="N187" s="124">
        <f t="shared" si="18"/>
        <v>1212380</v>
      </c>
      <c r="O187" s="107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130"/>
      <c r="AF187" s="130"/>
      <c r="AG187" s="130"/>
      <c r="AH187" s="130"/>
      <c r="AI187" s="130"/>
      <c r="AJ187" s="130"/>
      <c r="AK187" s="130"/>
      <c r="AL187" s="130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130"/>
      <c r="BD187" s="130"/>
      <c r="BE187" s="130"/>
      <c r="BF187" s="130"/>
      <c r="BG187" s="130"/>
      <c r="BH187" s="130"/>
      <c r="BI187" s="130"/>
      <c r="BJ187" s="130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130"/>
      <c r="CB187" s="130"/>
      <c r="CC187" s="130"/>
      <c r="CD187" s="130"/>
      <c r="CE187" s="130"/>
      <c r="CF187" s="130"/>
      <c r="CG187" s="130"/>
      <c r="CH187" s="130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130"/>
      <c r="CZ187" s="130"/>
      <c r="DA187" s="130"/>
      <c r="DB187" s="130"/>
      <c r="DC187" s="130"/>
      <c r="DD187" s="130"/>
      <c r="DE187" s="130"/>
      <c r="DF187" s="130"/>
      <c r="DG187" s="3"/>
      <c r="DH187" s="3"/>
      <c r="DI187" s="3"/>
      <c r="DJ187" s="3"/>
      <c r="DK187" s="3"/>
      <c r="DL187" s="3"/>
      <c r="DM187" s="3"/>
      <c r="DN187" s="3"/>
      <c r="DO187" s="3"/>
      <c r="DP187" s="3"/>
      <c r="DQ187" s="3"/>
      <c r="DR187" s="3"/>
      <c r="DS187" s="3"/>
      <c r="DT187" s="3"/>
      <c r="DU187" s="3"/>
      <c r="DV187" s="3"/>
      <c r="DW187" s="130"/>
      <c r="DX187" s="130"/>
      <c r="DY187" s="130"/>
      <c r="DZ187" s="130"/>
      <c r="EA187" s="130"/>
      <c r="EB187" s="130"/>
      <c r="EC187" s="130"/>
      <c r="ED187" s="130"/>
      <c r="EE187" s="3"/>
      <c r="EF187" s="3"/>
      <c r="EG187" s="3"/>
      <c r="EH187" s="3"/>
      <c r="EI187" s="3"/>
      <c r="EJ187" s="3"/>
      <c r="EK187" s="3"/>
      <c r="EL187" s="3"/>
      <c r="EM187" s="3"/>
      <c r="EN187" s="3"/>
      <c r="EO187" s="3"/>
      <c r="EP187" s="3"/>
      <c r="EQ187" s="3"/>
      <c r="ER187" s="3"/>
      <c r="ES187" s="3"/>
      <c r="ET187" s="3"/>
      <c r="EU187" s="130"/>
      <c r="EV187" s="130"/>
      <c r="EW187" s="130"/>
      <c r="EX187" s="130"/>
      <c r="EY187" s="130"/>
      <c r="EZ187" s="130"/>
      <c r="FA187" s="130"/>
      <c r="FB187" s="130"/>
      <c r="FC187" s="3"/>
      <c r="FD187" s="3"/>
      <c r="FE187" s="3"/>
      <c r="FF187" s="3"/>
      <c r="FG187" s="3"/>
      <c r="FH187" s="3"/>
      <c r="FI187" s="3"/>
      <c r="FJ187" s="3"/>
      <c r="FK187" s="3"/>
      <c r="FL187" s="3"/>
      <c r="FM187" s="3"/>
      <c r="FN187" s="3"/>
      <c r="FO187" s="3"/>
      <c r="FP187" s="3"/>
      <c r="FQ187" s="3"/>
      <c r="FR187" s="3"/>
      <c r="FS187" s="130"/>
      <c r="FT187" s="130"/>
      <c r="FU187" s="130"/>
      <c r="FV187" s="130"/>
      <c r="FW187" s="130"/>
      <c r="FX187" s="130"/>
      <c r="FY187" s="130"/>
      <c r="FZ187" s="130"/>
      <c r="GA187" s="3"/>
      <c r="GB187" s="3"/>
      <c r="GC187" s="3"/>
      <c r="GD187" s="3"/>
      <c r="GE187" s="3"/>
      <c r="GF187" s="3"/>
    </row>
    <row r="188" spans="1:188" s="3" customFormat="1">
      <c r="A188" s="16">
        <v>20</v>
      </c>
      <c r="B188" s="17">
        <v>43129</v>
      </c>
      <c r="C188" s="18"/>
      <c r="D188" s="19" t="s">
        <v>1132</v>
      </c>
      <c r="E188" s="20" t="s">
        <v>401</v>
      </c>
      <c r="F188" s="168" t="s">
        <v>1140</v>
      </c>
      <c r="G188" s="63">
        <v>1709</v>
      </c>
      <c r="H188" s="121">
        <v>1615000</v>
      </c>
      <c r="I188" s="24"/>
      <c r="J188" s="24">
        <f>H188/1.05</f>
        <v>1538095.2380952381</v>
      </c>
      <c r="K188" s="24">
        <f t="shared" si="16"/>
        <v>1538095.2380952381</v>
      </c>
      <c r="L188" s="123"/>
      <c r="M188" s="24">
        <f t="shared" si="17"/>
        <v>0</v>
      </c>
      <c r="N188" s="124">
        <f t="shared" si="18"/>
        <v>1538095.2380952381</v>
      </c>
      <c r="O188" s="107"/>
      <c r="AE188" s="130"/>
      <c r="AF188" s="130"/>
      <c r="AG188" s="130"/>
      <c r="AH188" s="130"/>
      <c r="AI188" s="130"/>
      <c r="AJ188" s="130"/>
      <c r="AK188" s="130"/>
      <c r="AL188" s="130"/>
      <c r="BC188" s="130"/>
      <c r="BD188" s="130"/>
      <c r="BE188" s="130"/>
      <c r="BF188" s="130"/>
      <c r="BG188" s="130"/>
      <c r="BH188" s="130"/>
      <c r="BI188" s="130"/>
      <c r="BJ188" s="130"/>
      <c r="CA188" s="130"/>
      <c r="CB188" s="130"/>
      <c r="CC188" s="130"/>
      <c r="CD188" s="130"/>
      <c r="CE188" s="130"/>
      <c r="CF188" s="130"/>
      <c r="CG188" s="130"/>
      <c r="CH188" s="130"/>
      <c r="CY188" s="130"/>
      <c r="CZ188" s="130"/>
      <c r="DA188" s="130"/>
      <c r="DB188" s="130"/>
      <c r="DC188" s="130"/>
      <c r="DD188" s="130"/>
      <c r="DE188" s="130"/>
      <c r="DF188" s="130"/>
      <c r="DW188" s="130"/>
      <c r="DX188" s="130"/>
      <c r="DY188" s="130"/>
      <c r="DZ188" s="130"/>
      <c r="EA188" s="130"/>
      <c r="EB188" s="130"/>
      <c r="EC188" s="130"/>
      <c r="ED188" s="130"/>
      <c r="EU188" s="130"/>
      <c r="EV188" s="130"/>
      <c r="EW188" s="130"/>
      <c r="EX188" s="130"/>
      <c r="EY188" s="130"/>
      <c r="EZ188" s="130"/>
      <c r="FA188" s="130"/>
      <c r="FB188" s="130"/>
      <c r="FS188" s="130"/>
      <c r="FT188" s="130"/>
      <c r="FU188" s="130"/>
      <c r="FV188" s="130"/>
      <c r="FW188" s="130"/>
      <c r="FX188" s="130"/>
      <c r="FY188" s="130"/>
      <c r="FZ188" s="130"/>
    </row>
    <row r="189" spans="1:188" s="125" customFormat="1">
      <c r="A189" s="16">
        <v>21</v>
      </c>
      <c r="B189" s="29">
        <v>43005</v>
      </c>
      <c r="C189" s="18"/>
      <c r="D189" s="19" t="s">
        <v>1141</v>
      </c>
      <c r="E189" s="20" t="s">
        <v>301</v>
      </c>
      <c r="F189" s="82" t="s">
        <v>302</v>
      </c>
      <c r="G189" s="58">
        <v>1707</v>
      </c>
      <c r="H189" s="121">
        <f>40000-30000+1692600</f>
        <v>1702600</v>
      </c>
      <c r="I189" s="24">
        <v>1621524</v>
      </c>
      <c r="J189" s="24"/>
      <c r="K189" s="24">
        <f t="shared" si="16"/>
        <v>1621524</v>
      </c>
      <c r="L189" s="123"/>
      <c r="M189" s="24">
        <f t="shared" si="17"/>
        <v>0</v>
      </c>
      <c r="N189" s="124">
        <f t="shared" si="18"/>
        <v>1621524</v>
      </c>
      <c r="O189" s="108"/>
      <c r="P189" s="3"/>
      <c r="Q189" s="3"/>
      <c r="R189" s="3"/>
      <c r="S189" s="3"/>
      <c r="T189" s="3"/>
      <c r="U189" s="3"/>
      <c r="V189" s="131"/>
      <c r="W189" s="15"/>
      <c r="X189" s="3"/>
      <c r="Y189" s="3"/>
      <c r="Z189" s="3"/>
      <c r="AA189" s="3"/>
      <c r="AB189" s="3"/>
      <c r="AC189" s="131"/>
      <c r="AD189" s="15"/>
      <c r="AE189" s="99"/>
      <c r="AF189" s="149"/>
      <c r="AG189" s="134"/>
      <c r="AH189" s="134"/>
      <c r="AI189" s="137"/>
      <c r="AJ189" s="150"/>
      <c r="AK189" s="137"/>
      <c r="AL189" s="137"/>
      <c r="AM189" s="3"/>
      <c r="AN189" s="138"/>
      <c r="AO189" s="2"/>
      <c r="AP189" s="139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131"/>
      <c r="BB189" s="15"/>
      <c r="BC189" s="99"/>
      <c r="BD189" s="149"/>
      <c r="BE189" s="134"/>
      <c r="BF189" s="134"/>
      <c r="BG189" s="137"/>
      <c r="BH189" s="150"/>
      <c r="BI189" s="137"/>
      <c r="BJ189" s="137"/>
      <c r="BK189" s="3"/>
      <c r="BL189" s="138"/>
      <c r="BM189" s="2"/>
      <c r="BN189" s="139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131"/>
      <c r="BZ189" s="15"/>
      <c r="CA189" s="99"/>
      <c r="CB189" s="149"/>
      <c r="CC189" s="134"/>
      <c r="CD189" s="134"/>
      <c r="CE189" s="137"/>
      <c r="CF189" s="150"/>
      <c r="CG189" s="137"/>
      <c r="CH189" s="137"/>
      <c r="CI189" s="3"/>
      <c r="CJ189" s="138"/>
      <c r="CK189" s="2"/>
      <c r="CL189" s="139"/>
      <c r="CM189" s="3"/>
      <c r="CN189" s="3"/>
      <c r="CO189" s="3"/>
      <c r="CP189" s="3"/>
      <c r="CQ189" s="3"/>
      <c r="CR189" s="3"/>
      <c r="CS189" s="3"/>
      <c r="CT189" s="3"/>
      <c r="CU189" s="3"/>
      <c r="CV189" s="3"/>
      <c r="CW189" s="131"/>
      <c r="CX189" s="15"/>
      <c r="CY189" s="99"/>
      <c r="CZ189" s="149"/>
      <c r="DA189" s="134"/>
      <c r="DB189" s="134"/>
      <c r="DC189" s="137"/>
      <c r="DD189" s="150"/>
      <c r="DE189" s="137"/>
      <c r="DF189" s="137"/>
      <c r="DG189" s="3"/>
      <c r="DH189" s="138"/>
      <c r="DI189" s="2"/>
      <c r="DJ189" s="139"/>
      <c r="DK189" s="3"/>
      <c r="DL189" s="3"/>
      <c r="DM189" s="3"/>
      <c r="DN189" s="3"/>
      <c r="DO189" s="3"/>
      <c r="DP189" s="3"/>
      <c r="DQ189" s="3"/>
      <c r="DR189" s="3"/>
      <c r="DS189" s="3"/>
      <c r="DT189" s="3"/>
      <c r="DU189" s="131"/>
      <c r="DV189" s="15"/>
      <c r="DW189" s="99"/>
      <c r="DX189" s="149"/>
      <c r="DY189" s="134"/>
      <c r="DZ189" s="134"/>
      <c r="EA189" s="137"/>
      <c r="EB189" s="150"/>
      <c r="EC189" s="137"/>
      <c r="ED189" s="137"/>
      <c r="EE189" s="3"/>
      <c r="EF189" s="138"/>
      <c r="EG189" s="2"/>
      <c r="EH189" s="139"/>
      <c r="EI189" s="3"/>
      <c r="EJ189" s="3"/>
      <c r="EK189" s="3"/>
      <c r="EL189" s="3"/>
      <c r="EM189" s="3"/>
      <c r="EN189" s="3"/>
      <c r="EO189" s="3"/>
      <c r="EP189" s="3"/>
      <c r="EQ189" s="3"/>
      <c r="ER189" s="3"/>
      <c r="ES189" s="131"/>
      <c r="ET189" s="15"/>
      <c r="EU189" s="99"/>
      <c r="EV189" s="149"/>
      <c r="EW189" s="134"/>
      <c r="EX189" s="134"/>
      <c r="EY189" s="137"/>
      <c r="EZ189" s="150"/>
      <c r="FA189" s="137"/>
      <c r="FB189" s="137"/>
      <c r="FC189" s="3"/>
      <c r="FD189" s="138"/>
      <c r="FE189" s="2"/>
      <c r="FF189" s="139"/>
      <c r="FG189" s="3"/>
      <c r="FH189" s="3"/>
      <c r="FI189" s="3"/>
      <c r="FJ189" s="3"/>
      <c r="FK189" s="3"/>
      <c r="FL189" s="3"/>
      <c r="FM189" s="3"/>
      <c r="FN189" s="3"/>
      <c r="FO189" s="3"/>
      <c r="FP189" s="3"/>
      <c r="FQ189" s="131"/>
      <c r="FR189" s="15"/>
      <c r="FS189" s="99"/>
      <c r="FT189" s="149"/>
      <c r="FU189" s="134"/>
      <c r="FV189" s="134"/>
      <c r="FW189" s="137"/>
      <c r="FX189" s="150"/>
      <c r="FY189" s="137"/>
      <c r="FZ189" s="137"/>
      <c r="GA189" s="3"/>
      <c r="GB189" s="138"/>
      <c r="GC189" s="2"/>
      <c r="GD189" s="139"/>
      <c r="GE189" s="3"/>
      <c r="GF189" s="3"/>
    </row>
    <row r="190" spans="1:188" s="125" customFormat="1">
      <c r="A190" s="16">
        <v>22</v>
      </c>
      <c r="B190" s="29">
        <v>43054</v>
      </c>
      <c r="C190" s="18"/>
      <c r="D190" s="19" t="s">
        <v>1141</v>
      </c>
      <c r="E190" s="20" t="s">
        <v>301</v>
      </c>
      <c r="F190" s="82" t="s">
        <v>304</v>
      </c>
      <c r="G190" s="63">
        <v>1708</v>
      </c>
      <c r="H190" s="121">
        <v>1674000</v>
      </c>
      <c r="I190" s="24">
        <v>1594286</v>
      </c>
      <c r="J190" s="24"/>
      <c r="K190" s="24">
        <f t="shared" si="16"/>
        <v>1594286</v>
      </c>
      <c r="L190" s="123"/>
      <c r="M190" s="24">
        <f t="shared" si="17"/>
        <v>0</v>
      </c>
      <c r="N190" s="124">
        <f t="shared" si="18"/>
        <v>1594286</v>
      </c>
      <c r="O190" s="107"/>
      <c r="AE190" s="167"/>
      <c r="AF190" s="167"/>
      <c r="AG190" s="167"/>
      <c r="AH190" s="167"/>
      <c r="AI190" s="167"/>
      <c r="AJ190" s="167"/>
      <c r="AK190" s="167"/>
      <c r="AL190" s="167"/>
      <c r="BC190" s="167"/>
      <c r="BD190" s="167"/>
      <c r="BE190" s="167"/>
      <c r="BF190" s="167"/>
      <c r="BG190" s="167"/>
      <c r="BH190" s="167"/>
      <c r="BI190" s="167"/>
      <c r="BJ190" s="167"/>
      <c r="CA190" s="167"/>
      <c r="CB190" s="167"/>
      <c r="CC190" s="167"/>
      <c r="CD190" s="167"/>
      <c r="CE190" s="167"/>
      <c r="CF190" s="167"/>
      <c r="CG190" s="167"/>
      <c r="CH190" s="167"/>
      <c r="CY190" s="167"/>
      <c r="CZ190" s="167"/>
      <c r="DA190" s="167"/>
      <c r="DB190" s="167"/>
      <c r="DC190" s="167"/>
      <c r="DD190" s="167"/>
      <c r="DE190" s="167"/>
      <c r="DF190" s="167"/>
      <c r="DW190" s="167"/>
      <c r="DX190" s="167"/>
      <c r="DY190" s="167"/>
      <c r="DZ190" s="167"/>
      <c r="EA190" s="167"/>
      <c r="EB190" s="167"/>
      <c r="EC190" s="167"/>
      <c r="ED190" s="167"/>
      <c r="EU190" s="167"/>
      <c r="EV190" s="167"/>
      <c r="EW190" s="167"/>
      <c r="EX190" s="167"/>
      <c r="EY190" s="167"/>
      <c r="EZ190" s="167"/>
      <c r="FA190" s="167"/>
      <c r="FB190" s="167"/>
      <c r="FS190" s="167"/>
      <c r="FT190" s="167"/>
      <c r="FU190" s="167"/>
      <c r="FV190" s="167"/>
      <c r="FW190" s="167"/>
      <c r="FX190" s="167"/>
      <c r="FY190" s="167"/>
      <c r="FZ190" s="167"/>
    </row>
    <row r="191" spans="1:188" s="125" customFormat="1">
      <c r="A191" s="16">
        <v>23</v>
      </c>
      <c r="B191" s="29">
        <v>43126</v>
      </c>
      <c r="C191" s="18"/>
      <c r="D191" s="19" t="s">
        <v>1141</v>
      </c>
      <c r="E191" s="20" t="s">
        <v>301</v>
      </c>
      <c r="F191" s="82" t="s">
        <v>1142</v>
      </c>
      <c r="G191" s="58">
        <v>1711</v>
      </c>
      <c r="H191" s="121">
        <f>244800+1674000</f>
        <v>1918800</v>
      </c>
      <c r="I191" s="24"/>
      <c r="J191" s="24">
        <v>1827428</v>
      </c>
      <c r="K191" s="199">
        <f t="shared" si="16"/>
        <v>1827428</v>
      </c>
      <c r="L191" s="123"/>
      <c r="M191" s="24">
        <f t="shared" si="17"/>
        <v>0</v>
      </c>
      <c r="N191" s="124">
        <f t="shared" si="18"/>
        <v>1827428</v>
      </c>
      <c r="O191" s="107"/>
      <c r="AE191" s="167"/>
      <c r="AF191" s="167"/>
      <c r="AG191" s="167"/>
      <c r="AH191" s="167"/>
      <c r="AI191" s="167"/>
      <c r="AJ191" s="167"/>
      <c r="AK191" s="167"/>
      <c r="AL191" s="167"/>
      <c r="BC191" s="167"/>
      <c r="BD191" s="167"/>
      <c r="BE191" s="167"/>
      <c r="BF191" s="167"/>
      <c r="BG191" s="167"/>
      <c r="BH191" s="167"/>
      <c r="BI191" s="167"/>
      <c r="BJ191" s="167"/>
      <c r="CA191" s="167"/>
      <c r="CB191" s="167"/>
      <c r="CC191" s="167"/>
      <c r="CD191" s="167"/>
      <c r="CE191" s="167"/>
      <c r="CF191" s="167"/>
      <c r="CG191" s="167"/>
      <c r="CH191" s="167"/>
      <c r="CY191" s="167"/>
      <c r="CZ191" s="167"/>
      <c r="DA191" s="167"/>
      <c r="DB191" s="167"/>
      <c r="DC191" s="167"/>
      <c r="DD191" s="167"/>
      <c r="DE191" s="167"/>
      <c r="DF191" s="167"/>
      <c r="DW191" s="167"/>
      <c r="DX191" s="167"/>
      <c r="DY191" s="167"/>
      <c r="DZ191" s="167"/>
      <c r="EA191" s="167"/>
      <c r="EB191" s="167"/>
      <c r="EC191" s="167"/>
      <c r="ED191" s="167"/>
      <c r="EU191" s="167"/>
      <c r="EV191" s="167"/>
      <c r="EW191" s="167"/>
      <c r="EX191" s="167"/>
      <c r="EY191" s="167"/>
      <c r="EZ191" s="167"/>
      <c r="FA191" s="167"/>
      <c r="FB191" s="167"/>
      <c r="FS191" s="167"/>
      <c r="FT191" s="167"/>
      <c r="FU191" s="167"/>
      <c r="FV191" s="167"/>
      <c r="FW191" s="167"/>
      <c r="FX191" s="167"/>
      <c r="FY191" s="167"/>
      <c r="FZ191" s="167"/>
    </row>
    <row r="192" spans="1:188" s="125" customFormat="1">
      <c r="A192" s="16">
        <v>24</v>
      </c>
      <c r="B192" s="17">
        <v>43068</v>
      </c>
      <c r="C192" s="18"/>
      <c r="D192" s="19" t="s">
        <v>1131</v>
      </c>
      <c r="E192" s="20" t="s">
        <v>394</v>
      </c>
      <c r="F192" s="62" t="s">
        <v>395</v>
      </c>
      <c r="G192" s="63">
        <v>1707</v>
      </c>
      <c r="H192" s="121">
        <f>1701400-30000</f>
        <v>1671400</v>
      </c>
      <c r="I192" s="24">
        <v>1591810</v>
      </c>
      <c r="J192" s="24"/>
      <c r="K192" s="24">
        <f t="shared" si="16"/>
        <v>1591810</v>
      </c>
      <c r="L192" s="123"/>
      <c r="M192" s="24">
        <f t="shared" si="17"/>
        <v>0</v>
      </c>
      <c r="N192" s="124">
        <f t="shared" si="18"/>
        <v>1591810</v>
      </c>
      <c r="O192" s="126"/>
      <c r="AE192" s="167"/>
      <c r="AF192" s="167"/>
      <c r="AG192" s="167"/>
      <c r="AH192" s="167"/>
      <c r="AI192" s="167"/>
      <c r="AJ192" s="167"/>
      <c r="AK192" s="167"/>
      <c r="AL192" s="167"/>
      <c r="BC192" s="167"/>
      <c r="BD192" s="167"/>
      <c r="BE192" s="167"/>
      <c r="BF192" s="167"/>
      <c r="BG192" s="167"/>
      <c r="BH192" s="167"/>
      <c r="BI192" s="167"/>
      <c r="BJ192" s="167"/>
      <c r="CA192" s="167"/>
      <c r="CB192" s="167"/>
      <c r="CC192" s="167"/>
      <c r="CD192" s="167"/>
      <c r="CE192" s="167"/>
      <c r="CF192" s="167"/>
      <c r="CG192" s="167"/>
      <c r="CH192" s="167"/>
      <c r="CY192" s="167"/>
      <c r="CZ192" s="167"/>
      <c r="DA192" s="167"/>
      <c r="DB192" s="167"/>
      <c r="DC192" s="167"/>
      <c r="DD192" s="167"/>
      <c r="DE192" s="167"/>
      <c r="DF192" s="167"/>
      <c r="DW192" s="167"/>
      <c r="DX192" s="167"/>
      <c r="DY192" s="167"/>
      <c r="DZ192" s="167"/>
      <c r="EA192" s="167"/>
      <c r="EB192" s="167"/>
      <c r="EC192" s="167"/>
      <c r="ED192" s="167"/>
      <c r="EU192" s="167"/>
      <c r="EV192" s="167"/>
      <c r="EW192" s="167"/>
      <c r="EX192" s="167"/>
      <c r="EY192" s="167"/>
      <c r="EZ192" s="167"/>
      <c r="FA192" s="167"/>
      <c r="FB192" s="167"/>
      <c r="FS192" s="167"/>
      <c r="FT192" s="167"/>
      <c r="FU192" s="167"/>
      <c r="FV192" s="167"/>
      <c r="FW192" s="167"/>
      <c r="FX192" s="167"/>
      <c r="FY192" s="167"/>
      <c r="FZ192" s="167"/>
    </row>
    <row r="193" spans="1:188" s="125" customFormat="1">
      <c r="A193" s="16">
        <v>25</v>
      </c>
      <c r="B193" s="17">
        <v>43096</v>
      </c>
      <c r="C193" s="18"/>
      <c r="D193" s="19" t="s">
        <v>1131</v>
      </c>
      <c r="E193" s="20" t="s">
        <v>394</v>
      </c>
      <c r="F193" s="168" t="s">
        <v>396</v>
      </c>
      <c r="G193" s="63">
        <v>1708</v>
      </c>
      <c r="H193" s="121">
        <f>70000+1701400</f>
        <v>1771400</v>
      </c>
      <c r="I193" s="24">
        <v>1687048</v>
      </c>
      <c r="J193" s="24"/>
      <c r="K193" s="24">
        <f t="shared" si="16"/>
        <v>1687048</v>
      </c>
      <c r="L193" s="123"/>
      <c r="M193" s="24">
        <f t="shared" si="17"/>
        <v>0</v>
      </c>
      <c r="N193" s="124">
        <f t="shared" si="18"/>
        <v>1687048</v>
      </c>
      <c r="O193" s="108"/>
      <c r="P193" s="3"/>
      <c r="Q193" s="3"/>
      <c r="R193" s="3"/>
      <c r="S193" s="3"/>
      <c r="T193" s="3"/>
      <c r="U193" s="3"/>
      <c r="V193" s="131"/>
      <c r="W193" s="15"/>
      <c r="X193" s="3"/>
      <c r="Y193" s="3"/>
      <c r="Z193" s="3"/>
      <c r="AA193" s="3"/>
      <c r="AB193" s="3"/>
      <c r="AC193" s="131"/>
      <c r="AD193" s="15"/>
      <c r="AE193" s="132"/>
      <c r="AF193" s="133"/>
      <c r="AG193" s="134"/>
      <c r="AH193" s="134"/>
      <c r="AI193" s="135"/>
      <c r="AJ193" s="136"/>
      <c r="AK193" s="137"/>
      <c r="AL193" s="137"/>
      <c r="AM193" s="3"/>
      <c r="AN193" s="138"/>
      <c r="AO193" s="2"/>
      <c r="AP193" s="139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131"/>
      <c r="BB193" s="15"/>
      <c r="BC193" s="132"/>
      <c r="BD193" s="133"/>
      <c r="BE193" s="134"/>
      <c r="BF193" s="134"/>
      <c r="BG193" s="135"/>
      <c r="BH193" s="136"/>
      <c r="BI193" s="137"/>
      <c r="BJ193" s="137"/>
      <c r="BK193" s="3"/>
      <c r="BL193" s="138"/>
      <c r="BM193" s="2"/>
      <c r="BN193" s="139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131"/>
      <c r="BZ193" s="15"/>
      <c r="CA193" s="132"/>
      <c r="CB193" s="133"/>
      <c r="CC193" s="134"/>
      <c r="CD193" s="134"/>
      <c r="CE193" s="135"/>
      <c r="CF193" s="136"/>
      <c r="CG193" s="137"/>
      <c r="CH193" s="137"/>
      <c r="CI193" s="3"/>
      <c r="CJ193" s="138"/>
      <c r="CK193" s="2"/>
      <c r="CL193" s="139"/>
      <c r="CM193" s="3"/>
      <c r="CN193" s="3"/>
      <c r="CO193" s="3"/>
      <c r="CP193" s="3"/>
      <c r="CQ193" s="3"/>
      <c r="CR193" s="3"/>
      <c r="CS193" s="3"/>
      <c r="CT193" s="3"/>
      <c r="CU193" s="3"/>
      <c r="CV193" s="3"/>
      <c r="CW193" s="131"/>
      <c r="CX193" s="15"/>
      <c r="CY193" s="132"/>
      <c r="CZ193" s="133"/>
      <c r="DA193" s="134"/>
      <c r="DB193" s="134"/>
      <c r="DC193" s="135"/>
      <c r="DD193" s="136"/>
      <c r="DE193" s="137"/>
      <c r="DF193" s="137"/>
      <c r="DG193" s="3"/>
      <c r="DH193" s="138"/>
      <c r="DI193" s="2"/>
      <c r="DJ193" s="139"/>
      <c r="DK193" s="3"/>
      <c r="DL193" s="3"/>
      <c r="DM193" s="3"/>
      <c r="DN193" s="3"/>
      <c r="DO193" s="3"/>
      <c r="DP193" s="3"/>
      <c r="DQ193" s="3"/>
      <c r="DR193" s="3"/>
      <c r="DS193" s="3"/>
      <c r="DT193" s="3"/>
      <c r="DU193" s="131"/>
      <c r="DV193" s="15"/>
      <c r="DW193" s="132"/>
      <c r="DX193" s="133"/>
      <c r="DY193" s="134"/>
      <c r="DZ193" s="134"/>
      <c r="EA193" s="135"/>
      <c r="EB193" s="136"/>
      <c r="EC193" s="137"/>
      <c r="ED193" s="137"/>
      <c r="EE193" s="3"/>
      <c r="EF193" s="138"/>
      <c r="EG193" s="2"/>
      <c r="EH193" s="139"/>
      <c r="EI193" s="3"/>
      <c r="EJ193" s="3"/>
      <c r="EK193" s="3"/>
      <c r="EL193" s="3"/>
      <c r="EM193" s="3"/>
      <c r="EN193" s="3"/>
      <c r="EO193" s="3"/>
      <c r="EP193" s="3"/>
      <c r="EQ193" s="3"/>
      <c r="ER193" s="3"/>
      <c r="ES193" s="131"/>
      <c r="ET193" s="15"/>
      <c r="EU193" s="132"/>
      <c r="EV193" s="133"/>
      <c r="EW193" s="134"/>
      <c r="EX193" s="134"/>
      <c r="EY193" s="135"/>
      <c r="EZ193" s="136"/>
      <c r="FA193" s="137"/>
      <c r="FB193" s="137"/>
      <c r="FC193" s="3"/>
      <c r="FD193" s="138"/>
      <c r="FE193" s="2"/>
      <c r="FF193" s="139"/>
      <c r="FG193" s="3"/>
      <c r="FH193" s="3"/>
      <c r="FI193" s="3"/>
      <c r="FJ193" s="3"/>
      <c r="FK193" s="3"/>
      <c r="FL193" s="3"/>
      <c r="FM193" s="3"/>
      <c r="FN193" s="3"/>
      <c r="FO193" s="3"/>
      <c r="FP193" s="3"/>
      <c r="FQ193" s="131"/>
      <c r="FR193" s="15"/>
      <c r="FS193" s="132"/>
      <c r="FT193" s="133"/>
      <c r="FU193" s="134"/>
      <c r="FV193" s="134"/>
      <c r="FW193" s="135"/>
      <c r="FX193" s="136"/>
      <c r="FY193" s="137"/>
      <c r="FZ193" s="137"/>
      <c r="GA193" s="3"/>
      <c r="GB193" s="138"/>
      <c r="GC193" s="2"/>
      <c r="GD193" s="139"/>
      <c r="GE193" s="3"/>
      <c r="GF193" s="3"/>
    </row>
    <row r="194" spans="1:188" s="125" customFormat="1">
      <c r="A194" s="16">
        <v>26</v>
      </c>
      <c r="B194" s="29">
        <v>43098</v>
      </c>
      <c r="C194" s="18"/>
      <c r="D194" s="19" t="s">
        <v>1143</v>
      </c>
      <c r="E194" s="20" t="s">
        <v>306</v>
      </c>
      <c r="F194" s="62" t="s">
        <v>313</v>
      </c>
      <c r="G194" s="63">
        <v>1709</v>
      </c>
      <c r="H194" s="121">
        <v>1660000</v>
      </c>
      <c r="I194" s="24">
        <v>1580952</v>
      </c>
      <c r="J194" s="24"/>
      <c r="K194" s="24">
        <f t="shared" si="16"/>
        <v>1580952</v>
      </c>
      <c r="L194" s="123"/>
      <c r="M194" s="24">
        <f t="shared" si="17"/>
        <v>0</v>
      </c>
      <c r="N194" s="124">
        <f t="shared" si="18"/>
        <v>1580952</v>
      </c>
      <c r="O194" s="87"/>
      <c r="AE194" s="167"/>
      <c r="AF194" s="167"/>
      <c r="AG194" s="167"/>
      <c r="AH194" s="167"/>
      <c r="AI194" s="167"/>
      <c r="AJ194" s="167"/>
      <c r="AK194" s="167"/>
      <c r="AL194" s="167"/>
      <c r="BC194" s="167"/>
      <c r="BD194" s="167"/>
      <c r="BE194" s="167"/>
      <c r="BF194" s="167"/>
      <c r="BG194" s="167"/>
      <c r="BH194" s="167"/>
      <c r="BI194" s="167"/>
      <c r="BJ194" s="167"/>
      <c r="CA194" s="167"/>
      <c r="CB194" s="167"/>
      <c r="CC194" s="167"/>
      <c r="CD194" s="167"/>
      <c r="CE194" s="167"/>
      <c r="CF194" s="167"/>
      <c r="CG194" s="167"/>
      <c r="CH194" s="167"/>
      <c r="CY194" s="167"/>
      <c r="CZ194" s="167"/>
      <c r="DA194" s="167"/>
      <c r="DB194" s="167"/>
      <c r="DC194" s="167"/>
      <c r="DD194" s="167"/>
      <c r="DE194" s="167"/>
      <c r="DF194" s="167"/>
      <c r="DW194" s="167"/>
      <c r="DX194" s="167"/>
      <c r="DY194" s="167"/>
      <c r="DZ194" s="167"/>
      <c r="EA194" s="167"/>
      <c r="EB194" s="167"/>
      <c r="EC194" s="167"/>
      <c r="ED194" s="167"/>
      <c r="EU194" s="167"/>
      <c r="EV194" s="167"/>
      <c r="EW194" s="167"/>
      <c r="EX194" s="167"/>
      <c r="EY194" s="167"/>
      <c r="EZ194" s="167"/>
      <c r="FA194" s="167"/>
      <c r="FB194" s="167"/>
      <c r="FS194" s="167"/>
      <c r="FT194" s="167"/>
      <c r="FU194" s="167"/>
      <c r="FV194" s="167"/>
      <c r="FW194" s="167"/>
      <c r="FX194" s="167"/>
      <c r="FY194" s="167"/>
      <c r="FZ194" s="167"/>
    </row>
    <row r="195" spans="1:188" s="125" customFormat="1">
      <c r="A195" s="16">
        <v>27</v>
      </c>
      <c r="B195" s="17">
        <v>43116</v>
      </c>
      <c r="C195" s="18"/>
      <c r="D195" s="19" t="s">
        <v>1143</v>
      </c>
      <c r="E195" s="20" t="s">
        <v>306</v>
      </c>
      <c r="F195" s="168" t="s">
        <v>1144</v>
      </c>
      <c r="G195" s="63">
        <v>1710</v>
      </c>
      <c r="H195" s="121">
        <v>1530000</v>
      </c>
      <c r="I195" s="24"/>
      <c r="J195" s="24">
        <v>1457142</v>
      </c>
      <c r="K195" s="24">
        <f t="shared" si="16"/>
        <v>1457142</v>
      </c>
      <c r="L195" s="123"/>
      <c r="M195" s="24">
        <f t="shared" si="17"/>
        <v>0</v>
      </c>
      <c r="N195" s="124">
        <f t="shared" si="18"/>
        <v>1457142</v>
      </c>
      <c r="O195" s="107"/>
      <c r="AE195" s="167"/>
      <c r="AF195" s="167"/>
      <c r="AG195" s="167"/>
      <c r="AH195" s="167"/>
      <c r="AI195" s="167"/>
      <c r="AJ195" s="167"/>
      <c r="AK195" s="167"/>
      <c r="AL195" s="167"/>
      <c r="BC195" s="167"/>
      <c r="BD195" s="167"/>
      <c r="BE195" s="167"/>
      <c r="BF195" s="167"/>
      <c r="BG195" s="167"/>
      <c r="BH195" s="167"/>
      <c r="BI195" s="167"/>
      <c r="BJ195" s="167"/>
      <c r="CA195" s="167"/>
      <c r="CB195" s="167"/>
      <c r="CC195" s="167"/>
      <c r="CD195" s="167"/>
      <c r="CE195" s="167"/>
      <c r="CF195" s="167"/>
      <c r="CG195" s="167"/>
      <c r="CH195" s="167"/>
      <c r="CY195" s="167"/>
      <c r="CZ195" s="167"/>
      <c r="DA195" s="167"/>
      <c r="DB195" s="167"/>
      <c r="DC195" s="167"/>
      <c r="DD195" s="167"/>
      <c r="DE195" s="167"/>
      <c r="DF195" s="167"/>
      <c r="DW195" s="167"/>
      <c r="DX195" s="167"/>
      <c r="DY195" s="167"/>
      <c r="DZ195" s="167"/>
      <c r="EA195" s="167"/>
      <c r="EB195" s="167"/>
      <c r="EC195" s="167"/>
      <c r="ED195" s="167"/>
      <c r="EU195" s="167"/>
      <c r="EV195" s="167"/>
      <c r="EW195" s="167"/>
      <c r="EX195" s="167"/>
      <c r="EY195" s="167"/>
      <c r="EZ195" s="167"/>
      <c r="FA195" s="167"/>
      <c r="FB195" s="167"/>
      <c r="FS195" s="167"/>
      <c r="FT195" s="167"/>
      <c r="FU195" s="167"/>
      <c r="FV195" s="167"/>
      <c r="FW195" s="167"/>
      <c r="FX195" s="167"/>
      <c r="FY195" s="167"/>
      <c r="FZ195" s="167"/>
    </row>
    <row r="196" spans="1:188" s="125" customFormat="1">
      <c r="A196" s="16">
        <v>28</v>
      </c>
      <c r="B196" s="17">
        <v>43125</v>
      </c>
      <c r="C196" s="18"/>
      <c r="D196" s="19" t="s">
        <v>1143</v>
      </c>
      <c r="E196" s="20" t="s">
        <v>306</v>
      </c>
      <c r="F196" s="168" t="s">
        <v>1145</v>
      </c>
      <c r="G196" s="63">
        <v>1711</v>
      </c>
      <c r="H196" s="121">
        <v>1530000</v>
      </c>
      <c r="I196" s="24"/>
      <c r="J196" s="24">
        <v>1457142</v>
      </c>
      <c r="K196" s="24">
        <f t="shared" si="16"/>
        <v>1457142</v>
      </c>
      <c r="L196" s="123"/>
      <c r="M196" s="24">
        <f t="shared" si="17"/>
        <v>0</v>
      </c>
      <c r="N196" s="124">
        <f t="shared" si="18"/>
        <v>1457142</v>
      </c>
      <c r="O196" s="107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130"/>
      <c r="AF196" s="130"/>
      <c r="AG196" s="130"/>
      <c r="AH196" s="130"/>
      <c r="AI196" s="130"/>
      <c r="AJ196" s="130"/>
      <c r="AK196" s="130"/>
      <c r="AL196" s="130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130"/>
      <c r="BD196" s="130"/>
      <c r="BE196" s="130"/>
      <c r="BF196" s="130"/>
      <c r="BG196" s="130"/>
      <c r="BH196" s="130"/>
      <c r="BI196" s="130"/>
      <c r="BJ196" s="130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130"/>
      <c r="CB196" s="130"/>
      <c r="CC196" s="130"/>
      <c r="CD196" s="130"/>
      <c r="CE196" s="130"/>
      <c r="CF196" s="130"/>
      <c r="CG196" s="130"/>
      <c r="CH196" s="130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  <c r="CW196" s="3"/>
      <c r="CX196" s="3"/>
      <c r="CY196" s="130"/>
      <c r="CZ196" s="130"/>
      <c r="DA196" s="130"/>
      <c r="DB196" s="130"/>
      <c r="DC196" s="130"/>
      <c r="DD196" s="130"/>
      <c r="DE196" s="130"/>
      <c r="DF196" s="130"/>
      <c r="DG196" s="3"/>
      <c r="DH196" s="3"/>
      <c r="DI196" s="3"/>
      <c r="DJ196" s="3"/>
      <c r="DK196" s="3"/>
      <c r="DL196" s="3"/>
      <c r="DM196" s="3"/>
      <c r="DN196" s="3"/>
      <c r="DO196" s="3"/>
      <c r="DP196" s="3"/>
      <c r="DQ196" s="3"/>
      <c r="DR196" s="3"/>
      <c r="DS196" s="3"/>
      <c r="DT196" s="3"/>
      <c r="DU196" s="3"/>
      <c r="DV196" s="3"/>
      <c r="DW196" s="130"/>
      <c r="DX196" s="130"/>
      <c r="DY196" s="130"/>
      <c r="DZ196" s="130"/>
      <c r="EA196" s="130"/>
      <c r="EB196" s="130"/>
      <c r="EC196" s="130"/>
      <c r="ED196" s="130"/>
      <c r="EE196" s="3"/>
      <c r="EF196" s="3"/>
      <c r="EG196" s="3"/>
      <c r="EH196" s="3"/>
      <c r="EI196" s="3"/>
      <c r="EJ196" s="3"/>
      <c r="EK196" s="3"/>
      <c r="EL196" s="3"/>
      <c r="EM196" s="3"/>
      <c r="EN196" s="3"/>
      <c r="EO196" s="3"/>
      <c r="EP196" s="3"/>
      <c r="EQ196" s="3"/>
      <c r="ER196" s="3"/>
      <c r="ES196" s="3"/>
      <c r="ET196" s="3"/>
      <c r="EU196" s="130"/>
      <c r="EV196" s="130"/>
      <c r="EW196" s="130"/>
      <c r="EX196" s="130"/>
      <c r="EY196" s="130"/>
      <c r="EZ196" s="130"/>
      <c r="FA196" s="130"/>
      <c r="FB196" s="130"/>
      <c r="FC196" s="3"/>
      <c r="FD196" s="3"/>
      <c r="FE196" s="3"/>
      <c r="FF196" s="3"/>
      <c r="FG196" s="3"/>
      <c r="FH196" s="3"/>
      <c r="FI196" s="3"/>
      <c r="FJ196" s="3"/>
      <c r="FK196" s="3"/>
      <c r="FL196" s="3"/>
      <c r="FM196" s="3"/>
      <c r="FN196" s="3"/>
      <c r="FO196" s="3"/>
      <c r="FP196" s="3"/>
      <c r="FQ196" s="3"/>
      <c r="FR196" s="3"/>
      <c r="FS196" s="130"/>
      <c r="FT196" s="130"/>
      <c r="FU196" s="130"/>
      <c r="FV196" s="130"/>
      <c r="FW196" s="130"/>
      <c r="FX196" s="130"/>
      <c r="FY196" s="130"/>
      <c r="FZ196" s="130"/>
      <c r="GA196" s="3"/>
      <c r="GB196" s="3"/>
      <c r="GC196" s="3"/>
      <c r="GD196" s="3"/>
      <c r="GE196" s="3"/>
      <c r="GF196" s="3"/>
    </row>
    <row r="197" spans="1:188" s="125" customFormat="1">
      <c r="A197" s="16">
        <v>29</v>
      </c>
      <c r="B197" s="29">
        <v>43129</v>
      </c>
      <c r="C197" s="18"/>
      <c r="D197" s="19" t="s">
        <v>1143</v>
      </c>
      <c r="E197" s="20" t="s">
        <v>306</v>
      </c>
      <c r="F197" s="62" t="s">
        <v>1146</v>
      </c>
      <c r="G197" s="63">
        <v>1711</v>
      </c>
      <c r="H197" s="121">
        <v>1530000</v>
      </c>
      <c r="I197" s="24"/>
      <c r="J197" s="24">
        <v>1457142</v>
      </c>
      <c r="K197" s="24">
        <f t="shared" si="16"/>
        <v>1457142</v>
      </c>
      <c r="L197" s="123"/>
      <c r="M197" s="24">
        <f t="shared" si="17"/>
        <v>0</v>
      </c>
      <c r="N197" s="124">
        <f t="shared" si="18"/>
        <v>1457142</v>
      </c>
      <c r="O197" s="107"/>
      <c r="V197" s="187"/>
      <c r="W197" s="188"/>
      <c r="AC197" s="187"/>
      <c r="AD197" s="188"/>
      <c r="AE197" s="189"/>
      <c r="AF197" s="190"/>
      <c r="AG197" s="191"/>
      <c r="AH197" s="191"/>
      <c r="AI197" s="192"/>
      <c r="AJ197" s="182"/>
      <c r="AK197" s="183"/>
      <c r="AL197" s="183"/>
      <c r="AN197" s="184"/>
      <c r="AO197" s="185"/>
      <c r="AP197" s="186"/>
      <c r="BA197" s="187"/>
      <c r="BB197" s="188"/>
      <c r="BC197" s="189"/>
      <c r="BD197" s="190"/>
      <c r="BE197" s="191"/>
      <c r="BF197" s="191"/>
      <c r="BG197" s="192"/>
      <c r="BH197" s="182"/>
      <c r="BI197" s="183"/>
      <c r="BJ197" s="183"/>
      <c r="BL197" s="184"/>
      <c r="BM197" s="185"/>
      <c r="BN197" s="186"/>
      <c r="BY197" s="187"/>
      <c r="BZ197" s="188"/>
      <c r="CA197" s="189"/>
      <c r="CB197" s="190"/>
      <c r="CC197" s="191"/>
      <c r="CD197" s="191"/>
      <c r="CE197" s="192"/>
      <c r="CF197" s="182"/>
      <c r="CG197" s="183"/>
      <c r="CH197" s="183"/>
      <c r="CJ197" s="184"/>
      <c r="CK197" s="185"/>
      <c r="CL197" s="186"/>
      <c r="CW197" s="187"/>
      <c r="CX197" s="188"/>
      <c r="CY197" s="189"/>
      <c r="CZ197" s="190"/>
      <c r="DA197" s="191"/>
      <c r="DB197" s="191"/>
      <c r="DC197" s="192"/>
      <c r="DD197" s="182"/>
      <c r="DE197" s="183"/>
      <c r="DF197" s="183"/>
      <c r="DH197" s="184"/>
      <c r="DI197" s="185"/>
      <c r="DJ197" s="186"/>
      <c r="DU197" s="187"/>
      <c r="DV197" s="188"/>
      <c r="DW197" s="189"/>
      <c r="DX197" s="190"/>
      <c r="DY197" s="191"/>
      <c r="DZ197" s="191"/>
      <c r="EA197" s="192"/>
      <c r="EB197" s="182"/>
      <c r="EC197" s="183"/>
      <c r="ED197" s="183"/>
      <c r="EF197" s="184"/>
      <c r="EG197" s="185"/>
      <c r="EH197" s="186"/>
      <c r="ES197" s="187"/>
      <c r="ET197" s="188"/>
      <c r="EU197" s="189"/>
      <c r="EV197" s="190"/>
      <c r="EW197" s="191"/>
      <c r="EX197" s="191"/>
      <c r="EY197" s="192"/>
      <c r="EZ197" s="182"/>
      <c r="FA197" s="183"/>
      <c r="FB197" s="183"/>
      <c r="FD197" s="184"/>
      <c r="FE197" s="185"/>
      <c r="FF197" s="186"/>
      <c r="FQ197" s="187"/>
      <c r="FR197" s="188"/>
      <c r="FS197" s="189"/>
      <c r="FT197" s="190"/>
      <c r="FU197" s="191"/>
      <c r="FV197" s="191"/>
      <c r="FW197" s="192"/>
      <c r="FX197" s="182"/>
      <c r="FY197" s="183"/>
      <c r="FZ197" s="183"/>
      <c r="GB197" s="184"/>
      <c r="GC197" s="185"/>
      <c r="GD197" s="186"/>
    </row>
    <row r="198" spans="1:188" s="125" customFormat="1">
      <c r="A198" s="16">
        <v>30</v>
      </c>
      <c r="B198" s="17">
        <v>43130</v>
      </c>
      <c r="C198" s="18"/>
      <c r="D198" s="19" t="s">
        <v>1143</v>
      </c>
      <c r="E198" s="20" t="s">
        <v>306</v>
      </c>
      <c r="F198" s="62" t="s">
        <v>1147</v>
      </c>
      <c r="G198" s="63">
        <v>1711</v>
      </c>
      <c r="H198" s="121">
        <v>1530000</v>
      </c>
      <c r="I198" s="24"/>
      <c r="J198" s="24">
        <v>1457142</v>
      </c>
      <c r="K198" s="24">
        <f t="shared" si="16"/>
        <v>1457142</v>
      </c>
      <c r="L198" s="123"/>
      <c r="M198" s="24">
        <f t="shared" si="17"/>
        <v>0</v>
      </c>
      <c r="N198" s="124">
        <f t="shared" si="18"/>
        <v>1457142</v>
      </c>
      <c r="O198" s="85"/>
      <c r="AE198" s="167"/>
      <c r="AF198" s="167"/>
      <c r="AG198" s="167"/>
      <c r="AH198" s="167"/>
      <c r="AI198" s="167"/>
      <c r="AJ198" s="167"/>
      <c r="AK198" s="167"/>
      <c r="AL198" s="167"/>
      <c r="BC198" s="167"/>
      <c r="BD198" s="167"/>
      <c r="BE198" s="167"/>
      <c r="BF198" s="167"/>
      <c r="BG198" s="167"/>
      <c r="BH198" s="167"/>
      <c r="BI198" s="167"/>
      <c r="BJ198" s="167"/>
      <c r="CA198" s="167"/>
      <c r="CB198" s="167"/>
      <c r="CC198" s="167"/>
      <c r="CD198" s="167"/>
      <c r="CE198" s="167"/>
      <c r="CF198" s="167"/>
      <c r="CG198" s="167"/>
      <c r="CH198" s="167"/>
      <c r="CY198" s="167"/>
      <c r="CZ198" s="167"/>
      <c r="DA198" s="167"/>
      <c r="DB198" s="167"/>
      <c r="DC198" s="167"/>
      <c r="DD198" s="167"/>
      <c r="DE198" s="167"/>
      <c r="DF198" s="167"/>
      <c r="DW198" s="167"/>
      <c r="DX198" s="167"/>
      <c r="DY198" s="167"/>
      <c r="DZ198" s="167"/>
      <c r="EA198" s="167"/>
      <c r="EB198" s="167"/>
      <c r="EC198" s="167"/>
      <c r="ED198" s="167"/>
      <c r="EU198" s="167"/>
      <c r="EV198" s="167"/>
      <c r="EW198" s="167"/>
      <c r="EX198" s="167"/>
      <c r="EY198" s="167"/>
      <c r="EZ198" s="167"/>
      <c r="FA198" s="167"/>
      <c r="FB198" s="167"/>
      <c r="FS198" s="167"/>
      <c r="FT198" s="167"/>
      <c r="FU198" s="167"/>
      <c r="FV198" s="167"/>
      <c r="FW198" s="167"/>
      <c r="FX198" s="167"/>
      <c r="FY198" s="167"/>
      <c r="FZ198" s="167"/>
    </row>
    <row r="199" spans="1:188" s="125" customFormat="1">
      <c r="A199" s="16">
        <v>31</v>
      </c>
      <c r="B199" s="29">
        <v>43131</v>
      </c>
      <c r="C199" s="18"/>
      <c r="D199" s="19" t="s">
        <v>1143</v>
      </c>
      <c r="E199" s="20" t="s">
        <v>306</v>
      </c>
      <c r="F199" s="62" t="s">
        <v>1148</v>
      </c>
      <c r="G199" s="63">
        <v>1711</v>
      </c>
      <c r="H199" s="121">
        <v>1530000</v>
      </c>
      <c r="I199" s="24"/>
      <c r="J199" s="24">
        <v>1457142</v>
      </c>
      <c r="K199" s="24">
        <f t="shared" si="16"/>
        <v>1457142</v>
      </c>
      <c r="L199" s="123"/>
      <c r="M199" s="24">
        <f t="shared" si="17"/>
        <v>0</v>
      </c>
      <c r="N199" s="124">
        <f t="shared" si="18"/>
        <v>1457142</v>
      </c>
      <c r="O199" s="85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130"/>
      <c r="AF199" s="130"/>
      <c r="AG199" s="130"/>
      <c r="AH199" s="130"/>
      <c r="AI199" s="130"/>
      <c r="AJ199" s="130"/>
      <c r="AK199" s="130"/>
      <c r="AL199" s="130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130"/>
      <c r="BD199" s="130"/>
      <c r="BE199" s="130"/>
      <c r="BF199" s="130"/>
      <c r="BG199" s="130"/>
      <c r="BH199" s="130"/>
      <c r="BI199" s="130"/>
      <c r="BJ199" s="130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130"/>
      <c r="CB199" s="130"/>
      <c r="CC199" s="130"/>
      <c r="CD199" s="130"/>
      <c r="CE199" s="130"/>
      <c r="CF199" s="130"/>
      <c r="CG199" s="130"/>
      <c r="CH199" s="130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  <c r="CW199" s="3"/>
      <c r="CX199" s="3"/>
      <c r="CY199" s="130"/>
      <c r="CZ199" s="130"/>
      <c r="DA199" s="130"/>
      <c r="DB199" s="130"/>
      <c r="DC199" s="130"/>
      <c r="DD199" s="130"/>
      <c r="DE199" s="130"/>
      <c r="DF199" s="130"/>
      <c r="DG199" s="3"/>
      <c r="DH199" s="3"/>
      <c r="DI199" s="3"/>
      <c r="DJ199" s="3"/>
      <c r="DK199" s="3"/>
      <c r="DL199" s="3"/>
      <c r="DM199" s="3"/>
      <c r="DN199" s="3"/>
      <c r="DO199" s="3"/>
      <c r="DP199" s="3"/>
      <c r="DQ199" s="3"/>
      <c r="DR199" s="3"/>
      <c r="DS199" s="3"/>
      <c r="DT199" s="3"/>
      <c r="DU199" s="3"/>
      <c r="DV199" s="3"/>
      <c r="DW199" s="130"/>
      <c r="DX199" s="130"/>
      <c r="DY199" s="130"/>
      <c r="DZ199" s="130"/>
      <c r="EA199" s="130"/>
      <c r="EB199" s="130"/>
      <c r="EC199" s="130"/>
      <c r="ED199" s="130"/>
      <c r="EE199" s="3"/>
      <c r="EF199" s="3"/>
      <c r="EG199" s="3"/>
      <c r="EH199" s="3"/>
      <c r="EI199" s="3"/>
      <c r="EJ199" s="3"/>
      <c r="EK199" s="3"/>
      <c r="EL199" s="3"/>
      <c r="EM199" s="3"/>
      <c r="EN199" s="3"/>
      <c r="EO199" s="3"/>
      <c r="EP199" s="3"/>
      <c r="EQ199" s="3"/>
      <c r="ER199" s="3"/>
      <c r="ES199" s="3"/>
      <c r="ET199" s="3"/>
      <c r="EU199" s="130"/>
      <c r="EV199" s="130"/>
      <c r="EW199" s="130"/>
      <c r="EX199" s="130"/>
      <c r="EY199" s="130"/>
      <c r="EZ199" s="130"/>
      <c r="FA199" s="130"/>
      <c r="FB199" s="130"/>
      <c r="FC199" s="3"/>
      <c r="FD199" s="3"/>
      <c r="FE199" s="3"/>
      <c r="FF199" s="3"/>
      <c r="FG199" s="3"/>
      <c r="FH199" s="3"/>
      <c r="FI199" s="3"/>
      <c r="FJ199" s="3"/>
      <c r="FK199" s="3"/>
      <c r="FL199" s="3"/>
      <c r="FM199" s="3"/>
      <c r="FN199" s="3"/>
      <c r="FO199" s="3"/>
      <c r="FP199" s="3"/>
      <c r="FQ199" s="3"/>
      <c r="FR199" s="3"/>
      <c r="FS199" s="130"/>
      <c r="FT199" s="130"/>
      <c r="FU199" s="130"/>
      <c r="FV199" s="130"/>
      <c r="FW199" s="130"/>
      <c r="FX199" s="130"/>
      <c r="FY199" s="130"/>
      <c r="FZ199" s="130"/>
      <c r="GA199" s="3"/>
      <c r="GB199" s="3"/>
      <c r="GC199" s="3"/>
      <c r="GD199" s="3"/>
      <c r="GE199" s="3"/>
      <c r="GF199" s="3"/>
    </row>
    <row r="200" spans="1:188" s="125" customFormat="1">
      <c r="A200" s="16">
        <v>32</v>
      </c>
      <c r="B200" s="17">
        <v>43131</v>
      </c>
      <c r="C200" s="18"/>
      <c r="D200" s="19" t="s">
        <v>1143</v>
      </c>
      <c r="E200" s="20" t="s">
        <v>306</v>
      </c>
      <c r="F200" s="62" t="s">
        <v>1149</v>
      </c>
      <c r="G200" s="63">
        <v>1711</v>
      </c>
      <c r="H200" s="121">
        <v>1530000</v>
      </c>
      <c r="I200" s="24"/>
      <c r="J200" s="24">
        <f>H200/1.05</f>
        <v>1457142.857142857</v>
      </c>
      <c r="K200" s="24">
        <f t="shared" si="16"/>
        <v>1457142.857142857</v>
      </c>
      <c r="L200" s="26"/>
      <c r="M200" s="24">
        <f t="shared" si="17"/>
        <v>0</v>
      </c>
      <c r="N200" s="124">
        <f t="shared" si="18"/>
        <v>1457142.857142857</v>
      </c>
      <c r="O200" s="85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130"/>
      <c r="AF200" s="130"/>
      <c r="AG200" s="130"/>
      <c r="AH200" s="130"/>
      <c r="AI200" s="130"/>
      <c r="AJ200" s="130"/>
      <c r="AK200" s="130"/>
      <c r="AL200" s="130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130"/>
      <c r="BD200" s="130"/>
      <c r="BE200" s="130"/>
      <c r="BF200" s="130"/>
      <c r="BG200" s="130"/>
      <c r="BH200" s="130"/>
      <c r="BI200" s="130"/>
      <c r="BJ200" s="130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130"/>
      <c r="CB200" s="130"/>
      <c r="CC200" s="130"/>
      <c r="CD200" s="130"/>
      <c r="CE200" s="130"/>
      <c r="CF200" s="130"/>
      <c r="CG200" s="130"/>
      <c r="CH200" s="130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130"/>
      <c r="CZ200" s="130"/>
      <c r="DA200" s="130"/>
      <c r="DB200" s="130"/>
      <c r="DC200" s="130"/>
      <c r="DD200" s="130"/>
      <c r="DE200" s="130"/>
      <c r="DF200" s="130"/>
      <c r="DG200" s="3"/>
      <c r="DH200" s="3"/>
      <c r="DI200" s="3"/>
      <c r="DJ200" s="3"/>
      <c r="DK200" s="3"/>
      <c r="DL200" s="3"/>
      <c r="DM200" s="3"/>
      <c r="DN200" s="3"/>
      <c r="DO200" s="3"/>
      <c r="DP200" s="3"/>
      <c r="DQ200" s="3"/>
      <c r="DR200" s="3"/>
      <c r="DS200" s="3"/>
      <c r="DT200" s="3"/>
      <c r="DU200" s="3"/>
      <c r="DV200" s="3"/>
      <c r="DW200" s="130"/>
      <c r="DX200" s="130"/>
      <c r="DY200" s="130"/>
      <c r="DZ200" s="130"/>
      <c r="EA200" s="130"/>
      <c r="EB200" s="130"/>
      <c r="EC200" s="130"/>
      <c r="ED200" s="130"/>
      <c r="EE200" s="3"/>
      <c r="EF200" s="3"/>
      <c r="EG200" s="3"/>
      <c r="EH200" s="3"/>
      <c r="EI200" s="3"/>
      <c r="EJ200" s="3"/>
      <c r="EK200" s="3"/>
      <c r="EL200" s="3"/>
      <c r="EM200" s="3"/>
      <c r="EN200" s="3"/>
      <c r="EO200" s="3"/>
      <c r="EP200" s="3"/>
      <c r="EQ200" s="3"/>
      <c r="ER200" s="3"/>
      <c r="ES200" s="3"/>
      <c r="ET200" s="3"/>
      <c r="EU200" s="130"/>
      <c r="EV200" s="130"/>
      <c r="EW200" s="130"/>
      <c r="EX200" s="130"/>
      <c r="EY200" s="130"/>
      <c r="EZ200" s="130"/>
      <c r="FA200" s="130"/>
      <c r="FB200" s="130"/>
      <c r="FC200" s="3"/>
      <c r="FD200" s="3"/>
      <c r="FE200" s="3"/>
      <c r="FF200" s="3"/>
      <c r="FG200" s="3"/>
      <c r="FH200" s="3"/>
      <c r="FI200" s="3"/>
      <c r="FJ200" s="3"/>
      <c r="FK200" s="3"/>
      <c r="FL200" s="3"/>
      <c r="FM200" s="3"/>
      <c r="FN200" s="3"/>
      <c r="FO200" s="3"/>
      <c r="FP200" s="3"/>
      <c r="FQ200" s="3"/>
      <c r="FR200" s="3"/>
      <c r="FS200" s="130"/>
      <c r="FT200" s="130"/>
      <c r="FU200" s="130"/>
      <c r="FV200" s="130"/>
      <c r="FW200" s="130"/>
      <c r="FX200" s="130"/>
      <c r="FY200" s="130"/>
      <c r="FZ200" s="130"/>
      <c r="GA200" s="3"/>
      <c r="GB200" s="3"/>
      <c r="GC200" s="3"/>
      <c r="GD200" s="3"/>
      <c r="GE200" s="3"/>
      <c r="GF200" s="3"/>
    </row>
    <row r="201" spans="1:188" s="125" customFormat="1">
      <c r="A201" s="16">
        <v>33</v>
      </c>
      <c r="B201" s="17">
        <v>43131</v>
      </c>
      <c r="C201" s="18"/>
      <c r="D201" s="19" t="s">
        <v>1143</v>
      </c>
      <c r="E201" s="20" t="s">
        <v>306</v>
      </c>
      <c r="F201" s="120" t="s">
        <v>1150</v>
      </c>
      <c r="G201" s="58">
        <v>1711</v>
      </c>
      <c r="H201" s="121">
        <v>1530000</v>
      </c>
      <c r="I201" s="24"/>
      <c r="J201" s="24">
        <v>1457142</v>
      </c>
      <c r="K201" s="24">
        <f t="shared" si="16"/>
        <v>1457142</v>
      </c>
      <c r="L201" s="123"/>
      <c r="M201" s="24">
        <f t="shared" si="17"/>
        <v>0</v>
      </c>
      <c r="N201" s="124">
        <f t="shared" si="18"/>
        <v>1457142</v>
      </c>
      <c r="O201" s="85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130"/>
      <c r="AF201" s="130"/>
      <c r="AG201" s="130"/>
      <c r="AH201" s="130"/>
      <c r="AI201" s="130"/>
      <c r="AJ201" s="130"/>
      <c r="AK201" s="130"/>
      <c r="AL201" s="130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130"/>
      <c r="BD201" s="130"/>
      <c r="BE201" s="130"/>
      <c r="BF201" s="130"/>
      <c r="BG201" s="130"/>
      <c r="BH201" s="130"/>
      <c r="BI201" s="130"/>
      <c r="BJ201" s="130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130"/>
      <c r="CB201" s="130"/>
      <c r="CC201" s="130"/>
      <c r="CD201" s="130"/>
      <c r="CE201" s="130"/>
      <c r="CF201" s="130"/>
      <c r="CG201" s="130"/>
      <c r="CH201" s="130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130"/>
      <c r="CZ201" s="130"/>
      <c r="DA201" s="130"/>
      <c r="DB201" s="130"/>
      <c r="DC201" s="130"/>
      <c r="DD201" s="130"/>
      <c r="DE201" s="130"/>
      <c r="DF201" s="130"/>
      <c r="DG201" s="3"/>
      <c r="DH201" s="3"/>
      <c r="DI201" s="3"/>
      <c r="DJ201" s="3"/>
      <c r="DK201" s="3"/>
      <c r="DL201" s="3"/>
      <c r="DM201" s="3"/>
      <c r="DN201" s="3"/>
      <c r="DO201" s="3"/>
      <c r="DP201" s="3"/>
      <c r="DQ201" s="3"/>
      <c r="DR201" s="3"/>
      <c r="DS201" s="3"/>
      <c r="DT201" s="3"/>
      <c r="DU201" s="3"/>
      <c r="DV201" s="3"/>
      <c r="DW201" s="130"/>
      <c r="DX201" s="130"/>
      <c r="DY201" s="130"/>
      <c r="DZ201" s="130"/>
      <c r="EA201" s="130"/>
      <c r="EB201" s="130"/>
      <c r="EC201" s="130"/>
      <c r="ED201" s="130"/>
      <c r="EE201" s="3"/>
      <c r="EF201" s="3"/>
      <c r="EG201" s="3"/>
      <c r="EH201" s="3"/>
      <c r="EI201" s="3"/>
      <c r="EJ201" s="3"/>
      <c r="EK201" s="3"/>
      <c r="EL201" s="3"/>
      <c r="EM201" s="3"/>
      <c r="EN201" s="3"/>
      <c r="EO201" s="3"/>
      <c r="EP201" s="3"/>
      <c r="EQ201" s="3"/>
      <c r="ER201" s="3"/>
      <c r="ES201" s="3"/>
      <c r="ET201" s="3"/>
      <c r="EU201" s="130"/>
      <c r="EV201" s="130"/>
      <c r="EW201" s="130"/>
      <c r="EX201" s="130"/>
      <c r="EY201" s="130"/>
      <c r="EZ201" s="130"/>
      <c r="FA201" s="130"/>
      <c r="FB201" s="130"/>
      <c r="FC201" s="3"/>
      <c r="FD201" s="3"/>
      <c r="FE201" s="3"/>
      <c r="FF201" s="3"/>
      <c r="FG201" s="3"/>
      <c r="FH201" s="3"/>
      <c r="FI201" s="3"/>
      <c r="FJ201" s="3"/>
      <c r="FK201" s="3"/>
      <c r="FL201" s="3"/>
      <c r="FM201" s="3"/>
      <c r="FN201" s="3"/>
      <c r="FO201" s="3"/>
      <c r="FP201" s="3"/>
      <c r="FQ201" s="3"/>
      <c r="FR201" s="3"/>
      <c r="FS201" s="130"/>
      <c r="FT201" s="130"/>
      <c r="FU201" s="130"/>
      <c r="FV201" s="130"/>
      <c r="FW201" s="130"/>
      <c r="FX201" s="130"/>
      <c r="FY201" s="130"/>
      <c r="FZ201" s="130"/>
      <c r="GA201" s="3"/>
      <c r="GB201" s="3"/>
      <c r="GC201" s="3"/>
      <c r="GD201" s="3"/>
      <c r="GE201" s="3"/>
      <c r="GF201" s="3"/>
    </row>
    <row r="202" spans="1:188" s="125" customFormat="1">
      <c r="A202" s="16">
        <v>34</v>
      </c>
      <c r="B202" s="128">
        <v>43130</v>
      </c>
      <c r="C202" s="18"/>
      <c r="D202" s="19" t="s">
        <v>1143</v>
      </c>
      <c r="E202" s="20" t="s">
        <v>306</v>
      </c>
      <c r="F202" s="82" t="s">
        <v>1151</v>
      </c>
      <c r="G202" s="58">
        <v>1711</v>
      </c>
      <c r="H202" s="121">
        <v>1530000</v>
      </c>
      <c r="I202" s="24"/>
      <c r="J202" s="24">
        <v>1457142</v>
      </c>
      <c r="K202" s="24">
        <f t="shared" si="16"/>
        <v>1457142</v>
      </c>
      <c r="L202" s="123"/>
      <c r="M202" s="24">
        <f t="shared" si="17"/>
        <v>0</v>
      </c>
      <c r="N202" s="124">
        <f t="shared" si="18"/>
        <v>1457142</v>
      </c>
      <c r="O202" s="85"/>
      <c r="P202" s="3"/>
      <c r="Q202" s="3"/>
      <c r="R202" s="3"/>
      <c r="S202" s="3"/>
      <c r="T202" s="3"/>
      <c r="U202" s="3"/>
      <c r="V202" s="131"/>
      <c r="W202" s="15"/>
      <c r="X202" s="3"/>
      <c r="Y202" s="3"/>
      <c r="Z202" s="3"/>
      <c r="AA202" s="3"/>
      <c r="AB202" s="3"/>
      <c r="AC202" s="131"/>
      <c r="AD202" s="15"/>
      <c r="AE202" s="99"/>
      <c r="AF202" s="149"/>
      <c r="AG202" s="134"/>
      <c r="AH202" s="134"/>
      <c r="AI202" s="137"/>
      <c r="AJ202" s="150"/>
      <c r="AK202" s="137"/>
      <c r="AL202" s="137"/>
      <c r="AM202" s="3"/>
      <c r="AN202" s="138"/>
      <c r="AO202" s="2"/>
      <c r="AP202" s="139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131"/>
      <c r="BB202" s="15"/>
      <c r="BC202" s="99"/>
      <c r="BD202" s="149"/>
      <c r="BE202" s="134"/>
      <c r="BF202" s="134"/>
      <c r="BG202" s="137"/>
      <c r="BH202" s="150"/>
      <c r="BI202" s="137"/>
      <c r="BJ202" s="137"/>
      <c r="BK202" s="3"/>
      <c r="BL202" s="138"/>
      <c r="BM202" s="2"/>
      <c r="BN202" s="139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131"/>
      <c r="BZ202" s="15"/>
      <c r="CA202" s="99"/>
      <c r="CB202" s="149"/>
      <c r="CC202" s="134"/>
      <c r="CD202" s="134"/>
      <c r="CE202" s="137"/>
      <c r="CF202" s="150"/>
      <c r="CG202" s="137"/>
      <c r="CH202" s="137"/>
      <c r="CI202" s="3"/>
      <c r="CJ202" s="138"/>
      <c r="CK202" s="2"/>
      <c r="CL202" s="139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131"/>
      <c r="CX202" s="15"/>
      <c r="CY202" s="99"/>
      <c r="CZ202" s="149"/>
      <c r="DA202" s="134"/>
      <c r="DB202" s="134"/>
      <c r="DC202" s="137"/>
      <c r="DD202" s="150"/>
      <c r="DE202" s="137"/>
      <c r="DF202" s="137"/>
      <c r="DG202" s="3"/>
      <c r="DH202" s="138"/>
      <c r="DI202" s="2"/>
      <c r="DJ202" s="139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131"/>
      <c r="DV202" s="15"/>
      <c r="DW202" s="99"/>
      <c r="DX202" s="149"/>
      <c r="DY202" s="134"/>
      <c r="DZ202" s="134"/>
      <c r="EA202" s="137"/>
      <c r="EB202" s="150"/>
      <c r="EC202" s="137"/>
      <c r="ED202" s="137"/>
      <c r="EE202" s="3"/>
      <c r="EF202" s="138"/>
      <c r="EG202" s="2"/>
      <c r="EH202" s="139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131"/>
      <c r="ET202" s="15"/>
      <c r="EU202" s="99"/>
      <c r="EV202" s="149"/>
      <c r="EW202" s="134"/>
      <c r="EX202" s="134"/>
      <c r="EY202" s="137"/>
      <c r="EZ202" s="150"/>
      <c r="FA202" s="137"/>
      <c r="FB202" s="137"/>
      <c r="FC202" s="3"/>
      <c r="FD202" s="138"/>
      <c r="FE202" s="2"/>
      <c r="FF202" s="139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131"/>
      <c r="FR202" s="15"/>
      <c r="FS202" s="99"/>
      <c r="FT202" s="149"/>
      <c r="FU202" s="134"/>
      <c r="FV202" s="134"/>
      <c r="FW202" s="137"/>
      <c r="FX202" s="150"/>
      <c r="FY202" s="137"/>
      <c r="FZ202" s="137"/>
      <c r="GA202" s="3"/>
      <c r="GB202" s="138"/>
      <c r="GC202" s="2"/>
      <c r="GD202" s="139"/>
      <c r="GE202" s="3"/>
      <c r="GF202" s="3"/>
    </row>
    <row r="203" spans="1:188" s="125" customFormat="1">
      <c r="A203" s="16">
        <v>35</v>
      </c>
      <c r="B203" s="29">
        <v>43130</v>
      </c>
      <c r="C203" s="18"/>
      <c r="D203" s="19" t="s">
        <v>1143</v>
      </c>
      <c r="E203" s="20" t="s">
        <v>306</v>
      </c>
      <c r="F203" s="82" t="s">
        <v>1152</v>
      </c>
      <c r="G203" s="63">
        <v>1711</v>
      </c>
      <c r="H203" s="121">
        <v>1530000</v>
      </c>
      <c r="I203" s="24"/>
      <c r="J203" s="24">
        <f>H203/1.05</f>
        <v>1457142.857142857</v>
      </c>
      <c r="K203" s="24">
        <f t="shared" si="16"/>
        <v>1457142.857142857</v>
      </c>
      <c r="L203" s="123"/>
      <c r="M203" s="24">
        <f t="shared" si="17"/>
        <v>0</v>
      </c>
      <c r="N203" s="124">
        <f t="shared" si="18"/>
        <v>1457142.857142857</v>
      </c>
      <c r="O203" s="85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130"/>
      <c r="AF203" s="130"/>
      <c r="AG203" s="130"/>
      <c r="AH203" s="130"/>
      <c r="AI203" s="130"/>
      <c r="AJ203" s="130"/>
      <c r="AK203" s="130"/>
      <c r="AL203" s="130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130"/>
      <c r="BD203" s="130"/>
      <c r="BE203" s="130"/>
      <c r="BF203" s="130"/>
      <c r="BG203" s="130"/>
      <c r="BH203" s="130"/>
      <c r="BI203" s="130"/>
      <c r="BJ203" s="130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130"/>
      <c r="CB203" s="130"/>
      <c r="CC203" s="130"/>
      <c r="CD203" s="130"/>
      <c r="CE203" s="130"/>
      <c r="CF203" s="130"/>
      <c r="CG203" s="130"/>
      <c r="CH203" s="130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130"/>
      <c r="CZ203" s="130"/>
      <c r="DA203" s="130"/>
      <c r="DB203" s="130"/>
      <c r="DC203" s="130"/>
      <c r="DD203" s="130"/>
      <c r="DE203" s="130"/>
      <c r="DF203" s="130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130"/>
      <c r="DX203" s="130"/>
      <c r="DY203" s="130"/>
      <c r="DZ203" s="130"/>
      <c r="EA203" s="130"/>
      <c r="EB203" s="130"/>
      <c r="EC203" s="130"/>
      <c r="ED203" s="130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130"/>
      <c r="EV203" s="130"/>
      <c r="EW203" s="130"/>
      <c r="EX203" s="130"/>
      <c r="EY203" s="130"/>
      <c r="EZ203" s="130"/>
      <c r="FA203" s="130"/>
      <c r="FB203" s="130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130"/>
      <c r="FT203" s="130"/>
      <c r="FU203" s="130"/>
      <c r="FV203" s="130"/>
      <c r="FW203" s="130"/>
      <c r="FX203" s="130"/>
      <c r="FY203" s="130"/>
      <c r="FZ203" s="130"/>
      <c r="GA203" s="3"/>
      <c r="GB203" s="3"/>
      <c r="GC203" s="3"/>
      <c r="GD203" s="3"/>
      <c r="GE203" s="3"/>
      <c r="GF203" s="3"/>
    </row>
    <row r="204" spans="1:188" s="125" customFormat="1">
      <c r="A204" s="16">
        <v>36</v>
      </c>
      <c r="B204" s="29">
        <v>43130</v>
      </c>
      <c r="C204" s="18"/>
      <c r="D204" s="19" t="s">
        <v>1143</v>
      </c>
      <c r="E204" s="20" t="s">
        <v>306</v>
      </c>
      <c r="F204" s="82" t="s">
        <v>1153</v>
      </c>
      <c r="G204" s="63">
        <v>1711</v>
      </c>
      <c r="H204" s="121">
        <v>1530000</v>
      </c>
      <c r="I204" s="24"/>
      <c r="J204" s="24">
        <v>1457142</v>
      </c>
      <c r="K204" s="24">
        <f t="shared" si="16"/>
        <v>1457142</v>
      </c>
      <c r="L204" s="123"/>
      <c r="M204" s="24">
        <f t="shared" si="17"/>
        <v>0</v>
      </c>
      <c r="N204" s="124">
        <f t="shared" si="18"/>
        <v>1457142</v>
      </c>
      <c r="O204" s="85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130"/>
      <c r="AF204" s="130"/>
      <c r="AG204" s="130"/>
      <c r="AH204" s="130"/>
      <c r="AI204" s="130"/>
      <c r="AJ204" s="130"/>
      <c r="AK204" s="130"/>
      <c r="AL204" s="130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130"/>
      <c r="BD204" s="130"/>
      <c r="BE204" s="130"/>
      <c r="BF204" s="130"/>
      <c r="BG204" s="130"/>
      <c r="BH204" s="130"/>
      <c r="BI204" s="130"/>
      <c r="BJ204" s="130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130"/>
      <c r="CB204" s="130"/>
      <c r="CC204" s="130"/>
      <c r="CD204" s="130"/>
      <c r="CE204" s="130"/>
      <c r="CF204" s="130"/>
      <c r="CG204" s="130"/>
      <c r="CH204" s="130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130"/>
      <c r="CZ204" s="130"/>
      <c r="DA204" s="130"/>
      <c r="DB204" s="130"/>
      <c r="DC204" s="130"/>
      <c r="DD204" s="130"/>
      <c r="DE204" s="130"/>
      <c r="DF204" s="130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130"/>
      <c r="DX204" s="130"/>
      <c r="DY204" s="130"/>
      <c r="DZ204" s="130"/>
      <c r="EA204" s="130"/>
      <c r="EB204" s="130"/>
      <c r="EC204" s="130"/>
      <c r="ED204" s="130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130"/>
      <c r="EV204" s="130"/>
      <c r="EW204" s="130"/>
      <c r="EX204" s="130"/>
      <c r="EY204" s="130"/>
      <c r="EZ204" s="130"/>
      <c r="FA204" s="130"/>
      <c r="FB204" s="130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130"/>
      <c r="FT204" s="130"/>
      <c r="FU204" s="130"/>
      <c r="FV204" s="130"/>
      <c r="FW204" s="130"/>
      <c r="FX204" s="130"/>
      <c r="FY204" s="130"/>
      <c r="FZ204" s="130"/>
      <c r="GA204" s="3"/>
      <c r="GB204" s="3"/>
      <c r="GC204" s="3"/>
      <c r="GD204" s="3"/>
      <c r="GE204" s="3"/>
      <c r="GF204" s="3"/>
    </row>
    <row r="205" spans="1:188" s="125" customFormat="1">
      <c r="A205" s="16">
        <v>37</v>
      </c>
      <c r="B205" s="17">
        <v>43104</v>
      </c>
      <c r="C205" s="18"/>
      <c r="D205" s="19" t="s">
        <v>1143</v>
      </c>
      <c r="E205" s="20" t="s">
        <v>536</v>
      </c>
      <c r="F205" s="61" t="s">
        <v>1154</v>
      </c>
      <c r="G205" s="63">
        <v>1710</v>
      </c>
      <c r="H205" s="121">
        <v>1840000</v>
      </c>
      <c r="I205" s="24"/>
      <c r="J205" s="24">
        <v>1752381</v>
      </c>
      <c r="K205" s="24">
        <f t="shared" si="16"/>
        <v>1752381</v>
      </c>
      <c r="L205" s="123"/>
      <c r="M205" s="24">
        <f t="shared" si="17"/>
        <v>0</v>
      </c>
      <c r="N205" s="124">
        <f t="shared" si="18"/>
        <v>1752381</v>
      </c>
      <c r="O205" s="107"/>
      <c r="P205" s="3"/>
      <c r="Q205" s="3"/>
      <c r="R205" s="3"/>
      <c r="S205" s="3"/>
      <c r="T205" s="3"/>
      <c r="U205" s="3"/>
      <c r="V205" s="131"/>
      <c r="W205" s="15"/>
      <c r="X205" s="3"/>
      <c r="Y205" s="3"/>
      <c r="Z205" s="3"/>
      <c r="AA205" s="3"/>
      <c r="AB205" s="3"/>
      <c r="AC205" s="131"/>
      <c r="AD205" s="15"/>
      <c r="AE205" s="132"/>
      <c r="AF205" s="133"/>
      <c r="AG205" s="134"/>
      <c r="AH205" s="134"/>
      <c r="AI205" s="135"/>
      <c r="AJ205" s="136"/>
      <c r="AK205" s="137"/>
      <c r="AL205" s="137"/>
      <c r="AM205" s="3"/>
      <c r="AN205" s="138"/>
      <c r="AO205" s="2"/>
      <c r="AP205" s="139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131"/>
      <c r="BB205" s="15"/>
      <c r="BC205" s="132"/>
      <c r="BD205" s="133"/>
      <c r="BE205" s="134"/>
      <c r="BF205" s="134"/>
      <c r="BG205" s="135"/>
      <c r="BH205" s="136"/>
      <c r="BI205" s="137"/>
      <c r="BJ205" s="137"/>
      <c r="BK205" s="3"/>
      <c r="BL205" s="138"/>
      <c r="BM205" s="2"/>
      <c r="BN205" s="139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131"/>
      <c r="BZ205" s="15"/>
      <c r="CA205" s="132"/>
      <c r="CB205" s="133"/>
      <c r="CC205" s="134"/>
      <c r="CD205" s="134"/>
      <c r="CE205" s="135"/>
      <c r="CF205" s="136"/>
      <c r="CG205" s="137"/>
      <c r="CH205" s="137"/>
      <c r="CI205" s="3"/>
      <c r="CJ205" s="138"/>
      <c r="CK205" s="2"/>
      <c r="CL205" s="139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131"/>
      <c r="CX205" s="15"/>
      <c r="CY205" s="132"/>
      <c r="CZ205" s="133"/>
      <c r="DA205" s="134"/>
      <c r="DB205" s="134"/>
      <c r="DC205" s="135"/>
      <c r="DD205" s="136"/>
      <c r="DE205" s="137"/>
      <c r="DF205" s="137"/>
      <c r="DG205" s="3"/>
      <c r="DH205" s="138"/>
      <c r="DI205" s="2"/>
      <c r="DJ205" s="139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131"/>
      <c r="DV205" s="15"/>
      <c r="DW205" s="132"/>
      <c r="DX205" s="133"/>
      <c r="DY205" s="134"/>
      <c r="DZ205" s="134"/>
      <c r="EA205" s="135"/>
      <c r="EB205" s="136"/>
      <c r="EC205" s="137"/>
      <c r="ED205" s="137"/>
      <c r="EE205" s="3"/>
      <c r="EF205" s="138"/>
      <c r="EG205" s="2"/>
      <c r="EH205" s="139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131"/>
      <c r="ET205" s="15"/>
      <c r="EU205" s="132"/>
      <c r="EV205" s="133"/>
      <c r="EW205" s="134"/>
      <c r="EX205" s="134"/>
      <c r="EY205" s="135"/>
      <c r="EZ205" s="136"/>
      <c r="FA205" s="137"/>
      <c r="FB205" s="137"/>
      <c r="FC205" s="3"/>
      <c r="FD205" s="138"/>
      <c r="FE205" s="2"/>
      <c r="FF205" s="139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131"/>
      <c r="FR205" s="15"/>
      <c r="FS205" s="132"/>
      <c r="FT205" s="133"/>
      <c r="FU205" s="134"/>
      <c r="FV205" s="134"/>
      <c r="FW205" s="135"/>
      <c r="FX205" s="136"/>
      <c r="FY205" s="137"/>
      <c r="FZ205" s="137"/>
      <c r="GA205" s="3"/>
      <c r="GB205" s="138"/>
      <c r="GC205" s="2"/>
      <c r="GD205" s="139"/>
      <c r="GE205" s="3"/>
      <c r="GF205" s="3"/>
    </row>
    <row r="206" spans="1:188" s="125" customFormat="1">
      <c r="A206" s="16">
        <v>38</v>
      </c>
      <c r="B206" s="29">
        <v>43104</v>
      </c>
      <c r="C206" s="18"/>
      <c r="D206" s="198">
        <v>3</v>
      </c>
      <c r="E206" s="20" t="s">
        <v>536</v>
      </c>
      <c r="F206" s="62" t="s">
        <v>1155</v>
      </c>
      <c r="G206" s="63">
        <v>1710</v>
      </c>
      <c r="H206" s="121">
        <v>1840000</v>
      </c>
      <c r="I206" s="24"/>
      <c r="J206" s="24">
        <f>H206/1.05</f>
        <v>1752380.9523809522</v>
      </c>
      <c r="K206" s="24">
        <f t="shared" si="16"/>
        <v>1752380.9523809522</v>
      </c>
      <c r="L206" s="123"/>
      <c r="M206" s="24">
        <f t="shared" si="17"/>
        <v>0</v>
      </c>
      <c r="N206" s="124">
        <f t="shared" si="18"/>
        <v>1752380.9523809522</v>
      </c>
      <c r="O206" s="107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130"/>
      <c r="AF206" s="130"/>
      <c r="AG206" s="130"/>
      <c r="AH206" s="130"/>
      <c r="AI206" s="130"/>
      <c r="AJ206" s="130"/>
      <c r="AK206" s="130"/>
      <c r="AL206" s="130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130"/>
      <c r="BD206" s="130"/>
      <c r="BE206" s="130"/>
      <c r="BF206" s="130"/>
      <c r="BG206" s="130"/>
      <c r="BH206" s="130"/>
      <c r="BI206" s="130"/>
      <c r="BJ206" s="130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130"/>
      <c r="CB206" s="130"/>
      <c r="CC206" s="130"/>
      <c r="CD206" s="130"/>
      <c r="CE206" s="130"/>
      <c r="CF206" s="130"/>
      <c r="CG206" s="130"/>
      <c r="CH206" s="130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130"/>
      <c r="CZ206" s="130"/>
      <c r="DA206" s="130"/>
      <c r="DB206" s="130"/>
      <c r="DC206" s="130"/>
      <c r="DD206" s="130"/>
      <c r="DE206" s="130"/>
      <c r="DF206" s="130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130"/>
      <c r="DX206" s="130"/>
      <c r="DY206" s="130"/>
      <c r="DZ206" s="130"/>
      <c r="EA206" s="130"/>
      <c r="EB206" s="130"/>
      <c r="EC206" s="130"/>
      <c r="ED206" s="130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130"/>
      <c r="EV206" s="130"/>
      <c r="EW206" s="130"/>
      <c r="EX206" s="130"/>
      <c r="EY206" s="130"/>
      <c r="EZ206" s="130"/>
      <c r="FA206" s="130"/>
      <c r="FB206" s="130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130"/>
      <c r="FT206" s="130"/>
      <c r="FU206" s="130"/>
      <c r="FV206" s="130"/>
      <c r="FW206" s="130"/>
      <c r="FX206" s="130"/>
      <c r="FY206" s="130"/>
      <c r="FZ206" s="130"/>
      <c r="GA206" s="3"/>
      <c r="GB206" s="3"/>
      <c r="GC206" s="3"/>
      <c r="GD206" s="3"/>
      <c r="GE206" s="3"/>
      <c r="GF206" s="3"/>
    </row>
    <row r="207" spans="1:188" s="125" customFormat="1">
      <c r="A207" s="16">
        <v>39</v>
      </c>
      <c r="B207" s="17">
        <v>43130</v>
      </c>
      <c r="C207" s="18"/>
      <c r="D207" s="19" t="s">
        <v>1143</v>
      </c>
      <c r="E207" s="20" t="s">
        <v>314</v>
      </c>
      <c r="F207" s="62" t="s">
        <v>1156</v>
      </c>
      <c r="G207" s="63">
        <v>1711</v>
      </c>
      <c r="H207" s="121">
        <f>100000+1920000</f>
        <v>2020000</v>
      </c>
      <c r="I207" s="24"/>
      <c r="J207" s="24">
        <f>H207/1.05</f>
        <v>1923809.5238095238</v>
      </c>
      <c r="K207" s="24">
        <f t="shared" si="16"/>
        <v>1923809.5238095238</v>
      </c>
      <c r="L207" s="26"/>
      <c r="M207" s="24">
        <f t="shared" si="17"/>
        <v>0</v>
      </c>
      <c r="N207" s="124">
        <f t="shared" si="18"/>
        <v>1923809.5238095238</v>
      </c>
      <c r="O207" s="85"/>
      <c r="AE207" s="167"/>
      <c r="AF207" s="167"/>
      <c r="AG207" s="167"/>
      <c r="AH207" s="167"/>
      <c r="AI207" s="167"/>
      <c r="AJ207" s="167"/>
      <c r="AK207" s="167"/>
      <c r="AL207" s="167"/>
      <c r="BC207" s="167"/>
      <c r="BD207" s="167"/>
      <c r="BE207" s="167"/>
      <c r="BF207" s="167"/>
      <c r="BG207" s="167"/>
      <c r="BH207" s="167"/>
      <c r="BI207" s="167"/>
      <c r="BJ207" s="167"/>
      <c r="CA207" s="167"/>
      <c r="CB207" s="167"/>
      <c r="CC207" s="167"/>
      <c r="CD207" s="167"/>
      <c r="CE207" s="167"/>
      <c r="CF207" s="167"/>
      <c r="CG207" s="167"/>
      <c r="CH207" s="167"/>
      <c r="CY207" s="167"/>
      <c r="CZ207" s="167"/>
      <c r="DA207" s="167"/>
      <c r="DB207" s="167"/>
      <c r="DC207" s="167"/>
      <c r="DD207" s="167"/>
      <c r="DE207" s="167"/>
      <c r="DF207" s="167"/>
      <c r="DW207" s="167"/>
      <c r="DX207" s="167"/>
      <c r="DY207" s="167"/>
      <c r="DZ207" s="167"/>
      <c r="EA207" s="167"/>
      <c r="EB207" s="167"/>
      <c r="EC207" s="167"/>
      <c r="ED207" s="167"/>
      <c r="EU207" s="167"/>
      <c r="EV207" s="167"/>
      <c r="EW207" s="167"/>
      <c r="EX207" s="167"/>
      <c r="EY207" s="167"/>
      <c r="EZ207" s="167"/>
      <c r="FA207" s="167"/>
      <c r="FB207" s="167"/>
      <c r="FS207" s="167"/>
      <c r="FT207" s="167"/>
      <c r="FU207" s="167"/>
      <c r="FV207" s="167"/>
      <c r="FW207" s="167"/>
      <c r="FX207" s="167"/>
      <c r="FY207" s="167"/>
      <c r="FZ207" s="167"/>
    </row>
    <row r="208" spans="1:188" s="125" customFormat="1">
      <c r="A208" s="16">
        <v>40</v>
      </c>
      <c r="B208" s="17">
        <v>43126</v>
      </c>
      <c r="C208" s="18"/>
      <c r="D208" s="19" t="s">
        <v>1143</v>
      </c>
      <c r="E208" s="20" t="s">
        <v>314</v>
      </c>
      <c r="F208" s="168" t="s">
        <v>1157</v>
      </c>
      <c r="G208" s="63">
        <v>1711</v>
      </c>
      <c r="H208" s="121">
        <f>100000+1920000</f>
        <v>2020000</v>
      </c>
      <c r="I208" s="24"/>
      <c r="J208" s="24">
        <f>H208/1.05</f>
        <v>1923809.5238095238</v>
      </c>
      <c r="K208" s="24">
        <f t="shared" si="16"/>
        <v>1923809.5238095238</v>
      </c>
      <c r="L208" s="123"/>
      <c r="M208" s="24">
        <f t="shared" si="17"/>
        <v>0</v>
      </c>
      <c r="N208" s="124">
        <f t="shared" si="18"/>
        <v>1923809.5238095238</v>
      </c>
      <c r="O208" s="107"/>
      <c r="V208" s="187"/>
      <c r="W208" s="188"/>
      <c r="AC208" s="187"/>
      <c r="AD208" s="188"/>
      <c r="AE208" s="194"/>
      <c r="AF208" s="195"/>
      <c r="AG208" s="191"/>
      <c r="AH208" s="191"/>
      <c r="AI208" s="183"/>
      <c r="AJ208" s="193"/>
      <c r="AK208" s="183"/>
      <c r="AL208" s="183"/>
      <c r="AN208" s="184"/>
      <c r="AO208" s="185"/>
      <c r="AP208" s="186"/>
      <c r="BA208" s="187"/>
      <c r="BB208" s="188"/>
      <c r="BC208" s="194"/>
      <c r="BD208" s="195"/>
      <c r="BE208" s="191"/>
      <c r="BF208" s="191"/>
      <c r="BG208" s="183"/>
      <c r="BH208" s="193"/>
      <c r="BI208" s="183"/>
      <c r="BJ208" s="183"/>
      <c r="BL208" s="184"/>
      <c r="BM208" s="185"/>
      <c r="BN208" s="186"/>
      <c r="BY208" s="187"/>
      <c r="BZ208" s="188"/>
      <c r="CA208" s="194"/>
      <c r="CB208" s="195"/>
      <c r="CC208" s="191"/>
      <c r="CD208" s="191"/>
      <c r="CE208" s="183"/>
      <c r="CF208" s="193"/>
      <c r="CG208" s="183"/>
      <c r="CH208" s="183"/>
      <c r="CJ208" s="184"/>
      <c r="CK208" s="185"/>
      <c r="CL208" s="186"/>
      <c r="CW208" s="187"/>
      <c r="CX208" s="188"/>
      <c r="CY208" s="194"/>
      <c r="CZ208" s="195"/>
      <c r="DA208" s="191"/>
      <c r="DB208" s="191"/>
      <c r="DC208" s="183"/>
      <c r="DD208" s="193"/>
      <c r="DE208" s="183"/>
      <c r="DF208" s="183"/>
      <c r="DH208" s="184"/>
      <c r="DI208" s="185"/>
      <c r="DJ208" s="186"/>
      <c r="DU208" s="187"/>
      <c r="DV208" s="188"/>
      <c r="DW208" s="194"/>
      <c r="DX208" s="195"/>
      <c r="DY208" s="191"/>
      <c r="DZ208" s="191"/>
      <c r="EA208" s="183"/>
      <c r="EB208" s="193"/>
      <c r="EC208" s="183"/>
      <c r="ED208" s="183"/>
      <c r="EF208" s="184"/>
      <c r="EG208" s="185"/>
      <c r="EH208" s="186"/>
      <c r="ES208" s="187"/>
      <c r="ET208" s="188"/>
      <c r="EU208" s="194"/>
      <c r="EV208" s="195"/>
      <c r="EW208" s="191"/>
      <c r="EX208" s="191"/>
      <c r="EY208" s="183"/>
      <c r="EZ208" s="193"/>
      <c r="FA208" s="183"/>
      <c r="FB208" s="183"/>
      <c r="FD208" s="184"/>
      <c r="FE208" s="185"/>
      <c r="FF208" s="186"/>
      <c r="FQ208" s="187"/>
      <c r="FR208" s="188"/>
      <c r="FS208" s="194"/>
      <c r="FT208" s="195"/>
      <c r="FU208" s="191"/>
      <c r="FV208" s="191"/>
      <c r="FW208" s="183"/>
      <c r="FX208" s="193"/>
      <c r="FY208" s="183"/>
      <c r="FZ208" s="183"/>
      <c r="GB208" s="184"/>
      <c r="GC208" s="185"/>
      <c r="GD208" s="186"/>
    </row>
    <row r="209" spans="1:188" s="125" customFormat="1">
      <c r="A209" s="16">
        <v>41</v>
      </c>
      <c r="B209" s="17">
        <v>43131</v>
      </c>
      <c r="C209" s="18"/>
      <c r="D209" s="19" t="s">
        <v>1143</v>
      </c>
      <c r="E209" s="20" t="s">
        <v>314</v>
      </c>
      <c r="F209" s="62" t="s">
        <v>1158</v>
      </c>
      <c r="G209" s="63">
        <v>1711</v>
      </c>
      <c r="H209" s="121">
        <f>100000+1920000</f>
        <v>2020000</v>
      </c>
      <c r="I209" s="24"/>
      <c r="J209" s="24">
        <f>H209/1.05</f>
        <v>1923809.5238095238</v>
      </c>
      <c r="K209" s="24">
        <f t="shared" si="16"/>
        <v>1923809.5238095238</v>
      </c>
      <c r="L209" s="123"/>
      <c r="M209" s="24">
        <f t="shared" si="17"/>
        <v>0</v>
      </c>
      <c r="N209" s="124">
        <f t="shared" si="18"/>
        <v>1923809.5238095238</v>
      </c>
      <c r="O209" s="85"/>
      <c r="AE209" s="167"/>
      <c r="AF209" s="167"/>
      <c r="AG209" s="167"/>
      <c r="AH209" s="167"/>
      <c r="AI209" s="167"/>
      <c r="AJ209" s="167"/>
      <c r="AK209" s="167"/>
      <c r="AL209" s="167"/>
      <c r="BC209" s="167"/>
      <c r="BD209" s="167"/>
      <c r="BE209" s="167"/>
      <c r="BF209" s="167"/>
      <c r="BG209" s="167"/>
      <c r="BH209" s="167"/>
      <c r="BI209" s="167"/>
      <c r="BJ209" s="167"/>
      <c r="CA209" s="167"/>
      <c r="CB209" s="167"/>
      <c r="CC209" s="167"/>
      <c r="CD209" s="167"/>
      <c r="CE209" s="167"/>
      <c r="CF209" s="167"/>
      <c r="CG209" s="167"/>
      <c r="CH209" s="167"/>
      <c r="CY209" s="167"/>
      <c r="CZ209" s="167"/>
      <c r="DA209" s="167"/>
      <c r="DB209" s="167"/>
      <c r="DC209" s="167"/>
      <c r="DD209" s="167"/>
      <c r="DE209" s="167"/>
      <c r="DF209" s="167"/>
      <c r="DW209" s="167"/>
      <c r="DX209" s="167"/>
      <c r="DY209" s="167"/>
      <c r="DZ209" s="167"/>
      <c r="EA209" s="167"/>
      <c r="EB209" s="167"/>
      <c r="EC209" s="167"/>
      <c r="ED209" s="167"/>
      <c r="EU209" s="167"/>
      <c r="EV209" s="167"/>
      <c r="EW209" s="167"/>
      <c r="EX209" s="167"/>
      <c r="EY209" s="167"/>
      <c r="EZ209" s="167"/>
      <c r="FA209" s="167"/>
      <c r="FB209" s="167"/>
      <c r="FS209" s="167"/>
      <c r="FT209" s="167"/>
      <c r="FU209" s="167"/>
      <c r="FV209" s="167"/>
      <c r="FW209" s="167"/>
      <c r="FX209" s="167"/>
      <c r="FY209" s="167"/>
      <c r="FZ209" s="167"/>
    </row>
    <row r="210" spans="1:188" s="125" customFormat="1">
      <c r="A210" s="16">
        <v>42</v>
      </c>
      <c r="B210" s="17">
        <v>43125</v>
      </c>
      <c r="C210" s="18"/>
      <c r="D210" s="19" t="s">
        <v>1159</v>
      </c>
      <c r="E210" s="20" t="s">
        <v>407</v>
      </c>
      <c r="F210" s="82" t="s">
        <v>1160</v>
      </c>
      <c r="G210" s="63">
        <v>1711</v>
      </c>
      <c r="H210" s="121">
        <v>2061500</v>
      </c>
      <c r="I210" s="24"/>
      <c r="J210" s="24">
        <v>1963334</v>
      </c>
      <c r="K210" s="24">
        <f t="shared" si="16"/>
        <v>1963334</v>
      </c>
      <c r="L210" s="123"/>
      <c r="M210" s="24">
        <f t="shared" si="17"/>
        <v>0</v>
      </c>
      <c r="N210" s="124">
        <f t="shared" si="18"/>
        <v>1963334</v>
      </c>
      <c r="O210" s="107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130"/>
      <c r="AF210" s="130"/>
      <c r="AG210" s="130"/>
      <c r="AH210" s="130"/>
      <c r="AI210" s="130"/>
      <c r="AJ210" s="130"/>
      <c r="AK210" s="130"/>
      <c r="AL210" s="130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130"/>
      <c r="BD210" s="130"/>
      <c r="BE210" s="130"/>
      <c r="BF210" s="130"/>
      <c r="BG210" s="130"/>
      <c r="BH210" s="130"/>
      <c r="BI210" s="130"/>
      <c r="BJ210" s="130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130"/>
      <c r="CB210" s="130"/>
      <c r="CC210" s="130"/>
      <c r="CD210" s="130"/>
      <c r="CE210" s="130"/>
      <c r="CF210" s="130"/>
      <c r="CG210" s="130"/>
      <c r="CH210" s="130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130"/>
      <c r="CZ210" s="130"/>
      <c r="DA210" s="130"/>
      <c r="DB210" s="130"/>
      <c r="DC210" s="130"/>
      <c r="DD210" s="130"/>
      <c r="DE210" s="130"/>
      <c r="DF210" s="130"/>
      <c r="DG210" s="3"/>
      <c r="DH210" s="3"/>
      <c r="DI210" s="3"/>
      <c r="DJ210" s="3"/>
      <c r="DK210" s="3"/>
      <c r="DL210" s="3"/>
      <c r="DM210" s="3"/>
      <c r="DN210" s="3"/>
      <c r="DO210" s="3"/>
      <c r="DP210" s="3"/>
      <c r="DQ210" s="3"/>
      <c r="DR210" s="3"/>
      <c r="DS210" s="3"/>
      <c r="DT210" s="3"/>
      <c r="DU210" s="3"/>
      <c r="DV210" s="3"/>
      <c r="DW210" s="130"/>
      <c r="DX210" s="130"/>
      <c r="DY210" s="130"/>
      <c r="DZ210" s="130"/>
      <c r="EA210" s="130"/>
      <c r="EB210" s="130"/>
      <c r="EC210" s="130"/>
      <c r="ED210" s="130"/>
      <c r="EE210" s="3"/>
      <c r="EF210" s="3"/>
      <c r="EG210" s="3"/>
      <c r="EH210" s="3"/>
      <c r="EI210" s="3"/>
      <c r="EJ210" s="3"/>
      <c r="EK210" s="3"/>
      <c r="EL210" s="3"/>
      <c r="EM210" s="3"/>
      <c r="EN210" s="3"/>
      <c r="EO210" s="3"/>
      <c r="EP210" s="3"/>
      <c r="EQ210" s="3"/>
      <c r="ER210" s="3"/>
      <c r="ES210" s="3"/>
      <c r="ET210" s="3"/>
      <c r="EU210" s="130"/>
      <c r="EV210" s="130"/>
      <c r="EW210" s="130"/>
      <c r="EX210" s="130"/>
      <c r="EY210" s="130"/>
      <c r="EZ210" s="130"/>
      <c r="FA210" s="130"/>
      <c r="FB210" s="130"/>
      <c r="FC210" s="3"/>
      <c r="FD210" s="3"/>
      <c r="FE210" s="3"/>
      <c r="FF210" s="3"/>
      <c r="FG210" s="3"/>
      <c r="FH210" s="3"/>
      <c r="FI210" s="3"/>
      <c r="FJ210" s="3"/>
      <c r="FK210" s="3"/>
      <c r="FL210" s="3"/>
      <c r="FM210" s="3"/>
      <c r="FN210" s="3"/>
      <c r="FO210" s="3"/>
      <c r="FP210" s="3"/>
      <c r="FQ210" s="3"/>
      <c r="FR210" s="3"/>
      <c r="FS210" s="130"/>
      <c r="FT210" s="130"/>
      <c r="FU210" s="130"/>
      <c r="FV210" s="130"/>
      <c r="FW210" s="130"/>
      <c r="FX210" s="130"/>
      <c r="FY210" s="130"/>
      <c r="FZ210" s="130"/>
      <c r="GA210" s="3"/>
      <c r="GB210" s="3"/>
      <c r="GC210" s="3"/>
      <c r="GD210" s="3"/>
      <c r="GE210" s="3"/>
      <c r="GF210" s="3"/>
    </row>
    <row r="211" spans="1:188" s="125" customFormat="1">
      <c r="A211" s="16">
        <v>43</v>
      </c>
      <c r="B211" s="29">
        <v>43125</v>
      </c>
      <c r="C211" s="18"/>
      <c r="D211" s="19" t="s">
        <v>1159</v>
      </c>
      <c r="E211" s="20" t="s">
        <v>407</v>
      </c>
      <c r="F211" s="57" t="s">
        <v>1161</v>
      </c>
      <c r="G211" s="58">
        <v>1711</v>
      </c>
      <c r="H211" s="121">
        <v>2061500</v>
      </c>
      <c r="I211" s="24"/>
      <c r="J211" s="24">
        <v>1963334</v>
      </c>
      <c r="K211" s="24">
        <f t="shared" si="16"/>
        <v>1963334</v>
      </c>
      <c r="L211" s="123"/>
      <c r="M211" s="24">
        <f t="shared" si="17"/>
        <v>0</v>
      </c>
      <c r="N211" s="124">
        <f t="shared" si="18"/>
        <v>1963334</v>
      </c>
      <c r="O211" s="107"/>
      <c r="P211" s="3"/>
      <c r="Q211" s="3"/>
      <c r="R211" s="3"/>
      <c r="S211" s="3"/>
      <c r="T211" s="3"/>
      <c r="U211" s="3"/>
      <c r="V211" s="131"/>
      <c r="W211" s="15"/>
      <c r="X211" s="3"/>
      <c r="Y211" s="3"/>
      <c r="Z211" s="3"/>
      <c r="AA211" s="3"/>
      <c r="AB211" s="3"/>
      <c r="AC211" s="131"/>
      <c r="AD211" s="15"/>
      <c r="AE211" s="132"/>
      <c r="AF211" s="133"/>
      <c r="AG211" s="134"/>
      <c r="AH211" s="134"/>
      <c r="AI211" s="135"/>
      <c r="AJ211" s="136"/>
      <c r="AK211" s="137"/>
      <c r="AL211" s="137"/>
      <c r="AM211" s="3"/>
      <c r="AN211" s="138"/>
      <c r="AO211" s="2"/>
      <c r="AP211" s="139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131"/>
      <c r="BB211" s="15"/>
      <c r="BC211" s="132"/>
      <c r="BD211" s="133"/>
      <c r="BE211" s="134"/>
      <c r="BF211" s="134"/>
      <c r="BG211" s="135"/>
      <c r="BH211" s="136"/>
      <c r="BI211" s="137"/>
      <c r="BJ211" s="137"/>
      <c r="BK211" s="3"/>
      <c r="BL211" s="138"/>
      <c r="BM211" s="2"/>
      <c r="BN211" s="139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131"/>
      <c r="BZ211" s="15"/>
      <c r="CA211" s="132"/>
      <c r="CB211" s="133"/>
      <c r="CC211" s="134"/>
      <c r="CD211" s="134"/>
      <c r="CE211" s="135"/>
      <c r="CF211" s="136"/>
      <c r="CG211" s="137"/>
      <c r="CH211" s="137"/>
      <c r="CI211" s="3"/>
      <c r="CJ211" s="138"/>
      <c r="CK211" s="2"/>
      <c r="CL211" s="139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131"/>
      <c r="CX211" s="15"/>
      <c r="CY211" s="132"/>
      <c r="CZ211" s="133"/>
      <c r="DA211" s="134"/>
      <c r="DB211" s="134"/>
      <c r="DC211" s="135"/>
      <c r="DD211" s="136"/>
      <c r="DE211" s="137"/>
      <c r="DF211" s="137"/>
      <c r="DG211" s="3"/>
      <c r="DH211" s="138"/>
      <c r="DI211" s="2"/>
      <c r="DJ211" s="139"/>
      <c r="DK211" s="3"/>
      <c r="DL211" s="3"/>
      <c r="DM211" s="3"/>
      <c r="DN211" s="3"/>
      <c r="DO211" s="3"/>
      <c r="DP211" s="3"/>
      <c r="DQ211" s="3"/>
      <c r="DR211" s="3"/>
      <c r="DS211" s="3"/>
      <c r="DT211" s="3"/>
      <c r="DU211" s="131"/>
      <c r="DV211" s="15"/>
      <c r="DW211" s="132"/>
      <c r="DX211" s="133"/>
      <c r="DY211" s="134"/>
      <c r="DZ211" s="134"/>
      <c r="EA211" s="135"/>
      <c r="EB211" s="136"/>
      <c r="EC211" s="137"/>
      <c r="ED211" s="137"/>
      <c r="EE211" s="3"/>
      <c r="EF211" s="138"/>
      <c r="EG211" s="2"/>
      <c r="EH211" s="139"/>
      <c r="EI211" s="3"/>
      <c r="EJ211" s="3"/>
      <c r="EK211" s="3"/>
      <c r="EL211" s="3"/>
      <c r="EM211" s="3"/>
      <c r="EN211" s="3"/>
      <c r="EO211" s="3"/>
      <c r="EP211" s="3"/>
      <c r="EQ211" s="3"/>
      <c r="ER211" s="3"/>
      <c r="ES211" s="131"/>
      <c r="ET211" s="15"/>
      <c r="EU211" s="132"/>
      <c r="EV211" s="133"/>
      <c r="EW211" s="134"/>
      <c r="EX211" s="134"/>
      <c r="EY211" s="135"/>
      <c r="EZ211" s="136"/>
      <c r="FA211" s="137"/>
      <c r="FB211" s="137"/>
      <c r="FC211" s="3"/>
      <c r="FD211" s="138"/>
      <c r="FE211" s="2"/>
      <c r="FF211" s="139"/>
      <c r="FG211" s="3"/>
      <c r="FH211" s="3"/>
      <c r="FI211" s="3"/>
      <c r="FJ211" s="3"/>
      <c r="FK211" s="3"/>
      <c r="FL211" s="3"/>
      <c r="FM211" s="3"/>
      <c r="FN211" s="3"/>
      <c r="FO211" s="3"/>
      <c r="FP211" s="3"/>
      <c r="FQ211" s="131"/>
      <c r="FR211" s="15"/>
      <c r="FS211" s="132"/>
      <c r="FT211" s="133"/>
      <c r="FU211" s="134"/>
      <c r="FV211" s="134"/>
      <c r="FW211" s="135"/>
      <c r="FX211" s="136"/>
      <c r="FY211" s="137"/>
      <c r="FZ211" s="137"/>
      <c r="GA211" s="3"/>
      <c r="GB211" s="138"/>
      <c r="GC211" s="2"/>
      <c r="GD211" s="139"/>
      <c r="GE211" s="3"/>
      <c r="GF211" s="3"/>
    </row>
    <row r="212" spans="1:188" s="125" customFormat="1">
      <c r="A212" s="16">
        <v>44</v>
      </c>
      <c r="B212" s="17">
        <v>43130</v>
      </c>
      <c r="C212" s="18"/>
      <c r="D212" s="19" t="s">
        <v>1159</v>
      </c>
      <c r="E212" s="20" t="s">
        <v>407</v>
      </c>
      <c r="F212" s="62" t="s">
        <v>1162</v>
      </c>
      <c r="G212" s="63">
        <v>1711</v>
      </c>
      <c r="H212" s="121">
        <v>2061500</v>
      </c>
      <c r="I212" s="24"/>
      <c r="J212" s="24">
        <v>1963334</v>
      </c>
      <c r="K212" s="24">
        <f t="shared" si="16"/>
        <v>1963334</v>
      </c>
      <c r="L212" s="123"/>
      <c r="M212" s="24">
        <f t="shared" si="17"/>
        <v>0</v>
      </c>
      <c r="N212" s="124">
        <f t="shared" si="18"/>
        <v>1963334</v>
      </c>
      <c r="O212" s="85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130"/>
      <c r="AF212" s="130"/>
      <c r="AG212" s="130"/>
      <c r="AH212" s="130"/>
      <c r="AI212" s="130"/>
      <c r="AJ212" s="130"/>
      <c r="AK212" s="130"/>
      <c r="AL212" s="130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130"/>
      <c r="BD212" s="130"/>
      <c r="BE212" s="130"/>
      <c r="BF212" s="130"/>
      <c r="BG212" s="130"/>
      <c r="BH212" s="130"/>
      <c r="BI212" s="130"/>
      <c r="BJ212" s="130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130"/>
      <c r="CB212" s="130"/>
      <c r="CC212" s="130"/>
      <c r="CD212" s="130"/>
      <c r="CE212" s="130"/>
      <c r="CF212" s="130"/>
      <c r="CG212" s="130"/>
      <c r="CH212" s="130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130"/>
      <c r="CZ212" s="130"/>
      <c r="DA212" s="130"/>
      <c r="DB212" s="130"/>
      <c r="DC212" s="130"/>
      <c r="DD212" s="130"/>
      <c r="DE212" s="130"/>
      <c r="DF212" s="130"/>
      <c r="DG212" s="3"/>
      <c r="DH212" s="3"/>
      <c r="DI212" s="3"/>
      <c r="DJ212" s="3"/>
      <c r="DK212" s="3"/>
      <c r="DL212" s="3"/>
      <c r="DM212" s="3"/>
      <c r="DN212" s="3"/>
      <c r="DO212" s="3"/>
      <c r="DP212" s="3"/>
      <c r="DQ212" s="3"/>
      <c r="DR212" s="3"/>
      <c r="DS212" s="3"/>
      <c r="DT212" s="3"/>
      <c r="DU212" s="3"/>
      <c r="DV212" s="3"/>
      <c r="DW212" s="130"/>
      <c r="DX212" s="130"/>
      <c r="DY212" s="130"/>
      <c r="DZ212" s="130"/>
      <c r="EA212" s="130"/>
      <c r="EB212" s="130"/>
      <c r="EC212" s="130"/>
      <c r="ED212" s="130"/>
      <c r="EE212" s="3"/>
      <c r="EF212" s="3"/>
      <c r="EG212" s="3"/>
      <c r="EH212" s="3"/>
      <c r="EI212" s="3"/>
      <c r="EJ212" s="3"/>
      <c r="EK212" s="3"/>
      <c r="EL212" s="3"/>
      <c r="EM212" s="3"/>
      <c r="EN212" s="3"/>
      <c r="EO212" s="3"/>
      <c r="EP212" s="3"/>
      <c r="EQ212" s="3"/>
      <c r="ER212" s="3"/>
      <c r="ES212" s="3"/>
      <c r="ET212" s="3"/>
      <c r="EU212" s="130"/>
      <c r="EV212" s="130"/>
      <c r="EW212" s="130"/>
      <c r="EX212" s="130"/>
      <c r="EY212" s="130"/>
      <c r="EZ212" s="130"/>
      <c r="FA212" s="130"/>
      <c r="FB212" s="130"/>
      <c r="FC212" s="3"/>
      <c r="FD212" s="3"/>
      <c r="FE212" s="3"/>
      <c r="FF212" s="3"/>
      <c r="FG212" s="3"/>
      <c r="FH212" s="3"/>
      <c r="FI212" s="3"/>
      <c r="FJ212" s="3"/>
      <c r="FK212" s="3"/>
      <c r="FL212" s="3"/>
      <c r="FM212" s="3"/>
      <c r="FN212" s="3"/>
      <c r="FO212" s="3"/>
      <c r="FP212" s="3"/>
      <c r="FQ212" s="3"/>
      <c r="FR212" s="3"/>
      <c r="FS212" s="130"/>
      <c r="FT212" s="130"/>
      <c r="FU212" s="130"/>
      <c r="FV212" s="130"/>
      <c r="FW212" s="130"/>
      <c r="FX212" s="130"/>
      <c r="FY212" s="130"/>
      <c r="FZ212" s="130"/>
      <c r="GA212" s="3"/>
      <c r="GB212" s="3"/>
      <c r="GC212" s="3"/>
      <c r="GD212" s="3"/>
      <c r="GE212" s="3"/>
      <c r="GF212" s="3"/>
    </row>
    <row r="213" spans="1:188" s="125" customFormat="1">
      <c r="A213" s="16">
        <v>45</v>
      </c>
      <c r="B213" s="17">
        <v>42970</v>
      </c>
      <c r="C213" s="18"/>
      <c r="D213" s="19" t="s">
        <v>1163</v>
      </c>
      <c r="E213" s="20" t="s">
        <v>1164</v>
      </c>
      <c r="F213" s="168" t="s">
        <v>320</v>
      </c>
      <c r="G213" s="63">
        <v>1705</v>
      </c>
      <c r="H213" s="121">
        <v>1990200</v>
      </c>
      <c r="I213" s="24">
        <v>1895429</v>
      </c>
      <c r="J213" s="24"/>
      <c r="K213" s="24">
        <f t="shared" si="16"/>
        <v>1895429</v>
      </c>
      <c r="L213" s="123"/>
      <c r="M213" s="24">
        <f t="shared" si="17"/>
        <v>0</v>
      </c>
      <c r="N213" s="124">
        <f t="shared" si="18"/>
        <v>1895429</v>
      </c>
      <c r="O213" s="108"/>
      <c r="AE213" s="167"/>
      <c r="AF213" s="167"/>
      <c r="AG213" s="167"/>
      <c r="AH213" s="167"/>
      <c r="AI213" s="167"/>
      <c r="AJ213" s="167"/>
      <c r="AK213" s="167"/>
      <c r="AL213" s="167"/>
      <c r="BC213" s="167"/>
      <c r="BD213" s="167"/>
      <c r="BE213" s="167"/>
      <c r="BF213" s="167"/>
      <c r="BG213" s="167"/>
      <c r="BH213" s="167"/>
      <c r="BI213" s="167"/>
      <c r="BJ213" s="167"/>
      <c r="CA213" s="167"/>
      <c r="CB213" s="167"/>
      <c r="CC213" s="167"/>
      <c r="CD213" s="167"/>
      <c r="CE213" s="167"/>
      <c r="CF213" s="167"/>
      <c r="CG213" s="167"/>
      <c r="CH213" s="167"/>
      <c r="CY213" s="167"/>
      <c r="CZ213" s="167"/>
      <c r="DA213" s="167"/>
      <c r="DB213" s="167"/>
      <c r="DC213" s="167"/>
      <c r="DD213" s="167"/>
      <c r="DE213" s="167"/>
      <c r="DF213" s="167"/>
      <c r="DW213" s="167"/>
      <c r="DX213" s="167"/>
      <c r="DY213" s="167"/>
      <c r="DZ213" s="167"/>
      <c r="EA213" s="167"/>
      <c r="EB213" s="167"/>
      <c r="EC213" s="167"/>
      <c r="ED213" s="167"/>
      <c r="EU213" s="167"/>
      <c r="EV213" s="167"/>
      <c r="EW213" s="167"/>
      <c r="EX213" s="167"/>
      <c r="EY213" s="167"/>
      <c r="EZ213" s="167"/>
      <c r="FA213" s="167"/>
      <c r="FB213" s="167"/>
      <c r="FS213" s="167"/>
      <c r="FT213" s="167"/>
      <c r="FU213" s="167"/>
      <c r="FV213" s="167"/>
      <c r="FW213" s="167"/>
      <c r="FX213" s="167"/>
      <c r="FY213" s="167"/>
      <c r="FZ213" s="167"/>
    </row>
    <row r="214" spans="1:188" s="125" customFormat="1">
      <c r="A214" s="16">
        <v>46</v>
      </c>
      <c r="B214" s="29">
        <v>43088</v>
      </c>
      <c r="C214" s="18"/>
      <c r="D214" s="19" t="s">
        <v>1165</v>
      </c>
      <c r="E214" s="20" t="s">
        <v>413</v>
      </c>
      <c r="F214" s="82" t="s">
        <v>417</v>
      </c>
      <c r="G214" s="63">
        <v>1708</v>
      </c>
      <c r="H214" s="121">
        <v>2010000</v>
      </c>
      <c r="I214" s="24">
        <v>1914286</v>
      </c>
      <c r="J214" s="24"/>
      <c r="K214" s="24">
        <f t="shared" si="16"/>
        <v>1914286</v>
      </c>
      <c r="L214" s="123"/>
      <c r="M214" s="24">
        <f t="shared" si="17"/>
        <v>0</v>
      </c>
      <c r="N214" s="124">
        <f t="shared" si="18"/>
        <v>1914286</v>
      </c>
      <c r="O214" s="85"/>
      <c r="AE214" s="167"/>
      <c r="AF214" s="167"/>
      <c r="AG214" s="167"/>
      <c r="AH214" s="167"/>
      <c r="AI214" s="167"/>
      <c r="AJ214" s="167"/>
      <c r="AK214" s="167"/>
      <c r="AL214" s="167"/>
      <c r="BC214" s="167"/>
      <c r="BD214" s="167"/>
      <c r="BE214" s="167"/>
      <c r="BF214" s="167"/>
      <c r="BG214" s="167"/>
      <c r="BH214" s="167"/>
      <c r="BI214" s="167"/>
      <c r="BJ214" s="167"/>
      <c r="CA214" s="167"/>
      <c r="CB214" s="167"/>
      <c r="CC214" s="167"/>
      <c r="CD214" s="167"/>
      <c r="CE214" s="167"/>
      <c r="CF214" s="167"/>
      <c r="CG214" s="167"/>
      <c r="CH214" s="167"/>
      <c r="CY214" s="167"/>
      <c r="CZ214" s="167"/>
      <c r="DA214" s="167"/>
      <c r="DB214" s="167"/>
      <c r="DC214" s="167"/>
      <c r="DD214" s="167"/>
      <c r="DE214" s="167"/>
      <c r="DF214" s="167"/>
      <c r="DW214" s="167"/>
      <c r="DX214" s="167"/>
      <c r="DY214" s="167"/>
      <c r="DZ214" s="167"/>
      <c r="EA214" s="167"/>
      <c r="EB214" s="167"/>
      <c r="EC214" s="167"/>
      <c r="ED214" s="167"/>
      <c r="EU214" s="167"/>
      <c r="EV214" s="167"/>
      <c r="EW214" s="167"/>
      <c r="EX214" s="167"/>
      <c r="EY214" s="167"/>
      <c r="EZ214" s="167"/>
      <c r="FA214" s="167"/>
      <c r="FB214" s="167"/>
      <c r="FS214" s="167"/>
      <c r="FT214" s="167"/>
      <c r="FU214" s="167"/>
      <c r="FV214" s="167"/>
      <c r="FW214" s="167"/>
      <c r="FX214" s="167"/>
      <c r="FY214" s="167"/>
      <c r="FZ214" s="167"/>
    </row>
    <row r="215" spans="1:188" s="125" customFormat="1">
      <c r="A215" s="16">
        <v>47</v>
      </c>
      <c r="B215" s="29">
        <v>43116</v>
      </c>
      <c r="C215" s="18"/>
      <c r="D215" s="19" t="s">
        <v>1165</v>
      </c>
      <c r="E215" s="20" t="s">
        <v>413</v>
      </c>
      <c r="F215" s="82" t="s">
        <v>1166</v>
      </c>
      <c r="G215" s="58">
        <v>1710</v>
      </c>
      <c r="H215" s="121">
        <v>2010000</v>
      </c>
      <c r="I215" s="24"/>
      <c r="J215" s="24">
        <f>H215/1.05</f>
        <v>1914285.7142857143</v>
      </c>
      <c r="K215" s="24">
        <f t="shared" si="16"/>
        <v>1914285.7142857143</v>
      </c>
      <c r="L215" s="123"/>
      <c r="M215" s="24">
        <f t="shared" si="17"/>
        <v>0</v>
      </c>
      <c r="N215" s="124">
        <f t="shared" si="18"/>
        <v>1914285.7142857143</v>
      </c>
      <c r="O215" s="107"/>
      <c r="AE215" s="167"/>
      <c r="AF215" s="167"/>
      <c r="AG215" s="167"/>
      <c r="AH215" s="167"/>
      <c r="AI215" s="167"/>
      <c r="AJ215" s="167"/>
      <c r="AK215" s="167"/>
      <c r="AL215" s="167"/>
      <c r="BC215" s="167"/>
      <c r="BD215" s="167"/>
      <c r="BE215" s="167"/>
      <c r="BF215" s="167"/>
      <c r="BG215" s="167"/>
      <c r="BH215" s="167"/>
      <c r="BI215" s="167"/>
      <c r="BJ215" s="167"/>
      <c r="CA215" s="167"/>
      <c r="CB215" s="167"/>
      <c r="CC215" s="167"/>
      <c r="CD215" s="167"/>
      <c r="CE215" s="167"/>
      <c r="CF215" s="167"/>
      <c r="CG215" s="167"/>
      <c r="CH215" s="167"/>
      <c r="CY215" s="167"/>
      <c r="CZ215" s="167"/>
      <c r="DA215" s="167"/>
      <c r="DB215" s="167"/>
      <c r="DC215" s="167"/>
      <c r="DD215" s="167"/>
      <c r="DE215" s="167"/>
      <c r="DF215" s="167"/>
      <c r="DW215" s="167"/>
      <c r="DX215" s="167"/>
      <c r="DY215" s="167"/>
      <c r="DZ215" s="167"/>
      <c r="EA215" s="167"/>
      <c r="EB215" s="167"/>
      <c r="EC215" s="167"/>
      <c r="ED215" s="167"/>
      <c r="EU215" s="167"/>
      <c r="EV215" s="167"/>
      <c r="EW215" s="167"/>
      <c r="EX215" s="167"/>
      <c r="EY215" s="167"/>
      <c r="EZ215" s="167"/>
      <c r="FA215" s="167"/>
      <c r="FB215" s="167"/>
      <c r="FS215" s="167"/>
      <c r="FT215" s="167"/>
      <c r="FU215" s="167"/>
      <c r="FV215" s="167"/>
      <c r="FW215" s="167"/>
      <c r="FX215" s="167"/>
      <c r="FY215" s="167"/>
      <c r="FZ215" s="167"/>
    </row>
    <row r="216" spans="1:188" s="125" customFormat="1">
      <c r="A216" s="16">
        <v>48</v>
      </c>
      <c r="B216" s="60">
        <v>43116</v>
      </c>
      <c r="C216" s="18"/>
      <c r="D216" s="19" t="s">
        <v>1165</v>
      </c>
      <c r="E216" s="20" t="s">
        <v>413</v>
      </c>
      <c r="F216" s="168" t="s">
        <v>1167</v>
      </c>
      <c r="G216" s="63">
        <v>1710</v>
      </c>
      <c r="H216" s="121">
        <v>2010000</v>
      </c>
      <c r="I216" s="24"/>
      <c r="J216" s="24">
        <f>H216/1.05</f>
        <v>1914285.7142857143</v>
      </c>
      <c r="K216" s="24">
        <f t="shared" si="16"/>
        <v>1914285.7142857143</v>
      </c>
      <c r="L216" s="123"/>
      <c r="M216" s="24">
        <f t="shared" si="17"/>
        <v>0</v>
      </c>
      <c r="N216" s="124">
        <f t="shared" si="18"/>
        <v>1914285.7142857143</v>
      </c>
      <c r="O216" s="107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130"/>
      <c r="AF216" s="130"/>
      <c r="AG216" s="130"/>
      <c r="AH216" s="130"/>
      <c r="AI216" s="130"/>
      <c r="AJ216" s="130"/>
      <c r="AK216" s="130"/>
      <c r="AL216" s="130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130"/>
      <c r="BD216" s="130"/>
      <c r="BE216" s="130"/>
      <c r="BF216" s="130"/>
      <c r="BG216" s="130"/>
      <c r="BH216" s="130"/>
      <c r="BI216" s="130"/>
      <c r="BJ216" s="130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130"/>
      <c r="CB216" s="130"/>
      <c r="CC216" s="130"/>
      <c r="CD216" s="130"/>
      <c r="CE216" s="130"/>
      <c r="CF216" s="130"/>
      <c r="CG216" s="130"/>
      <c r="CH216" s="130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130"/>
      <c r="CZ216" s="130"/>
      <c r="DA216" s="130"/>
      <c r="DB216" s="130"/>
      <c r="DC216" s="130"/>
      <c r="DD216" s="130"/>
      <c r="DE216" s="130"/>
      <c r="DF216" s="130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130"/>
      <c r="DX216" s="130"/>
      <c r="DY216" s="130"/>
      <c r="DZ216" s="130"/>
      <c r="EA216" s="130"/>
      <c r="EB216" s="130"/>
      <c r="EC216" s="130"/>
      <c r="ED216" s="130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130"/>
      <c r="EV216" s="130"/>
      <c r="EW216" s="130"/>
      <c r="EX216" s="130"/>
      <c r="EY216" s="130"/>
      <c r="EZ216" s="130"/>
      <c r="FA216" s="130"/>
      <c r="FB216" s="130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130"/>
      <c r="FT216" s="130"/>
      <c r="FU216" s="130"/>
      <c r="FV216" s="130"/>
      <c r="FW216" s="130"/>
      <c r="FX216" s="130"/>
      <c r="FY216" s="130"/>
      <c r="FZ216" s="130"/>
      <c r="GA216" s="3"/>
      <c r="GB216" s="3"/>
      <c r="GC216" s="3"/>
      <c r="GD216" s="3"/>
      <c r="GE216" s="3"/>
      <c r="GF216" s="3"/>
    </row>
    <row r="217" spans="1:188" s="125" customFormat="1">
      <c r="A217" s="16">
        <v>49</v>
      </c>
      <c r="B217" s="56">
        <v>43103</v>
      </c>
      <c r="C217" s="18" t="s">
        <v>1168</v>
      </c>
      <c r="D217" s="19" t="s">
        <v>1169</v>
      </c>
      <c r="E217" s="20" t="s">
        <v>1170</v>
      </c>
      <c r="F217" s="82" t="s">
        <v>1171</v>
      </c>
      <c r="G217" s="58">
        <v>1705</v>
      </c>
      <c r="H217" s="121">
        <v>2130000</v>
      </c>
      <c r="I217" s="24"/>
      <c r="J217" s="24">
        <v>2028571</v>
      </c>
      <c r="K217" s="199">
        <f t="shared" si="16"/>
        <v>2028571</v>
      </c>
      <c r="L217" s="123"/>
      <c r="M217" s="24">
        <f t="shared" si="17"/>
        <v>0</v>
      </c>
      <c r="N217" s="124">
        <f t="shared" si="18"/>
        <v>2028571</v>
      </c>
      <c r="O217" s="107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130"/>
      <c r="AF217" s="130"/>
      <c r="AG217" s="130"/>
      <c r="AH217" s="130"/>
      <c r="AI217" s="130"/>
      <c r="AJ217" s="130"/>
      <c r="AK217" s="130"/>
      <c r="AL217" s="130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130"/>
      <c r="BD217" s="130"/>
      <c r="BE217" s="130"/>
      <c r="BF217" s="130"/>
      <c r="BG217" s="130"/>
      <c r="BH217" s="130"/>
      <c r="BI217" s="130"/>
      <c r="BJ217" s="130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130"/>
      <c r="CB217" s="130"/>
      <c r="CC217" s="130"/>
      <c r="CD217" s="130"/>
      <c r="CE217" s="130"/>
      <c r="CF217" s="130"/>
      <c r="CG217" s="130"/>
      <c r="CH217" s="130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130"/>
      <c r="CZ217" s="130"/>
      <c r="DA217" s="130"/>
      <c r="DB217" s="130"/>
      <c r="DC217" s="130"/>
      <c r="DD217" s="130"/>
      <c r="DE217" s="130"/>
      <c r="DF217" s="130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130"/>
      <c r="DX217" s="130"/>
      <c r="DY217" s="130"/>
      <c r="DZ217" s="130"/>
      <c r="EA217" s="130"/>
      <c r="EB217" s="130"/>
      <c r="EC217" s="130"/>
      <c r="ED217" s="130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130"/>
      <c r="EV217" s="130"/>
      <c r="EW217" s="130"/>
      <c r="EX217" s="130"/>
      <c r="EY217" s="130"/>
      <c r="EZ217" s="130"/>
      <c r="FA217" s="130"/>
      <c r="FB217" s="130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130"/>
      <c r="FT217" s="130"/>
      <c r="FU217" s="130"/>
      <c r="FV217" s="130"/>
      <c r="FW217" s="130"/>
      <c r="FX217" s="130"/>
      <c r="FY217" s="130"/>
      <c r="FZ217" s="130"/>
      <c r="GA217" s="3"/>
      <c r="GB217" s="3"/>
      <c r="GC217" s="3"/>
      <c r="GD217" s="3"/>
      <c r="GE217" s="3"/>
      <c r="GF217" s="3"/>
    </row>
    <row r="218" spans="1:188" s="125" customFormat="1">
      <c r="A218" s="16">
        <v>50</v>
      </c>
      <c r="B218" s="56">
        <v>43082</v>
      </c>
      <c r="C218" s="18"/>
      <c r="D218" s="19" t="s">
        <v>1169</v>
      </c>
      <c r="E218" s="20" t="s">
        <v>324</v>
      </c>
      <c r="F218" s="62" t="s">
        <v>326</v>
      </c>
      <c r="G218" s="63">
        <v>1707</v>
      </c>
      <c r="H218" s="121">
        <f>2218400-30000</f>
        <v>2188400</v>
      </c>
      <c r="I218" s="24">
        <v>2084190</v>
      </c>
      <c r="J218" s="24"/>
      <c r="K218" s="24">
        <f t="shared" si="16"/>
        <v>2084190</v>
      </c>
      <c r="L218" s="123"/>
      <c r="M218" s="24">
        <f t="shared" si="17"/>
        <v>0</v>
      </c>
      <c r="N218" s="124">
        <f t="shared" si="18"/>
        <v>2084190</v>
      </c>
      <c r="O218" s="107"/>
      <c r="V218" s="187"/>
      <c r="W218" s="188"/>
      <c r="AC218" s="187"/>
      <c r="AD218" s="188"/>
      <c r="AE218" s="194"/>
      <c r="AF218" s="195"/>
      <c r="AG218" s="191"/>
      <c r="AH218" s="191"/>
      <c r="AI218" s="183"/>
      <c r="AJ218" s="193"/>
      <c r="AK218" s="183"/>
      <c r="AL218" s="183"/>
      <c r="AN218" s="184"/>
      <c r="AO218" s="185"/>
      <c r="AP218" s="186"/>
      <c r="BA218" s="187"/>
      <c r="BB218" s="188"/>
      <c r="BC218" s="194"/>
      <c r="BD218" s="195"/>
      <c r="BE218" s="191"/>
      <c r="BF218" s="191"/>
      <c r="BG218" s="183"/>
      <c r="BH218" s="193"/>
      <c r="BI218" s="183"/>
      <c r="BJ218" s="183"/>
      <c r="BL218" s="184"/>
      <c r="BM218" s="185"/>
      <c r="BN218" s="186"/>
      <c r="BY218" s="187"/>
      <c r="BZ218" s="188"/>
      <c r="CA218" s="194"/>
      <c r="CB218" s="195"/>
      <c r="CC218" s="191"/>
      <c r="CD218" s="191"/>
      <c r="CE218" s="183"/>
      <c r="CF218" s="193"/>
      <c r="CG218" s="183"/>
      <c r="CH218" s="183"/>
      <c r="CJ218" s="184"/>
      <c r="CK218" s="185"/>
      <c r="CL218" s="186"/>
      <c r="CW218" s="187"/>
      <c r="CX218" s="188"/>
      <c r="CY218" s="194"/>
      <c r="CZ218" s="195"/>
      <c r="DA218" s="191"/>
      <c r="DB218" s="191"/>
      <c r="DC218" s="183"/>
      <c r="DD218" s="193"/>
      <c r="DE218" s="183"/>
      <c r="DF218" s="183"/>
      <c r="DH218" s="184"/>
      <c r="DI218" s="185"/>
      <c r="DJ218" s="186"/>
      <c r="DU218" s="187"/>
      <c r="DV218" s="188"/>
      <c r="DW218" s="194"/>
      <c r="DX218" s="195"/>
      <c r="DY218" s="191"/>
      <c r="DZ218" s="191"/>
      <c r="EA218" s="183"/>
      <c r="EB218" s="193"/>
      <c r="EC218" s="183"/>
      <c r="ED218" s="183"/>
      <c r="EF218" s="184"/>
      <c r="EG218" s="185"/>
      <c r="EH218" s="186"/>
      <c r="ES218" s="187"/>
      <c r="ET218" s="188"/>
      <c r="EU218" s="194"/>
      <c r="EV218" s="195"/>
      <c r="EW218" s="191"/>
      <c r="EX218" s="191"/>
      <c r="EY218" s="183"/>
      <c r="EZ218" s="193"/>
      <c r="FA218" s="183"/>
      <c r="FB218" s="183"/>
      <c r="FD218" s="184"/>
      <c r="FE218" s="185"/>
      <c r="FF218" s="186"/>
      <c r="FQ218" s="187"/>
      <c r="FR218" s="188"/>
      <c r="FS218" s="194"/>
      <c r="FT218" s="195"/>
      <c r="FU218" s="191"/>
      <c r="FV218" s="191"/>
      <c r="FW218" s="183"/>
      <c r="FX218" s="193"/>
      <c r="FY218" s="183"/>
      <c r="FZ218" s="183"/>
      <c r="GB218" s="184"/>
      <c r="GC218" s="185"/>
      <c r="GD218" s="186"/>
    </row>
    <row r="219" spans="1:188" s="125" customFormat="1">
      <c r="A219" s="16">
        <v>51</v>
      </c>
      <c r="B219" s="60">
        <v>43116</v>
      </c>
      <c r="C219" s="18"/>
      <c r="D219" s="19" t="s">
        <v>1169</v>
      </c>
      <c r="E219" s="20" t="s">
        <v>324</v>
      </c>
      <c r="F219" s="168" t="s">
        <v>1172</v>
      </c>
      <c r="G219" s="63">
        <v>1707</v>
      </c>
      <c r="H219" s="121">
        <f>2290000-30000</f>
        <v>2260000</v>
      </c>
      <c r="I219" s="24"/>
      <c r="J219" s="24">
        <f>H219/1.05</f>
        <v>2152380.9523809524</v>
      </c>
      <c r="K219" s="24">
        <f t="shared" si="16"/>
        <v>2152380.9523809524</v>
      </c>
      <c r="L219" s="123"/>
      <c r="M219" s="24">
        <f t="shared" si="17"/>
        <v>0</v>
      </c>
      <c r="N219" s="124">
        <f t="shared" si="18"/>
        <v>2152380.9523809524</v>
      </c>
      <c r="O219" s="107"/>
      <c r="P219" s="3"/>
      <c r="Q219" s="3"/>
      <c r="R219" s="3"/>
      <c r="S219" s="3"/>
      <c r="T219" s="3"/>
      <c r="U219" s="3"/>
      <c r="V219" s="131"/>
      <c r="W219" s="15"/>
      <c r="X219" s="3"/>
      <c r="Y219" s="3"/>
      <c r="Z219" s="3"/>
      <c r="AA219" s="3"/>
      <c r="AB219" s="3"/>
      <c r="AC219" s="131"/>
      <c r="AD219" s="15"/>
      <c r="AE219" s="99"/>
      <c r="AF219" s="149"/>
      <c r="AG219" s="134"/>
      <c r="AH219" s="134"/>
      <c r="AI219" s="137"/>
      <c r="AJ219" s="150"/>
      <c r="AK219" s="137"/>
      <c r="AL219" s="137"/>
      <c r="AM219" s="3"/>
      <c r="AN219" s="138"/>
      <c r="AO219" s="2"/>
      <c r="AP219" s="139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131"/>
      <c r="BB219" s="15"/>
      <c r="BC219" s="99"/>
      <c r="BD219" s="149"/>
      <c r="BE219" s="134"/>
      <c r="BF219" s="134"/>
      <c r="BG219" s="137"/>
      <c r="BH219" s="150"/>
      <c r="BI219" s="137"/>
      <c r="BJ219" s="137"/>
      <c r="BK219" s="3"/>
      <c r="BL219" s="138"/>
      <c r="BM219" s="2"/>
      <c r="BN219" s="139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131"/>
      <c r="BZ219" s="15"/>
      <c r="CA219" s="99"/>
      <c r="CB219" s="149"/>
      <c r="CC219" s="134"/>
      <c r="CD219" s="134"/>
      <c r="CE219" s="137"/>
      <c r="CF219" s="150"/>
      <c r="CG219" s="137"/>
      <c r="CH219" s="137"/>
      <c r="CI219" s="3"/>
      <c r="CJ219" s="138"/>
      <c r="CK219" s="2"/>
      <c r="CL219" s="139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131"/>
      <c r="CX219" s="15"/>
      <c r="CY219" s="99"/>
      <c r="CZ219" s="149"/>
      <c r="DA219" s="134"/>
      <c r="DB219" s="134"/>
      <c r="DC219" s="137"/>
      <c r="DD219" s="150"/>
      <c r="DE219" s="137"/>
      <c r="DF219" s="137"/>
      <c r="DG219" s="3"/>
      <c r="DH219" s="138"/>
      <c r="DI219" s="2"/>
      <c r="DJ219" s="139"/>
      <c r="DK219" s="3"/>
      <c r="DL219" s="3"/>
      <c r="DM219" s="3"/>
      <c r="DN219" s="3"/>
      <c r="DO219" s="3"/>
      <c r="DP219" s="3"/>
      <c r="DQ219" s="3"/>
      <c r="DR219" s="3"/>
      <c r="DS219" s="3"/>
      <c r="DT219" s="3"/>
      <c r="DU219" s="131"/>
      <c r="DV219" s="15"/>
      <c r="DW219" s="99"/>
      <c r="DX219" s="149"/>
      <c r="DY219" s="134"/>
      <c r="DZ219" s="134"/>
      <c r="EA219" s="137"/>
      <c r="EB219" s="150"/>
      <c r="EC219" s="137"/>
      <c r="ED219" s="137"/>
      <c r="EE219" s="3"/>
      <c r="EF219" s="138"/>
      <c r="EG219" s="2"/>
      <c r="EH219" s="139"/>
      <c r="EI219" s="3"/>
      <c r="EJ219" s="3"/>
      <c r="EK219" s="3"/>
      <c r="EL219" s="3"/>
      <c r="EM219" s="3"/>
      <c r="EN219" s="3"/>
      <c r="EO219" s="3"/>
      <c r="EP219" s="3"/>
      <c r="EQ219" s="3"/>
      <c r="ER219" s="3"/>
      <c r="ES219" s="131"/>
      <c r="ET219" s="15"/>
      <c r="EU219" s="99"/>
      <c r="EV219" s="149"/>
      <c r="EW219" s="134"/>
      <c r="EX219" s="134"/>
      <c r="EY219" s="137"/>
      <c r="EZ219" s="150"/>
      <c r="FA219" s="137"/>
      <c r="FB219" s="137"/>
      <c r="FC219" s="3"/>
      <c r="FD219" s="138"/>
      <c r="FE219" s="2"/>
      <c r="FF219" s="139"/>
      <c r="FG219" s="3"/>
      <c r="FH219" s="3"/>
      <c r="FI219" s="3"/>
      <c r="FJ219" s="3"/>
      <c r="FK219" s="3"/>
      <c r="FL219" s="3"/>
      <c r="FM219" s="3"/>
      <c r="FN219" s="3"/>
      <c r="FO219" s="3"/>
      <c r="FP219" s="3"/>
      <c r="FQ219" s="131"/>
      <c r="FR219" s="15"/>
      <c r="FS219" s="99"/>
      <c r="FT219" s="149"/>
      <c r="FU219" s="134"/>
      <c r="FV219" s="134"/>
      <c r="FW219" s="137"/>
      <c r="FX219" s="150"/>
      <c r="FY219" s="137"/>
      <c r="FZ219" s="137"/>
      <c r="GA219" s="3"/>
      <c r="GB219" s="138"/>
      <c r="GC219" s="2"/>
      <c r="GD219" s="139"/>
      <c r="GE219" s="3"/>
      <c r="GF219" s="3"/>
    </row>
    <row r="220" spans="1:188" s="125" customFormat="1">
      <c r="A220" s="16">
        <v>52</v>
      </c>
      <c r="B220" s="60">
        <v>43083</v>
      </c>
      <c r="C220" s="18"/>
      <c r="D220" s="19" t="s">
        <v>1169</v>
      </c>
      <c r="E220" s="20" t="s">
        <v>324</v>
      </c>
      <c r="F220" s="82" t="s">
        <v>327</v>
      </c>
      <c r="G220" s="63">
        <v>1707</v>
      </c>
      <c r="H220" s="121">
        <f>2218400-30000</f>
        <v>2188400</v>
      </c>
      <c r="I220" s="24">
        <v>2084190</v>
      </c>
      <c r="J220" s="24"/>
      <c r="K220" s="24">
        <f t="shared" si="16"/>
        <v>2084190</v>
      </c>
      <c r="L220" s="123"/>
      <c r="M220" s="24">
        <f t="shared" si="17"/>
        <v>0</v>
      </c>
      <c r="N220" s="124">
        <f t="shared" si="18"/>
        <v>2084190</v>
      </c>
      <c r="O220" s="107"/>
      <c r="V220" s="187"/>
      <c r="W220" s="188"/>
      <c r="AC220" s="187"/>
      <c r="AD220" s="188"/>
      <c r="AE220" s="194"/>
      <c r="AF220" s="195"/>
      <c r="AG220" s="191"/>
      <c r="AH220" s="191"/>
      <c r="AI220" s="183"/>
      <c r="AJ220" s="193"/>
      <c r="AK220" s="183"/>
      <c r="AL220" s="183"/>
      <c r="AN220" s="184"/>
      <c r="AO220" s="185"/>
      <c r="AP220" s="186"/>
      <c r="BA220" s="187"/>
      <c r="BB220" s="188"/>
      <c r="BC220" s="194"/>
      <c r="BD220" s="195"/>
      <c r="BE220" s="191"/>
      <c r="BF220" s="191"/>
      <c r="BG220" s="183"/>
      <c r="BH220" s="193"/>
      <c r="BI220" s="183"/>
      <c r="BJ220" s="183"/>
      <c r="BL220" s="184"/>
      <c r="BM220" s="185"/>
      <c r="BN220" s="186"/>
      <c r="BY220" s="187"/>
      <c r="BZ220" s="188"/>
      <c r="CA220" s="194"/>
      <c r="CB220" s="195"/>
      <c r="CC220" s="191"/>
      <c r="CD220" s="191"/>
      <c r="CE220" s="183"/>
      <c r="CF220" s="193"/>
      <c r="CG220" s="183"/>
      <c r="CH220" s="183"/>
      <c r="CJ220" s="184"/>
      <c r="CK220" s="185"/>
      <c r="CL220" s="186"/>
      <c r="CW220" s="187"/>
      <c r="CX220" s="188"/>
      <c r="CY220" s="194"/>
      <c r="CZ220" s="195"/>
      <c r="DA220" s="191"/>
      <c r="DB220" s="191"/>
      <c r="DC220" s="183"/>
      <c r="DD220" s="193"/>
      <c r="DE220" s="183"/>
      <c r="DF220" s="183"/>
      <c r="DH220" s="184"/>
      <c r="DI220" s="185"/>
      <c r="DJ220" s="186"/>
      <c r="DU220" s="187"/>
      <c r="DV220" s="188"/>
      <c r="DW220" s="194"/>
      <c r="DX220" s="195"/>
      <c r="DY220" s="191"/>
      <c r="DZ220" s="191"/>
      <c r="EA220" s="183"/>
      <c r="EB220" s="193"/>
      <c r="EC220" s="183"/>
      <c r="ED220" s="183"/>
      <c r="EF220" s="184"/>
      <c r="EG220" s="185"/>
      <c r="EH220" s="186"/>
      <c r="ES220" s="187"/>
      <c r="ET220" s="188"/>
      <c r="EU220" s="194"/>
      <c r="EV220" s="195"/>
      <c r="EW220" s="191"/>
      <c r="EX220" s="191"/>
      <c r="EY220" s="183"/>
      <c r="EZ220" s="193"/>
      <c r="FA220" s="183"/>
      <c r="FB220" s="183"/>
      <c r="FD220" s="184"/>
      <c r="FE220" s="185"/>
      <c r="FF220" s="186"/>
      <c r="FQ220" s="187"/>
      <c r="FR220" s="188"/>
      <c r="FS220" s="194"/>
      <c r="FT220" s="195"/>
      <c r="FU220" s="191"/>
      <c r="FV220" s="191"/>
      <c r="FW220" s="183"/>
      <c r="FX220" s="193"/>
      <c r="FY220" s="183"/>
      <c r="FZ220" s="183"/>
      <c r="GB220" s="184"/>
      <c r="GC220" s="185"/>
      <c r="GD220" s="186"/>
    </row>
    <row r="221" spans="1:188" s="125" customFormat="1">
      <c r="A221" s="16">
        <v>53</v>
      </c>
      <c r="B221" s="56">
        <v>43068</v>
      </c>
      <c r="C221" s="18"/>
      <c r="D221" s="19" t="s">
        <v>1169</v>
      </c>
      <c r="E221" s="20" t="s">
        <v>328</v>
      </c>
      <c r="F221" s="82" t="s">
        <v>329</v>
      </c>
      <c r="G221" s="63">
        <v>1707</v>
      </c>
      <c r="H221" s="121">
        <f>90000+2501700-30000</f>
        <v>2561700</v>
      </c>
      <c r="I221" s="24">
        <v>2439714</v>
      </c>
      <c r="J221" s="24"/>
      <c r="K221" s="24">
        <f t="shared" si="16"/>
        <v>2439714</v>
      </c>
      <c r="L221" s="123"/>
      <c r="M221" s="24">
        <f t="shared" si="17"/>
        <v>0</v>
      </c>
      <c r="N221" s="124">
        <f t="shared" si="18"/>
        <v>2439714</v>
      </c>
      <c r="O221" s="126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130"/>
      <c r="AF221" s="130"/>
      <c r="AG221" s="130"/>
      <c r="AH221" s="130"/>
      <c r="AI221" s="130"/>
      <c r="AJ221" s="130"/>
      <c r="AK221" s="130"/>
      <c r="AL221" s="130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130"/>
      <c r="BD221" s="130"/>
      <c r="BE221" s="130"/>
      <c r="BF221" s="130"/>
      <c r="BG221" s="130"/>
      <c r="BH221" s="130"/>
      <c r="BI221" s="130"/>
      <c r="BJ221" s="130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130"/>
      <c r="CB221" s="130"/>
      <c r="CC221" s="130"/>
      <c r="CD221" s="130"/>
      <c r="CE221" s="130"/>
      <c r="CF221" s="130"/>
      <c r="CG221" s="130"/>
      <c r="CH221" s="130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130"/>
      <c r="CZ221" s="130"/>
      <c r="DA221" s="130"/>
      <c r="DB221" s="130"/>
      <c r="DC221" s="130"/>
      <c r="DD221" s="130"/>
      <c r="DE221" s="130"/>
      <c r="DF221" s="130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130"/>
      <c r="DX221" s="130"/>
      <c r="DY221" s="130"/>
      <c r="DZ221" s="130"/>
      <c r="EA221" s="130"/>
      <c r="EB221" s="130"/>
      <c r="EC221" s="130"/>
      <c r="ED221" s="130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130"/>
      <c r="EV221" s="130"/>
      <c r="EW221" s="130"/>
      <c r="EX221" s="130"/>
      <c r="EY221" s="130"/>
      <c r="EZ221" s="130"/>
      <c r="FA221" s="130"/>
      <c r="FB221" s="130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130"/>
      <c r="FT221" s="130"/>
      <c r="FU221" s="130"/>
      <c r="FV221" s="130"/>
      <c r="FW221" s="130"/>
      <c r="FX221" s="130"/>
      <c r="FY221" s="130"/>
      <c r="FZ221" s="130"/>
      <c r="GA221" s="3"/>
      <c r="GB221" s="3"/>
      <c r="GC221" s="3"/>
      <c r="GD221" s="3"/>
      <c r="GE221" s="3"/>
      <c r="GF221" s="3"/>
    </row>
    <row r="222" spans="1:188" s="125" customFormat="1">
      <c r="A222" s="16">
        <v>54</v>
      </c>
      <c r="B222" s="56">
        <v>43041</v>
      </c>
      <c r="C222" s="18"/>
      <c r="D222" s="19" t="s">
        <v>1169</v>
      </c>
      <c r="E222" s="20" t="s">
        <v>330</v>
      </c>
      <c r="F222" s="82" t="s">
        <v>331</v>
      </c>
      <c r="G222" s="58">
        <v>1707</v>
      </c>
      <c r="H222" s="121">
        <v>2368800</v>
      </c>
      <c r="I222" s="24">
        <v>2256000</v>
      </c>
      <c r="J222" s="24"/>
      <c r="K222" s="24">
        <f t="shared" si="16"/>
        <v>2256000</v>
      </c>
      <c r="L222" s="123"/>
      <c r="M222" s="24">
        <f t="shared" si="17"/>
        <v>0</v>
      </c>
      <c r="N222" s="124">
        <f t="shared" si="18"/>
        <v>2256000</v>
      </c>
      <c r="O222" s="107"/>
      <c r="AE222" s="167"/>
      <c r="AF222" s="167"/>
      <c r="AG222" s="167"/>
      <c r="AH222" s="167"/>
      <c r="AI222" s="167"/>
      <c r="AJ222" s="167"/>
      <c r="AK222" s="167"/>
      <c r="AL222" s="167"/>
      <c r="BC222" s="167"/>
      <c r="BD222" s="167"/>
      <c r="BE222" s="167"/>
      <c r="BF222" s="167"/>
      <c r="BG222" s="167"/>
      <c r="BH222" s="167"/>
      <c r="BI222" s="167"/>
      <c r="BJ222" s="167"/>
      <c r="CA222" s="167"/>
      <c r="CB222" s="167"/>
      <c r="CC222" s="167"/>
      <c r="CD222" s="167"/>
      <c r="CE222" s="167"/>
      <c r="CF222" s="167"/>
      <c r="CG222" s="167"/>
      <c r="CH222" s="167"/>
      <c r="CY222" s="167"/>
      <c r="CZ222" s="167"/>
      <c r="DA222" s="167"/>
      <c r="DB222" s="167"/>
      <c r="DC222" s="167"/>
      <c r="DD222" s="167"/>
      <c r="DE222" s="167"/>
      <c r="DF222" s="167"/>
      <c r="DW222" s="167"/>
      <c r="DX222" s="167"/>
      <c r="DY222" s="167"/>
      <c r="DZ222" s="167"/>
      <c r="EA222" s="167"/>
      <c r="EB222" s="167"/>
      <c r="EC222" s="167"/>
      <c r="ED222" s="167"/>
      <c r="EU222" s="167"/>
      <c r="EV222" s="167"/>
      <c r="EW222" s="167"/>
      <c r="EX222" s="167"/>
      <c r="EY222" s="167"/>
      <c r="EZ222" s="167"/>
      <c r="FA222" s="167"/>
      <c r="FB222" s="167"/>
      <c r="FS222" s="167"/>
      <c r="FT222" s="167"/>
      <c r="FU222" s="167"/>
      <c r="FV222" s="167"/>
      <c r="FW222" s="167"/>
      <c r="FX222" s="167"/>
      <c r="FY222" s="167"/>
      <c r="FZ222" s="167"/>
    </row>
    <row r="223" spans="1:188" s="125" customFormat="1">
      <c r="A223" s="16">
        <v>55</v>
      </c>
      <c r="B223" s="60">
        <v>43095</v>
      </c>
      <c r="C223" s="18"/>
      <c r="D223" s="19" t="s">
        <v>1169</v>
      </c>
      <c r="E223" s="20" t="s">
        <v>330</v>
      </c>
      <c r="F223" s="168" t="s">
        <v>335</v>
      </c>
      <c r="G223" s="63">
        <v>1708</v>
      </c>
      <c r="H223" s="121">
        <v>2440000</v>
      </c>
      <c r="I223" s="24">
        <v>2323810</v>
      </c>
      <c r="J223" s="24"/>
      <c r="K223" s="24">
        <f t="shared" si="16"/>
        <v>2323810</v>
      </c>
      <c r="L223" s="123"/>
      <c r="M223" s="24">
        <f t="shared" si="17"/>
        <v>0</v>
      </c>
      <c r="N223" s="124">
        <f t="shared" si="18"/>
        <v>2323810</v>
      </c>
      <c r="O223" s="108"/>
      <c r="AE223" s="167"/>
      <c r="AF223" s="167"/>
      <c r="AG223" s="167"/>
      <c r="AH223" s="167"/>
      <c r="AI223" s="167"/>
      <c r="AJ223" s="167"/>
      <c r="AK223" s="167"/>
      <c r="AL223" s="167"/>
      <c r="BC223" s="167"/>
      <c r="BD223" s="167"/>
      <c r="BE223" s="167"/>
      <c r="BF223" s="167"/>
      <c r="BG223" s="167"/>
      <c r="BH223" s="167"/>
      <c r="BI223" s="167"/>
      <c r="BJ223" s="167"/>
      <c r="CA223" s="167"/>
      <c r="CB223" s="167"/>
      <c r="CC223" s="167"/>
      <c r="CD223" s="167"/>
      <c r="CE223" s="167"/>
      <c r="CF223" s="167"/>
      <c r="CG223" s="167"/>
      <c r="CH223" s="167"/>
      <c r="CY223" s="167"/>
      <c r="CZ223" s="167"/>
      <c r="DA223" s="167"/>
      <c r="DB223" s="167"/>
      <c r="DC223" s="167"/>
      <c r="DD223" s="167"/>
      <c r="DE223" s="167"/>
      <c r="DF223" s="167"/>
      <c r="DW223" s="167"/>
      <c r="DX223" s="167"/>
      <c r="DY223" s="167"/>
      <c r="DZ223" s="167"/>
      <c r="EA223" s="167"/>
      <c r="EB223" s="167"/>
      <c r="EC223" s="167"/>
      <c r="ED223" s="167"/>
      <c r="EU223" s="167"/>
      <c r="EV223" s="167"/>
      <c r="EW223" s="167"/>
      <c r="EX223" s="167"/>
      <c r="EY223" s="167"/>
      <c r="EZ223" s="167"/>
      <c r="FA223" s="167"/>
      <c r="FB223" s="167"/>
      <c r="FS223" s="167"/>
      <c r="FT223" s="167"/>
      <c r="FU223" s="167"/>
      <c r="FV223" s="167"/>
      <c r="FW223" s="167"/>
      <c r="FX223" s="167"/>
      <c r="FY223" s="167"/>
      <c r="FZ223" s="167"/>
    </row>
    <row r="224" spans="1:188" s="125" customFormat="1">
      <c r="A224" s="16">
        <v>56</v>
      </c>
      <c r="B224" s="60">
        <v>43108</v>
      </c>
      <c r="C224" s="18"/>
      <c r="D224" s="19" t="s">
        <v>1169</v>
      </c>
      <c r="E224" s="20" t="s">
        <v>330</v>
      </c>
      <c r="F224" s="120" t="s">
        <v>1173</v>
      </c>
      <c r="G224" s="58">
        <v>1708</v>
      </c>
      <c r="H224" s="121">
        <v>2440000</v>
      </c>
      <c r="I224" s="24"/>
      <c r="J224" s="24">
        <f>H224/1.05</f>
        <v>2323809.5238095238</v>
      </c>
      <c r="K224" s="24">
        <f t="shared" si="16"/>
        <v>2323809.5238095238</v>
      </c>
      <c r="L224" s="123"/>
      <c r="M224" s="24">
        <f t="shared" si="17"/>
        <v>0</v>
      </c>
      <c r="N224" s="124">
        <f t="shared" si="18"/>
        <v>2323809.5238095238</v>
      </c>
      <c r="O224" s="107"/>
      <c r="V224" s="187"/>
      <c r="W224" s="188"/>
      <c r="AC224" s="187"/>
      <c r="AD224" s="188"/>
      <c r="AE224" s="189"/>
      <c r="AF224" s="190"/>
      <c r="AG224" s="191"/>
      <c r="AH224" s="191"/>
      <c r="AI224" s="192"/>
      <c r="AJ224" s="182"/>
      <c r="AK224" s="183"/>
      <c r="AL224" s="183"/>
      <c r="AN224" s="184"/>
      <c r="AO224" s="185"/>
      <c r="AP224" s="186"/>
      <c r="BA224" s="187"/>
      <c r="BB224" s="188"/>
      <c r="BC224" s="189"/>
      <c r="BD224" s="190"/>
      <c r="BE224" s="191"/>
      <c r="BF224" s="191"/>
      <c r="BG224" s="192"/>
      <c r="BH224" s="182"/>
      <c r="BI224" s="183"/>
      <c r="BJ224" s="183"/>
      <c r="BL224" s="184"/>
      <c r="BM224" s="185"/>
      <c r="BN224" s="186"/>
      <c r="BY224" s="187"/>
      <c r="BZ224" s="188"/>
      <c r="CA224" s="189"/>
      <c r="CB224" s="190"/>
      <c r="CC224" s="191"/>
      <c r="CD224" s="191"/>
      <c r="CE224" s="192"/>
      <c r="CF224" s="182"/>
      <c r="CG224" s="183"/>
      <c r="CH224" s="183"/>
      <c r="CJ224" s="184"/>
      <c r="CK224" s="185"/>
      <c r="CL224" s="186"/>
      <c r="CW224" s="187"/>
      <c r="CX224" s="188"/>
      <c r="CY224" s="189"/>
      <c r="CZ224" s="190"/>
      <c r="DA224" s="191"/>
      <c r="DB224" s="191"/>
      <c r="DC224" s="192"/>
      <c r="DD224" s="182"/>
      <c r="DE224" s="183"/>
      <c r="DF224" s="183"/>
      <c r="DH224" s="184"/>
      <c r="DI224" s="185"/>
      <c r="DJ224" s="186"/>
      <c r="DU224" s="187"/>
      <c r="DV224" s="188"/>
      <c r="DW224" s="189"/>
      <c r="DX224" s="190"/>
      <c r="DY224" s="191"/>
      <c r="DZ224" s="191"/>
      <c r="EA224" s="192"/>
      <c r="EB224" s="182"/>
      <c r="EC224" s="183"/>
      <c r="ED224" s="183"/>
      <c r="EF224" s="184"/>
      <c r="EG224" s="185"/>
      <c r="EH224" s="186"/>
      <c r="ES224" s="187"/>
      <c r="ET224" s="188"/>
      <c r="EU224" s="189"/>
      <c r="EV224" s="190"/>
      <c r="EW224" s="191"/>
      <c r="EX224" s="191"/>
      <c r="EY224" s="192"/>
      <c r="EZ224" s="182"/>
      <c r="FA224" s="183"/>
      <c r="FB224" s="183"/>
      <c r="FD224" s="184"/>
      <c r="FE224" s="185"/>
      <c r="FF224" s="186"/>
      <c r="FQ224" s="187"/>
      <c r="FR224" s="188"/>
      <c r="FS224" s="189"/>
      <c r="FT224" s="190"/>
      <c r="FU224" s="191"/>
      <c r="FV224" s="191"/>
      <c r="FW224" s="192"/>
      <c r="FX224" s="182"/>
      <c r="FY224" s="183"/>
      <c r="FZ224" s="183"/>
      <c r="GB224" s="184"/>
      <c r="GC224" s="185"/>
      <c r="GD224" s="186"/>
    </row>
    <row r="225" spans="1:188" s="125" customFormat="1">
      <c r="A225" s="16">
        <v>57</v>
      </c>
      <c r="B225" s="60">
        <v>43129</v>
      </c>
      <c r="C225" s="18"/>
      <c r="D225" s="19" t="s">
        <v>1169</v>
      </c>
      <c r="E225" s="20" t="s">
        <v>330</v>
      </c>
      <c r="F225" s="168" t="s">
        <v>1174</v>
      </c>
      <c r="G225" s="63">
        <v>1708</v>
      </c>
      <c r="H225" s="121">
        <v>2440000</v>
      </c>
      <c r="I225" s="24"/>
      <c r="J225" s="24">
        <f>H225/1.05</f>
        <v>2323809.5238095238</v>
      </c>
      <c r="K225" s="24">
        <f t="shared" si="16"/>
        <v>2323809.5238095238</v>
      </c>
      <c r="L225" s="123"/>
      <c r="M225" s="24">
        <f t="shared" si="17"/>
        <v>0</v>
      </c>
      <c r="N225" s="124">
        <f t="shared" si="18"/>
        <v>2323809.5238095238</v>
      </c>
      <c r="O225" s="107"/>
      <c r="AE225" s="167"/>
      <c r="AF225" s="167"/>
      <c r="AG225" s="167"/>
      <c r="AH225" s="167"/>
      <c r="AI225" s="167"/>
      <c r="AJ225" s="167"/>
      <c r="AK225" s="167"/>
      <c r="AL225" s="167"/>
      <c r="BC225" s="167"/>
      <c r="BD225" s="167"/>
      <c r="BE225" s="167"/>
      <c r="BF225" s="167"/>
      <c r="BG225" s="167"/>
      <c r="BH225" s="167"/>
      <c r="BI225" s="167"/>
      <c r="BJ225" s="167"/>
      <c r="CA225" s="167"/>
      <c r="CB225" s="167"/>
      <c r="CC225" s="167"/>
      <c r="CD225" s="167"/>
      <c r="CE225" s="167"/>
      <c r="CF225" s="167"/>
      <c r="CG225" s="167"/>
      <c r="CH225" s="167"/>
      <c r="CY225" s="167"/>
      <c r="CZ225" s="167"/>
      <c r="DA225" s="167"/>
      <c r="DB225" s="167"/>
      <c r="DC225" s="167"/>
      <c r="DD225" s="167"/>
      <c r="DE225" s="167"/>
      <c r="DF225" s="167"/>
      <c r="DW225" s="167"/>
      <c r="DX225" s="167"/>
      <c r="DY225" s="167"/>
      <c r="DZ225" s="167"/>
      <c r="EA225" s="167"/>
      <c r="EB225" s="167"/>
      <c r="EC225" s="167"/>
      <c r="ED225" s="167"/>
      <c r="EU225" s="167"/>
      <c r="EV225" s="167"/>
      <c r="EW225" s="167"/>
      <c r="EX225" s="167"/>
      <c r="EY225" s="167"/>
      <c r="EZ225" s="167"/>
      <c r="FA225" s="167"/>
      <c r="FB225" s="167"/>
      <c r="FS225" s="167"/>
      <c r="FT225" s="167"/>
      <c r="FU225" s="167"/>
      <c r="FV225" s="167"/>
      <c r="FW225" s="167"/>
      <c r="FX225" s="167"/>
      <c r="FY225" s="167"/>
      <c r="FZ225" s="167"/>
    </row>
    <row r="226" spans="1:188" s="125" customFormat="1">
      <c r="A226" s="16">
        <v>58</v>
      </c>
      <c r="B226" s="60">
        <v>43096</v>
      </c>
      <c r="C226" s="18"/>
      <c r="D226" s="19" t="s">
        <v>1169</v>
      </c>
      <c r="E226" s="20" t="s">
        <v>330</v>
      </c>
      <c r="F226" s="168" t="s">
        <v>337</v>
      </c>
      <c r="G226" s="63">
        <v>1709</v>
      </c>
      <c r="H226" s="121">
        <v>2368800</v>
      </c>
      <c r="I226" s="24">
        <v>2256000</v>
      </c>
      <c r="J226" s="24"/>
      <c r="K226" s="24">
        <f t="shared" si="16"/>
        <v>2256000</v>
      </c>
      <c r="L226" s="123"/>
      <c r="M226" s="24">
        <f t="shared" si="17"/>
        <v>0</v>
      </c>
      <c r="N226" s="124">
        <f t="shared" si="18"/>
        <v>2256000</v>
      </c>
      <c r="O226" s="108"/>
      <c r="V226" s="187"/>
      <c r="W226" s="188"/>
      <c r="AC226" s="187"/>
      <c r="AD226" s="188"/>
      <c r="AE226" s="194"/>
      <c r="AF226" s="195"/>
      <c r="AG226" s="191"/>
      <c r="AH226" s="191"/>
      <c r="AI226" s="183"/>
      <c r="AJ226" s="193"/>
      <c r="AK226" s="183"/>
      <c r="AL226" s="183"/>
      <c r="AN226" s="184"/>
      <c r="AO226" s="185"/>
      <c r="AP226" s="186"/>
      <c r="BA226" s="187"/>
      <c r="BB226" s="188"/>
      <c r="BC226" s="194"/>
      <c r="BD226" s="195"/>
      <c r="BE226" s="191"/>
      <c r="BF226" s="191"/>
      <c r="BG226" s="183"/>
      <c r="BH226" s="193"/>
      <c r="BI226" s="183"/>
      <c r="BJ226" s="183"/>
      <c r="BL226" s="184"/>
      <c r="BM226" s="185"/>
      <c r="BN226" s="186"/>
      <c r="BY226" s="187"/>
      <c r="BZ226" s="188"/>
      <c r="CA226" s="194"/>
      <c r="CB226" s="195"/>
      <c r="CC226" s="191"/>
      <c r="CD226" s="191"/>
      <c r="CE226" s="183"/>
      <c r="CF226" s="193"/>
      <c r="CG226" s="183"/>
      <c r="CH226" s="183"/>
      <c r="CJ226" s="184"/>
      <c r="CK226" s="185"/>
      <c r="CL226" s="186"/>
      <c r="CW226" s="187"/>
      <c r="CX226" s="188"/>
      <c r="CY226" s="194"/>
      <c r="CZ226" s="195"/>
      <c r="DA226" s="191"/>
      <c r="DB226" s="191"/>
      <c r="DC226" s="183"/>
      <c r="DD226" s="193"/>
      <c r="DE226" s="183"/>
      <c r="DF226" s="183"/>
      <c r="DH226" s="184"/>
      <c r="DI226" s="185"/>
      <c r="DJ226" s="186"/>
      <c r="DU226" s="187"/>
      <c r="DV226" s="188"/>
      <c r="DW226" s="194"/>
      <c r="DX226" s="195"/>
      <c r="DY226" s="191"/>
      <c r="DZ226" s="191"/>
      <c r="EA226" s="183"/>
      <c r="EB226" s="193"/>
      <c r="EC226" s="183"/>
      <c r="ED226" s="183"/>
      <c r="EF226" s="184"/>
      <c r="EG226" s="185"/>
      <c r="EH226" s="186"/>
      <c r="ES226" s="187"/>
      <c r="ET226" s="188"/>
      <c r="EU226" s="194"/>
      <c r="EV226" s="195"/>
      <c r="EW226" s="191"/>
      <c r="EX226" s="191"/>
      <c r="EY226" s="183"/>
      <c r="EZ226" s="193"/>
      <c r="FA226" s="183"/>
      <c r="FB226" s="183"/>
      <c r="FD226" s="184"/>
      <c r="FE226" s="185"/>
      <c r="FF226" s="186"/>
      <c r="FQ226" s="187"/>
      <c r="FR226" s="188"/>
      <c r="FS226" s="194"/>
      <c r="FT226" s="195"/>
      <c r="FU226" s="191"/>
      <c r="FV226" s="191"/>
      <c r="FW226" s="183"/>
      <c r="FX226" s="193"/>
      <c r="FY226" s="183"/>
      <c r="FZ226" s="183"/>
      <c r="GB226" s="184"/>
      <c r="GC226" s="185"/>
      <c r="GD226" s="186"/>
    </row>
    <row r="227" spans="1:188" s="125" customFormat="1">
      <c r="A227" s="16">
        <v>59</v>
      </c>
      <c r="B227" s="60">
        <v>43096</v>
      </c>
      <c r="C227" s="18"/>
      <c r="D227" s="19" t="s">
        <v>1169</v>
      </c>
      <c r="E227" s="20" t="s">
        <v>330</v>
      </c>
      <c r="F227" s="168" t="s">
        <v>338</v>
      </c>
      <c r="G227" s="63">
        <v>1709</v>
      </c>
      <c r="H227" s="121">
        <v>2368800</v>
      </c>
      <c r="I227" s="24">
        <v>2256000</v>
      </c>
      <c r="J227" s="24"/>
      <c r="K227" s="24">
        <f t="shared" si="16"/>
        <v>2256000</v>
      </c>
      <c r="L227" s="123"/>
      <c r="M227" s="24">
        <f t="shared" si="17"/>
        <v>0</v>
      </c>
      <c r="N227" s="124">
        <f t="shared" si="18"/>
        <v>2256000</v>
      </c>
      <c r="O227" s="108"/>
      <c r="AE227" s="167"/>
      <c r="AF227" s="167"/>
      <c r="AG227" s="167"/>
      <c r="AH227" s="167"/>
      <c r="AI227" s="167"/>
      <c r="AJ227" s="167"/>
      <c r="AK227" s="167"/>
      <c r="AL227" s="167"/>
      <c r="BC227" s="167"/>
      <c r="BD227" s="167"/>
      <c r="BE227" s="167"/>
      <c r="BF227" s="167"/>
      <c r="BG227" s="167"/>
      <c r="BH227" s="167"/>
      <c r="BI227" s="167"/>
      <c r="BJ227" s="167"/>
      <c r="CA227" s="167"/>
      <c r="CB227" s="167"/>
      <c r="CC227" s="167"/>
      <c r="CD227" s="167"/>
      <c r="CE227" s="167"/>
      <c r="CF227" s="167"/>
      <c r="CG227" s="167"/>
      <c r="CH227" s="167"/>
      <c r="CY227" s="167"/>
      <c r="CZ227" s="167"/>
      <c r="DA227" s="167"/>
      <c r="DB227" s="167"/>
      <c r="DC227" s="167"/>
      <c r="DD227" s="167"/>
      <c r="DE227" s="167"/>
      <c r="DF227" s="167"/>
      <c r="DW227" s="167"/>
      <c r="DX227" s="167"/>
      <c r="DY227" s="167"/>
      <c r="DZ227" s="167"/>
      <c r="EA227" s="167"/>
      <c r="EB227" s="167"/>
      <c r="EC227" s="167"/>
      <c r="ED227" s="167"/>
      <c r="EU227" s="167"/>
      <c r="EV227" s="167"/>
      <c r="EW227" s="167"/>
      <c r="EX227" s="167"/>
      <c r="EY227" s="167"/>
      <c r="EZ227" s="167"/>
      <c r="FA227" s="167"/>
      <c r="FB227" s="167"/>
      <c r="FS227" s="167"/>
      <c r="FT227" s="167"/>
      <c r="FU227" s="167"/>
      <c r="FV227" s="167"/>
      <c r="FW227" s="167"/>
      <c r="FX227" s="167"/>
      <c r="FY227" s="167"/>
      <c r="FZ227" s="167"/>
    </row>
    <row r="228" spans="1:188" s="125" customFormat="1">
      <c r="A228" s="16">
        <v>60</v>
      </c>
      <c r="B228" s="60">
        <v>43075</v>
      </c>
      <c r="C228" s="18"/>
      <c r="D228" s="19" t="s">
        <v>1169</v>
      </c>
      <c r="E228" s="20" t="s">
        <v>339</v>
      </c>
      <c r="F228" s="82" t="s">
        <v>340</v>
      </c>
      <c r="G228" s="63">
        <v>1709</v>
      </c>
      <c r="H228" s="121">
        <v>2368800</v>
      </c>
      <c r="I228" s="24">
        <v>2256000</v>
      </c>
      <c r="J228" s="24"/>
      <c r="K228" s="24">
        <f t="shared" si="16"/>
        <v>2256000</v>
      </c>
      <c r="L228" s="123"/>
      <c r="M228" s="24">
        <f t="shared" si="17"/>
        <v>0</v>
      </c>
      <c r="N228" s="124">
        <f t="shared" si="18"/>
        <v>2256000</v>
      </c>
      <c r="O228" s="107"/>
      <c r="AE228" s="167"/>
      <c r="AF228" s="167"/>
      <c r="AG228" s="167"/>
      <c r="AH228" s="167"/>
      <c r="AI228" s="167"/>
      <c r="AJ228" s="167"/>
      <c r="AK228" s="167"/>
      <c r="AL228" s="167"/>
      <c r="BC228" s="167"/>
      <c r="BD228" s="167"/>
      <c r="BE228" s="167"/>
      <c r="BF228" s="167"/>
      <c r="BG228" s="167"/>
      <c r="BH228" s="167"/>
      <c r="BI228" s="167"/>
      <c r="BJ228" s="167"/>
      <c r="CA228" s="167"/>
      <c r="CB228" s="167"/>
      <c r="CC228" s="167"/>
      <c r="CD228" s="167"/>
      <c r="CE228" s="167"/>
      <c r="CF228" s="167"/>
      <c r="CG228" s="167"/>
      <c r="CH228" s="167"/>
      <c r="CY228" s="167"/>
      <c r="CZ228" s="167"/>
      <c r="DA228" s="167"/>
      <c r="DB228" s="167"/>
      <c r="DC228" s="167"/>
      <c r="DD228" s="167"/>
      <c r="DE228" s="167"/>
      <c r="DF228" s="167"/>
      <c r="DW228" s="167"/>
      <c r="DX228" s="167"/>
      <c r="DY228" s="167"/>
      <c r="DZ228" s="167"/>
      <c r="EA228" s="167"/>
      <c r="EB228" s="167"/>
      <c r="EC228" s="167"/>
      <c r="ED228" s="167"/>
      <c r="EU228" s="167"/>
      <c r="EV228" s="167"/>
      <c r="EW228" s="167"/>
      <c r="EX228" s="167"/>
      <c r="EY228" s="167"/>
      <c r="EZ228" s="167"/>
      <c r="FA228" s="167"/>
      <c r="FB228" s="167"/>
      <c r="FS228" s="167"/>
      <c r="FT228" s="167"/>
      <c r="FU228" s="167"/>
      <c r="FV228" s="167"/>
      <c r="FW228" s="167"/>
      <c r="FX228" s="167"/>
      <c r="FY228" s="167"/>
      <c r="FZ228" s="167"/>
    </row>
    <row r="229" spans="1:188" s="125" customFormat="1">
      <c r="A229" s="16">
        <v>61</v>
      </c>
      <c r="B229" s="56">
        <v>43122</v>
      </c>
      <c r="C229" s="18"/>
      <c r="D229" s="19" t="s">
        <v>1169</v>
      </c>
      <c r="E229" s="20" t="s">
        <v>341</v>
      </c>
      <c r="F229" s="62" t="s">
        <v>1175</v>
      </c>
      <c r="G229" s="63">
        <v>1709</v>
      </c>
      <c r="H229" s="121">
        <v>2630000</v>
      </c>
      <c r="I229" s="24"/>
      <c r="J229" s="24">
        <f>H229/1.05</f>
        <v>2504761.9047619049</v>
      </c>
      <c r="K229" s="24">
        <f t="shared" si="16"/>
        <v>2504761.9047619049</v>
      </c>
      <c r="L229" s="123"/>
      <c r="M229" s="24">
        <f t="shared" si="17"/>
        <v>0</v>
      </c>
      <c r="N229" s="124">
        <f t="shared" si="18"/>
        <v>2504761.9047619049</v>
      </c>
      <c r="O229" s="107"/>
      <c r="AE229" s="167"/>
      <c r="AF229" s="167"/>
      <c r="AG229" s="167"/>
      <c r="AH229" s="167"/>
      <c r="AI229" s="167"/>
      <c r="AJ229" s="167"/>
      <c r="AK229" s="167"/>
      <c r="AL229" s="167"/>
      <c r="BC229" s="167"/>
      <c r="BD229" s="167"/>
      <c r="BE229" s="167"/>
      <c r="BF229" s="167"/>
      <c r="BG229" s="167"/>
      <c r="BH229" s="167"/>
      <c r="BI229" s="167"/>
      <c r="BJ229" s="167"/>
      <c r="CA229" s="167"/>
      <c r="CB229" s="167"/>
      <c r="CC229" s="167"/>
      <c r="CD229" s="167"/>
      <c r="CE229" s="167"/>
      <c r="CF229" s="167"/>
      <c r="CG229" s="167"/>
      <c r="CH229" s="167"/>
      <c r="CY229" s="167"/>
      <c r="CZ229" s="167"/>
      <c r="DA229" s="167"/>
      <c r="DB229" s="167"/>
      <c r="DC229" s="167"/>
      <c r="DD229" s="167"/>
      <c r="DE229" s="167"/>
      <c r="DF229" s="167"/>
      <c r="DW229" s="167"/>
      <c r="DX229" s="167"/>
      <c r="DY229" s="167"/>
      <c r="DZ229" s="167"/>
      <c r="EA229" s="167"/>
      <c r="EB229" s="167"/>
      <c r="EC229" s="167"/>
      <c r="ED229" s="167"/>
      <c r="EU229" s="167"/>
      <c r="EV229" s="167"/>
      <c r="EW229" s="167"/>
      <c r="EX229" s="167"/>
      <c r="EY229" s="167"/>
      <c r="EZ229" s="167"/>
      <c r="FA229" s="167"/>
      <c r="FB229" s="167"/>
      <c r="FS229" s="167"/>
      <c r="FT229" s="167"/>
      <c r="FU229" s="167"/>
      <c r="FV229" s="167"/>
      <c r="FW229" s="167"/>
      <c r="FX229" s="167"/>
      <c r="FY229" s="167"/>
      <c r="FZ229" s="167"/>
    </row>
    <row r="230" spans="1:188" s="125" customFormat="1">
      <c r="A230" s="16">
        <v>62</v>
      </c>
      <c r="B230" s="60">
        <v>43129</v>
      </c>
      <c r="C230" s="18"/>
      <c r="D230" s="19" t="s">
        <v>1169</v>
      </c>
      <c r="E230" s="20" t="s">
        <v>341</v>
      </c>
      <c r="F230" s="168" t="s">
        <v>1176</v>
      </c>
      <c r="G230" s="63">
        <v>1709</v>
      </c>
      <c r="H230" s="121">
        <v>2630000</v>
      </c>
      <c r="I230" s="24"/>
      <c r="J230" s="24">
        <f>H230/1.05</f>
        <v>2504761.9047619049</v>
      </c>
      <c r="K230" s="24">
        <f t="shared" si="16"/>
        <v>2504761.9047619049</v>
      </c>
      <c r="L230" s="123"/>
      <c r="M230" s="24">
        <f t="shared" si="17"/>
        <v>0</v>
      </c>
      <c r="N230" s="124">
        <f t="shared" si="18"/>
        <v>2504761.9047619049</v>
      </c>
      <c r="O230" s="107"/>
      <c r="AE230" s="167"/>
      <c r="AF230" s="167"/>
      <c r="AG230" s="167"/>
      <c r="AH230" s="167"/>
      <c r="AI230" s="167"/>
      <c r="AJ230" s="167"/>
      <c r="AK230" s="167"/>
      <c r="AL230" s="167"/>
      <c r="BC230" s="167"/>
      <c r="BD230" s="167"/>
      <c r="BE230" s="167"/>
      <c r="BF230" s="167"/>
      <c r="BG230" s="167"/>
      <c r="BH230" s="167"/>
      <c r="BI230" s="167"/>
      <c r="BJ230" s="167"/>
      <c r="CA230" s="167"/>
      <c r="CB230" s="167"/>
      <c r="CC230" s="167"/>
      <c r="CD230" s="167"/>
      <c r="CE230" s="167"/>
      <c r="CF230" s="167"/>
      <c r="CG230" s="167"/>
      <c r="CH230" s="167"/>
      <c r="CY230" s="167"/>
      <c r="CZ230" s="167"/>
      <c r="DA230" s="167"/>
      <c r="DB230" s="167"/>
      <c r="DC230" s="167"/>
      <c r="DD230" s="167"/>
      <c r="DE230" s="167"/>
      <c r="DF230" s="167"/>
      <c r="DW230" s="167"/>
      <c r="DX230" s="167"/>
      <c r="DY230" s="167"/>
      <c r="DZ230" s="167"/>
      <c r="EA230" s="167"/>
      <c r="EB230" s="167"/>
      <c r="EC230" s="167"/>
      <c r="ED230" s="167"/>
      <c r="EU230" s="167"/>
      <c r="EV230" s="167"/>
      <c r="EW230" s="167"/>
      <c r="EX230" s="167"/>
      <c r="EY230" s="167"/>
      <c r="EZ230" s="167"/>
      <c r="FA230" s="167"/>
      <c r="FB230" s="167"/>
      <c r="FS230" s="167"/>
      <c r="FT230" s="167"/>
      <c r="FU230" s="167"/>
      <c r="FV230" s="167"/>
      <c r="FW230" s="167"/>
      <c r="FX230" s="167"/>
      <c r="FY230" s="167"/>
      <c r="FZ230" s="167"/>
    </row>
    <row r="231" spans="1:188" s="125" customFormat="1">
      <c r="A231" s="16">
        <v>63</v>
      </c>
      <c r="B231" s="17">
        <v>43096</v>
      </c>
      <c r="C231" s="18"/>
      <c r="D231" s="19" t="s">
        <v>1169</v>
      </c>
      <c r="E231" s="20" t="s">
        <v>341</v>
      </c>
      <c r="F231" s="168" t="s">
        <v>343</v>
      </c>
      <c r="G231" s="63">
        <v>1709</v>
      </c>
      <c r="H231" s="121">
        <v>2556800</v>
      </c>
      <c r="I231" s="24">
        <v>2435048</v>
      </c>
      <c r="J231" s="24"/>
      <c r="K231" s="24">
        <f t="shared" si="16"/>
        <v>2435048</v>
      </c>
      <c r="L231" s="123"/>
      <c r="M231" s="24">
        <f t="shared" si="17"/>
        <v>0</v>
      </c>
      <c r="N231" s="124">
        <f t="shared" si="18"/>
        <v>2435048</v>
      </c>
      <c r="O231" s="108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130"/>
      <c r="AF231" s="130"/>
      <c r="AG231" s="130"/>
      <c r="AH231" s="130"/>
      <c r="AI231" s="130"/>
      <c r="AJ231" s="130"/>
      <c r="AK231" s="130"/>
      <c r="AL231" s="130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130"/>
      <c r="BD231" s="130"/>
      <c r="BE231" s="130"/>
      <c r="BF231" s="130"/>
      <c r="BG231" s="130"/>
      <c r="BH231" s="130"/>
      <c r="BI231" s="130"/>
      <c r="BJ231" s="130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130"/>
      <c r="CB231" s="130"/>
      <c r="CC231" s="130"/>
      <c r="CD231" s="130"/>
      <c r="CE231" s="130"/>
      <c r="CF231" s="130"/>
      <c r="CG231" s="130"/>
      <c r="CH231" s="130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130"/>
      <c r="CZ231" s="130"/>
      <c r="DA231" s="130"/>
      <c r="DB231" s="130"/>
      <c r="DC231" s="130"/>
      <c r="DD231" s="130"/>
      <c r="DE231" s="130"/>
      <c r="DF231" s="130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130"/>
      <c r="DX231" s="130"/>
      <c r="DY231" s="130"/>
      <c r="DZ231" s="130"/>
      <c r="EA231" s="130"/>
      <c r="EB231" s="130"/>
      <c r="EC231" s="130"/>
      <c r="ED231" s="130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130"/>
      <c r="EV231" s="130"/>
      <c r="EW231" s="130"/>
      <c r="EX231" s="130"/>
      <c r="EY231" s="130"/>
      <c r="EZ231" s="130"/>
      <c r="FA231" s="130"/>
      <c r="FB231" s="130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130"/>
      <c r="FT231" s="130"/>
      <c r="FU231" s="130"/>
      <c r="FV231" s="130"/>
      <c r="FW231" s="130"/>
      <c r="FX231" s="130"/>
      <c r="FY231" s="130"/>
      <c r="FZ231" s="130"/>
      <c r="GA231" s="3"/>
      <c r="GB231" s="3"/>
      <c r="GC231" s="3"/>
      <c r="GD231" s="3"/>
      <c r="GE231" s="3"/>
      <c r="GF231" s="3"/>
    </row>
    <row r="232" spans="1:188" s="125" customFormat="1">
      <c r="A232" s="16">
        <v>64</v>
      </c>
      <c r="B232" s="29">
        <v>43049</v>
      </c>
      <c r="C232" s="18"/>
      <c r="D232" s="19" t="s">
        <v>1169</v>
      </c>
      <c r="E232" s="20" t="s">
        <v>344</v>
      </c>
      <c r="F232" s="62" t="s">
        <v>345</v>
      </c>
      <c r="G232" s="63">
        <v>1708</v>
      </c>
      <c r="H232" s="121">
        <f>90000+2501700</f>
        <v>2591700</v>
      </c>
      <c r="I232" s="24">
        <v>2468286</v>
      </c>
      <c r="J232" s="24"/>
      <c r="K232" s="24">
        <f t="shared" si="16"/>
        <v>2468286</v>
      </c>
      <c r="L232" s="123"/>
      <c r="M232" s="24">
        <f t="shared" si="17"/>
        <v>0</v>
      </c>
      <c r="N232" s="124">
        <f t="shared" si="18"/>
        <v>2468286</v>
      </c>
      <c r="O232" s="107"/>
      <c r="P232" s="3"/>
      <c r="Q232" s="3"/>
      <c r="R232" s="3"/>
      <c r="S232" s="3"/>
      <c r="T232" s="3"/>
      <c r="U232" s="3"/>
      <c r="V232" s="131"/>
      <c r="W232" s="15"/>
      <c r="X232" s="3"/>
      <c r="Y232" s="3"/>
      <c r="Z232" s="3"/>
      <c r="AA232" s="3"/>
      <c r="AB232" s="3"/>
      <c r="AC232" s="131"/>
      <c r="AD232" s="15"/>
      <c r="AE232" s="132"/>
      <c r="AF232" s="133"/>
      <c r="AG232" s="134"/>
      <c r="AH232" s="134"/>
      <c r="AI232" s="135"/>
      <c r="AJ232" s="136"/>
      <c r="AK232" s="137"/>
      <c r="AL232" s="137"/>
      <c r="AM232" s="3"/>
      <c r="AN232" s="138"/>
      <c r="AO232" s="2"/>
      <c r="AP232" s="139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131"/>
      <c r="BB232" s="15"/>
      <c r="BC232" s="132"/>
      <c r="BD232" s="133"/>
      <c r="BE232" s="134"/>
      <c r="BF232" s="134"/>
      <c r="BG232" s="135"/>
      <c r="BH232" s="136"/>
      <c r="BI232" s="137"/>
      <c r="BJ232" s="137"/>
      <c r="BK232" s="3"/>
      <c r="BL232" s="138"/>
      <c r="BM232" s="2"/>
      <c r="BN232" s="139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131"/>
      <c r="BZ232" s="15"/>
      <c r="CA232" s="132"/>
      <c r="CB232" s="133"/>
      <c r="CC232" s="134"/>
      <c r="CD232" s="134"/>
      <c r="CE232" s="135"/>
      <c r="CF232" s="136"/>
      <c r="CG232" s="137"/>
      <c r="CH232" s="137"/>
      <c r="CI232" s="3"/>
      <c r="CJ232" s="138"/>
      <c r="CK232" s="2"/>
      <c r="CL232" s="139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131"/>
      <c r="CX232" s="15"/>
      <c r="CY232" s="132"/>
      <c r="CZ232" s="133"/>
      <c r="DA232" s="134"/>
      <c r="DB232" s="134"/>
      <c r="DC232" s="135"/>
      <c r="DD232" s="136"/>
      <c r="DE232" s="137"/>
      <c r="DF232" s="137"/>
      <c r="DG232" s="3"/>
      <c r="DH232" s="138"/>
      <c r="DI232" s="2"/>
      <c r="DJ232" s="139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131"/>
      <c r="DV232" s="15"/>
      <c r="DW232" s="132"/>
      <c r="DX232" s="133"/>
      <c r="DY232" s="134"/>
      <c r="DZ232" s="134"/>
      <c r="EA232" s="135"/>
      <c r="EB232" s="136"/>
      <c r="EC232" s="137"/>
      <c r="ED232" s="137"/>
      <c r="EE232" s="3"/>
      <c r="EF232" s="138"/>
      <c r="EG232" s="2"/>
      <c r="EH232" s="139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131"/>
      <c r="ET232" s="15"/>
      <c r="EU232" s="132"/>
      <c r="EV232" s="133"/>
      <c r="EW232" s="134"/>
      <c r="EX232" s="134"/>
      <c r="EY232" s="135"/>
      <c r="EZ232" s="136"/>
      <c r="FA232" s="137"/>
      <c r="FB232" s="137"/>
      <c r="FC232" s="3"/>
      <c r="FD232" s="138"/>
      <c r="FE232" s="2"/>
      <c r="FF232" s="139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131"/>
      <c r="FR232" s="15"/>
      <c r="FS232" s="132"/>
      <c r="FT232" s="133"/>
      <c r="FU232" s="134"/>
      <c r="FV232" s="134"/>
      <c r="FW232" s="135"/>
      <c r="FX232" s="136"/>
      <c r="FY232" s="137"/>
      <c r="FZ232" s="137"/>
      <c r="GA232" s="3"/>
      <c r="GB232" s="138"/>
      <c r="GC232" s="2"/>
      <c r="GD232" s="139"/>
      <c r="GE232" s="3"/>
      <c r="GF232" s="3"/>
    </row>
    <row r="233" spans="1:188" s="125" customFormat="1">
      <c r="A233" s="16">
        <v>65</v>
      </c>
      <c r="B233" s="29">
        <v>42821</v>
      </c>
      <c r="C233" s="18"/>
      <c r="D233" s="19">
        <v>5</v>
      </c>
      <c r="E233" s="20" t="s">
        <v>1177</v>
      </c>
      <c r="F233" s="82" t="s">
        <v>1178</v>
      </c>
      <c r="G233" s="58">
        <v>1701</v>
      </c>
      <c r="H233" s="121">
        <f>71100</f>
        <v>71100</v>
      </c>
      <c r="I233" s="24">
        <v>3333905</v>
      </c>
      <c r="J233" s="24"/>
      <c r="K233" s="24">
        <f t="shared" ref="K233:K296" si="19">I233+J233</f>
        <v>3333905</v>
      </c>
      <c r="L233" s="123"/>
      <c r="M233" s="24">
        <f t="shared" ref="M233:M296" si="20">K233*L233</f>
        <v>0</v>
      </c>
      <c r="N233" s="124">
        <f t="shared" ref="N233:N296" si="21">K233-M233</f>
        <v>3333905</v>
      </c>
      <c r="O233" s="108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130"/>
      <c r="AF233" s="130"/>
      <c r="AG233" s="130"/>
      <c r="AH233" s="130"/>
      <c r="AI233" s="130"/>
      <c r="AJ233" s="130"/>
      <c r="AK233" s="130"/>
      <c r="AL233" s="130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130"/>
      <c r="BD233" s="130"/>
      <c r="BE233" s="130"/>
      <c r="BF233" s="130"/>
      <c r="BG233" s="130"/>
      <c r="BH233" s="130"/>
      <c r="BI233" s="130"/>
      <c r="BJ233" s="130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130"/>
      <c r="CB233" s="130"/>
      <c r="CC233" s="130"/>
      <c r="CD233" s="130"/>
      <c r="CE233" s="130"/>
      <c r="CF233" s="130"/>
      <c r="CG233" s="130"/>
      <c r="CH233" s="130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130"/>
      <c r="CZ233" s="130"/>
      <c r="DA233" s="130"/>
      <c r="DB233" s="130"/>
      <c r="DC233" s="130"/>
      <c r="DD233" s="130"/>
      <c r="DE233" s="130"/>
      <c r="DF233" s="130"/>
      <c r="DG233" s="3"/>
      <c r="DH233" s="3"/>
      <c r="DI233" s="3"/>
      <c r="DJ233" s="3"/>
      <c r="DK233" s="3"/>
      <c r="DL233" s="3"/>
      <c r="DM233" s="3"/>
      <c r="DN233" s="3"/>
      <c r="DO233" s="3"/>
      <c r="DP233" s="3"/>
      <c r="DQ233" s="3"/>
      <c r="DR233" s="3"/>
      <c r="DS233" s="3"/>
      <c r="DT233" s="3"/>
      <c r="DU233" s="3"/>
      <c r="DV233" s="3"/>
      <c r="DW233" s="130"/>
      <c r="DX233" s="130"/>
      <c r="DY233" s="130"/>
      <c r="DZ233" s="130"/>
      <c r="EA233" s="130"/>
      <c r="EB233" s="130"/>
      <c r="EC233" s="130"/>
      <c r="ED233" s="130"/>
      <c r="EE233" s="3"/>
      <c r="EF233" s="3"/>
      <c r="EG233" s="3"/>
      <c r="EH233" s="3"/>
      <c r="EI233" s="3"/>
      <c r="EJ233" s="3"/>
      <c r="EK233" s="3"/>
      <c r="EL233" s="3"/>
      <c r="EM233" s="3"/>
      <c r="EN233" s="3"/>
      <c r="EO233" s="3"/>
      <c r="EP233" s="3"/>
      <c r="EQ233" s="3"/>
      <c r="ER233" s="3"/>
      <c r="ES233" s="3"/>
      <c r="ET233" s="3"/>
      <c r="EU233" s="130"/>
      <c r="EV233" s="130"/>
      <c r="EW233" s="130"/>
      <c r="EX233" s="130"/>
      <c r="EY233" s="130"/>
      <c r="EZ233" s="130"/>
      <c r="FA233" s="130"/>
      <c r="FB233" s="130"/>
      <c r="FC233" s="3"/>
      <c r="FD233" s="3"/>
      <c r="FE233" s="3"/>
      <c r="FF233" s="3"/>
      <c r="FG233" s="3"/>
      <c r="FH233" s="3"/>
      <c r="FI233" s="3"/>
      <c r="FJ233" s="3"/>
      <c r="FK233" s="3"/>
      <c r="FL233" s="3"/>
      <c r="FM233" s="3"/>
      <c r="FN233" s="3"/>
      <c r="FO233" s="3"/>
      <c r="FP233" s="3"/>
      <c r="FQ233" s="3"/>
      <c r="FR233" s="3"/>
      <c r="FS233" s="130"/>
      <c r="FT233" s="130"/>
      <c r="FU233" s="130"/>
      <c r="FV233" s="130"/>
      <c r="FW233" s="130"/>
      <c r="FX233" s="130"/>
      <c r="FY233" s="130"/>
      <c r="FZ233" s="130"/>
      <c r="GA233" s="3"/>
      <c r="GB233" s="3"/>
      <c r="GC233" s="3"/>
      <c r="GD233" s="3"/>
      <c r="GE233" s="3"/>
      <c r="GF233" s="3"/>
    </row>
    <row r="234" spans="1:188" s="125" customFormat="1">
      <c r="A234" s="16">
        <v>66</v>
      </c>
      <c r="B234" s="29">
        <v>43052</v>
      </c>
      <c r="C234" s="18"/>
      <c r="D234" s="19" t="s">
        <v>1169</v>
      </c>
      <c r="E234" s="20" t="s">
        <v>348</v>
      </c>
      <c r="F234" s="57" t="s">
        <v>349</v>
      </c>
      <c r="G234" s="58">
        <v>1705</v>
      </c>
      <c r="H234" s="121">
        <v>2820000</v>
      </c>
      <c r="I234" s="24">
        <v>2685714</v>
      </c>
      <c r="J234" s="24"/>
      <c r="K234" s="24">
        <f t="shared" si="19"/>
        <v>2685714</v>
      </c>
      <c r="L234" s="123"/>
      <c r="M234" s="24">
        <f t="shared" si="20"/>
        <v>0</v>
      </c>
      <c r="N234" s="124">
        <f t="shared" si="21"/>
        <v>2685714</v>
      </c>
      <c r="O234" s="107"/>
      <c r="AE234" s="167"/>
      <c r="AF234" s="167"/>
      <c r="AG234" s="167"/>
      <c r="AH234" s="167"/>
      <c r="AI234" s="167"/>
      <c r="AJ234" s="167"/>
      <c r="AK234" s="167"/>
      <c r="AL234" s="167"/>
      <c r="BC234" s="167"/>
      <c r="BD234" s="167"/>
      <c r="BE234" s="167"/>
      <c r="BF234" s="167"/>
      <c r="BG234" s="167"/>
      <c r="BH234" s="167"/>
      <c r="BI234" s="167"/>
      <c r="BJ234" s="167"/>
      <c r="CA234" s="167"/>
      <c r="CB234" s="167"/>
      <c r="CC234" s="167"/>
      <c r="CD234" s="167"/>
      <c r="CE234" s="167"/>
      <c r="CF234" s="167"/>
      <c r="CG234" s="167"/>
      <c r="CH234" s="167"/>
      <c r="CY234" s="167"/>
      <c r="CZ234" s="167"/>
      <c r="DA234" s="167"/>
      <c r="DB234" s="167"/>
      <c r="DC234" s="167"/>
      <c r="DD234" s="167"/>
      <c r="DE234" s="167"/>
      <c r="DF234" s="167"/>
      <c r="DW234" s="167"/>
      <c r="DX234" s="167"/>
      <c r="DY234" s="167"/>
      <c r="DZ234" s="167"/>
      <c r="EA234" s="167"/>
      <c r="EB234" s="167"/>
      <c r="EC234" s="167"/>
      <c r="ED234" s="167"/>
      <c r="EU234" s="167"/>
      <c r="EV234" s="167"/>
      <c r="EW234" s="167"/>
      <c r="EX234" s="167"/>
      <c r="EY234" s="167"/>
      <c r="EZ234" s="167"/>
      <c r="FA234" s="167"/>
      <c r="FB234" s="167"/>
      <c r="FS234" s="167"/>
      <c r="FT234" s="167"/>
      <c r="FU234" s="167"/>
      <c r="FV234" s="167"/>
      <c r="FW234" s="167"/>
      <c r="FX234" s="167"/>
      <c r="FY234" s="167"/>
      <c r="FZ234" s="167"/>
    </row>
    <row r="235" spans="1:188" s="125" customFormat="1">
      <c r="A235" s="16">
        <v>67</v>
      </c>
      <c r="B235" s="17">
        <v>43077</v>
      </c>
      <c r="C235" s="18"/>
      <c r="D235" s="19" t="s">
        <v>1169</v>
      </c>
      <c r="E235" s="20" t="s">
        <v>348</v>
      </c>
      <c r="F235" s="62" t="s">
        <v>351</v>
      </c>
      <c r="G235" s="63">
        <v>1708</v>
      </c>
      <c r="H235" s="121">
        <v>2876400</v>
      </c>
      <c r="I235" s="24">
        <v>2739429</v>
      </c>
      <c r="J235" s="24"/>
      <c r="K235" s="24">
        <f t="shared" si="19"/>
        <v>2739429</v>
      </c>
      <c r="L235" s="123"/>
      <c r="M235" s="24">
        <f t="shared" si="20"/>
        <v>0</v>
      </c>
      <c r="N235" s="129">
        <f t="shared" si="21"/>
        <v>2739429</v>
      </c>
      <c r="O235" s="107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130"/>
      <c r="AF235" s="130"/>
      <c r="AG235" s="130"/>
      <c r="AH235" s="130"/>
      <c r="AI235" s="130"/>
      <c r="AJ235" s="130"/>
      <c r="AK235" s="130"/>
      <c r="AL235" s="130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130"/>
      <c r="BD235" s="130"/>
      <c r="BE235" s="130"/>
      <c r="BF235" s="130"/>
      <c r="BG235" s="130"/>
      <c r="BH235" s="130"/>
      <c r="BI235" s="130"/>
      <c r="BJ235" s="130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130"/>
      <c r="CB235" s="130"/>
      <c r="CC235" s="130"/>
      <c r="CD235" s="130"/>
      <c r="CE235" s="130"/>
      <c r="CF235" s="130"/>
      <c r="CG235" s="130"/>
      <c r="CH235" s="130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130"/>
      <c r="CZ235" s="130"/>
      <c r="DA235" s="130"/>
      <c r="DB235" s="130"/>
      <c r="DC235" s="130"/>
      <c r="DD235" s="130"/>
      <c r="DE235" s="130"/>
      <c r="DF235" s="130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130"/>
      <c r="DX235" s="130"/>
      <c r="DY235" s="130"/>
      <c r="DZ235" s="130"/>
      <c r="EA235" s="130"/>
      <c r="EB235" s="130"/>
      <c r="EC235" s="130"/>
      <c r="ED235" s="130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130"/>
      <c r="EV235" s="130"/>
      <c r="EW235" s="130"/>
      <c r="EX235" s="130"/>
      <c r="EY235" s="130"/>
      <c r="EZ235" s="130"/>
      <c r="FA235" s="130"/>
      <c r="FB235" s="130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130"/>
      <c r="FT235" s="130"/>
      <c r="FU235" s="130"/>
      <c r="FV235" s="130"/>
      <c r="FW235" s="130"/>
      <c r="FX235" s="130"/>
      <c r="FY235" s="130"/>
      <c r="FZ235" s="130"/>
      <c r="GA235" s="3"/>
      <c r="GB235" s="3"/>
      <c r="GC235" s="3"/>
      <c r="GD235" s="3"/>
      <c r="GE235" s="3"/>
      <c r="GF235" s="3"/>
    </row>
    <row r="236" spans="1:188" s="125" customFormat="1">
      <c r="A236" s="16">
        <v>68</v>
      </c>
      <c r="B236" s="29">
        <v>43075</v>
      </c>
      <c r="C236" s="18"/>
      <c r="D236" s="19" t="s">
        <v>1169</v>
      </c>
      <c r="E236" s="20" t="s">
        <v>353</v>
      </c>
      <c r="F236" s="82" t="s">
        <v>354</v>
      </c>
      <c r="G236" s="58">
        <v>1705</v>
      </c>
      <c r="H236" s="121">
        <v>3000000</v>
      </c>
      <c r="I236" s="24">
        <v>2857143</v>
      </c>
      <c r="J236" s="24"/>
      <c r="K236" s="24">
        <f t="shared" si="19"/>
        <v>2857143</v>
      </c>
      <c r="L236" s="123"/>
      <c r="M236" s="24">
        <f t="shared" si="20"/>
        <v>0</v>
      </c>
      <c r="N236" s="129">
        <f t="shared" si="21"/>
        <v>2857143</v>
      </c>
      <c r="O236" s="107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130"/>
      <c r="AF236" s="130"/>
      <c r="AG236" s="130"/>
      <c r="AH236" s="130"/>
      <c r="AI236" s="130"/>
      <c r="AJ236" s="130"/>
      <c r="AK236" s="130"/>
      <c r="AL236" s="130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130"/>
      <c r="BD236" s="130"/>
      <c r="BE236" s="130"/>
      <c r="BF236" s="130"/>
      <c r="BG236" s="130"/>
      <c r="BH236" s="130"/>
      <c r="BI236" s="130"/>
      <c r="BJ236" s="130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130"/>
      <c r="CB236" s="130"/>
      <c r="CC236" s="130"/>
      <c r="CD236" s="130"/>
      <c r="CE236" s="130"/>
      <c r="CF236" s="130"/>
      <c r="CG236" s="130"/>
      <c r="CH236" s="130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130"/>
      <c r="CZ236" s="130"/>
      <c r="DA236" s="130"/>
      <c r="DB236" s="130"/>
      <c r="DC236" s="130"/>
      <c r="DD236" s="130"/>
      <c r="DE236" s="130"/>
      <c r="DF236" s="130"/>
      <c r="DG236" s="3"/>
      <c r="DH236" s="3"/>
      <c r="DI236" s="3"/>
      <c r="DJ236" s="3"/>
      <c r="DK236" s="3"/>
      <c r="DL236" s="3"/>
      <c r="DM236" s="3"/>
      <c r="DN236" s="3"/>
      <c r="DO236" s="3"/>
      <c r="DP236" s="3"/>
      <c r="DQ236" s="3"/>
      <c r="DR236" s="3"/>
      <c r="DS236" s="3"/>
      <c r="DT236" s="3"/>
      <c r="DU236" s="3"/>
      <c r="DV236" s="3"/>
      <c r="DW236" s="130"/>
      <c r="DX236" s="130"/>
      <c r="DY236" s="130"/>
      <c r="DZ236" s="130"/>
      <c r="EA236" s="130"/>
      <c r="EB236" s="130"/>
      <c r="EC236" s="130"/>
      <c r="ED236" s="130"/>
      <c r="EE236" s="3"/>
      <c r="EF236" s="3"/>
      <c r="EG236" s="3"/>
      <c r="EH236" s="3"/>
      <c r="EI236" s="3"/>
      <c r="EJ236" s="3"/>
      <c r="EK236" s="3"/>
      <c r="EL236" s="3"/>
      <c r="EM236" s="3"/>
      <c r="EN236" s="3"/>
      <c r="EO236" s="3"/>
      <c r="EP236" s="3"/>
      <c r="EQ236" s="3"/>
      <c r="ER236" s="3"/>
      <c r="ES236" s="3"/>
      <c r="ET236" s="3"/>
      <c r="EU236" s="130"/>
      <c r="EV236" s="130"/>
      <c r="EW236" s="130"/>
      <c r="EX236" s="130"/>
      <c r="EY236" s="130"/>
      <c r="EZ236" s="130"/>
      <c r="FA236" s="130"/>
      <c r="FB236" s="130"/>
      <c r="FC236" s="3"/>
      <c r="FD236" s="3"/>
      <c r="FE236" s="3"/>
      <c r="FF236" s="3"/>
      <c r="FG236" s="3"/>
      <c r="FH236" s="3"/>
      <c r="FI236" s="3"/>
      <c r="FJ236" s="3"/>
      <c r="FK236" s="3"/>
      <c r="FL236" s="3"/>
      <c r="FM236" s="3"/>
      <c r="FN236" s="3"/>
      <c r="FO236" s="3"/>
      <c r="FP236" s="3"/>
      <c r="FQ236" s="3"/>
      <c r="FR236" s="3"/>
      <c r="FS236" s="130"/>
      <c r="FT236" s="130"/>
      <c r="FU236" s="130"/>
      <c r="FV236" s="130"/>
      <c r="FW236" s="130"/>
      <c r="FX236" s="130"/>
      <c r="FY236" s="130"/>
      <c r="FZ236" s="130"/>
      <c r="GA236" s="3"/>
      <c r="GB236" s="3"/>
      <c r="GC236" s="3"/>
      <c r="GD236" s="3"/>
      <c r="GE236" s="3"/>
      <c r="GF236" s="3"/>
    </row>
    <row r="237" spans="1:188" s="125" customFormat="1">
      <c r="A237" s="16">
        <v>69</v>
      </c>
      <c r="B237" s="29">
        <v>43084</v>
      </c>
      <c r="C237" s="18"/>
      <c r="D237" s="19" t="s">
        <v>1169</v>
      </c>
      <c r="E237" s="20" t="s">
        <v>353</v>
      </c>
      <c r="F237" s="57" t="s">
        <v>355</v>
      </c>
      <c r="G237" s="63">
        <v>1709</v>
      </c>
      <c r="H237" s="121">
        <v>3055000</v>
      </c>
      <c r="I237" s="24">
        <v>2909524</v>
      </c>
      <c r="J237" s="24"/>
      <c r="K237" s="24">
        <f t="shared" si="19"/>
        <v>2909524</v>
      </c>
      <c r="L237" s="123"/>
      <c r="M237" s="24">
        <f t="shared" si="20"/>
        <v>0</v>
      </c>
      <c r="N237" s="129">
        <f t="shared" si="21"/>
        <v>2909524</v>
      </c>
      <c r="O237" s="85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130"/>
      <c r="AF237" s="130"/>
      <c r="AG237" s="130"/>
      <c r="AH237" s="130"/>
      <c r="AI237" s="130"/>
      <c r="AJ237" s="130"/>
      <c r="AK237" s="130"/>
      <c r="AL237" s="130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130"/>
      <c r="BD237" s="130"/>
      <c r="BE237" s="130"/>
      <c r="BF237" s="130"/>
      <c r="BG237" s="130"/>
      <c r="BH237" s="130"/>
      <c r="BI237" s="130"/>
      <c r="BJ237" s="130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130"/>
      <c r="CB237" s="130"/>
      <c r="CC237" s="130"/>
      <c r="CD237" s="130"/>
      <c r="CE237" s="130"/>
      <c r="CF237" s="130"/>
      <c r="CG237" s="130"/>
      <c r="CH237" s="130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130"/>
      <c r="CZ237" s="130"/>
      <c r="DA237" s="130"/>
      <c r="DB237" s="130"/>
      <c r="DC237" s="130"/>
      <c r="DD237" s="130"/>
      <c r="DE237" s="130"/>
      <c r="DF237" s="130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3"/>
      <c r="DR237" s="3"/>
      <c r="DS237" s="3"/>
      <c r="DT237" s="3"/>
      <c r="DU237" s="3"/>
      <c r="DV237" s="3"/>
      <c r="DW237" s="130"/>
      <c r="DX237" s="130"/>
      <c r="DY237" s="130"/>
      <c r="DZ237" s="130"/>
      <c r="EA237" s="130"/>
      <c r="EB237" s="130"/>
      <c r="EC237" s="130"/>
      <c r="ED237" s="130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3"/>
      <c r="EP237" s="3"/>
      <c r="EQ237" s="3"/>
      <c r="ER237" s="3"/>
      <c r="ES237" s="3"/>
      <c r="ET237" s="3"/>
      <c r="EU237" s="130"/>
      <c r="EV237" s="130"/>
      <c r="EW237" s="130"/>
      <c r="EX237" s="130"/>
      <c r="EY237" s="130"/>
      <c r="EZ237" s="130"/>
      <c r="FA237" s="130"/>
      <c r="FB237" s="130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3"/>
      <c r="FN237" s="3"/>
      <c r="FO237" s="3"/>
      <c r="FP237" s="3"/>
      <c r="FQ237" s="3"/>
      <c r="FR237" s="3"/>
      <c r="FS237" s="130"/>
      <c r="FT237" s="130"/>
      <c r="FU237" s="130"/>
      <c r="FV237" s="130"/>
      <c r="FW237" s="130"/>
      <c r="FX237" s="130"/>
      <c r="FY237" s="130"/>
      <c r="FZ237" s="130"/>
      <c r="GA237" s="3"/>
      <c r="GB237" s="3"/>
      <c r="GC237" s="3"/>
      <c r="GD237" s="3"/>
      <c r="GE237" s="3"/>
      <c r="GF237" s="3"/>
    </row>
    <row r="238" spans="1:188" s="125" customFormat="1">
      <c r="A238" s="16">
        <v>70</v>
      </c>
      <c r="B238" s="29">
        <v>43081</v>
      </c>
      <c r="C238" s="18"/>
      <c r="D238" s="19" t="s">
        <v>1169</v>
      </c>
      <c r="E238" s="20" t="s">
        <v>357</v>
      </c>
      <c r="F238" s="82" t="s">
        <v>358</v>
      </c>
      <c r="G238" s="58">
        <v>1710</v>
      </c>
      <c r="H238" s="121">
        <v>3180600</v>
      </c>
      <c r="I238" s="24">
        <v>3029143</v>
      </c>
      <c r="J238" s="24"/>
      <c r="K238" s="24">
        <f t="shared" si="19"/>
        <v>3029143</v>
      </c>
      <c r="L238" s="123"/>
      <c r="M238" s="24">
        <f t="shared" si="20"/>
        <v>0</v>
      </c>
      <c r="N238" s="129">
        <f t="shared" si="21"/>
        <v>3029143</v>
      </c>
      <c r="O238" s="107"/>
      <c r="AE238" s="167"/>
      <c r="AF238" s="167"/>
      <c r="AG238" s="167"/>
      <c r="AH238" s="167"/>
      <c r="AI238" s="167"/>
      <c r="AJ238" s="167"/>
      <c r="AK238" s="167"/>
      <c r="AL238" s="167"/>
      <c r="BC238" s="167"/>
      <c r="BD238" s="167"/>
      <c r="BE238" s="167"/>
      <c r="BF238" s="167"/>
      <c r="BG238" s="167"/>
      <c r="BH238" s="167"/>
      <c r="BI238" s="167"/>
      <c r="BJ238" s="167"/>
      <c r="CA238" s="167"/>
      <c r="CB238" s="167"/>
      <c r="CC238" s="167"/>
      <c r="CD238" s="167"/>
      <c r="CE238" s="167"/>
      <c r="CF238" s="167"/>
      <c r="CG238" s="167"/>
      <c r="CH238" s="167"/>
      <c r="CY238" s="167"/>
      <c r="CZ238" s="167"/>
      <c r="DA238" s="167"/>
      <c r="DB238" s="167"/>
      <c r="DC238" s="167"/>
      <c r="DD238" s="167"/>
      <c r="DE238" s="167"/>
      <c r="DF238" s="167"/>
      <c r="DW238" s="167"/>
      <c r="DX238" s="167"/>
      <c r="DY238" s="167"/>
      <c r="DZ238" s="167"/>
      <c r="EA238" s="167"/>
      <c r="EB238" s="167"/>
      <c r="EC238" s="167"/>
      <c r="ED238" s="167"/>
      <c r="EU238" s="167"/>
      <c r="EV238" s="167"/>
      <c r="EW238" s="167"/>
      <c r="EX238" s="167"/>
      <c r="EY238" s="167"/>
      <c r="EZ238" s="167"/>
      <c r="FA238" s="167"/>
      <c r="FB238" s="167"/>
      <c r="FS238" s="167"/>
      <c r="FT238" s="167"/>
      <c r="FU238" s="167"/>
      <c r="FV238" s="167"/>
      <c r="FW238" s="167"/>
      <c r="FX238" s="167"/>
      <c r="FY238" s="167"/>
      <c r="FZ238" s="167"/>
    </row>
    <row r="239" spans="1:188" s="125" customFormat="1">
      <c r="A239" s="16">
        <v>71</v>
      </c>
      <c r="B239" s="29">
        <v>43067</v>
      </c>
      <c r="C239" s="18"/>
      <c r="D239" s="19" t="s">
        <v>1179</v>
      </c>
      <c r="E239" s="20" t="s">
        <v>424</v>
      </c>
      <c r="F239" s="82" t="s">
        <v>425</v>
      </c>
      <c r="G239" s="58">
        <v>1709</v>
      </c>
      <c r="H239" s="121">
        <v>3310800</v>
      </c>
      <c r="I239" s="24">
        <v>3153143</v>
      </c>
      <c r="J239" s="24"/>
      <c r="K239" s="24">
        <f t="shared" si="19"/>
        <v>3153143</v>
      </c>
      <c r="L239" s="123"/>
      <c r="M239" s="24">
        <f t="shared" si="20"/>
        <v>0</v>
      </c>
      <c r="N239" s="129">
        <f t="shared" si="21"/>
        <v>3153143</v>
      </c>
      <c r="O239" s="126"/>
      <c r="V239" s="187"/>
      <c r="W239" s="188"/>
      <c r="AC239" s="187"/>
      <c r="AD239" s="188"/>
      <c r="AE239" s="189"/>
      <c r="AF239" s="190"/>
      <c r="AG239" s="191"/>
      <c r="AH239" s="191"/>
      <c r="AI239" s="192"/>
      <c r="AJ239" s="182"/>
      <c r="AK239" s="183"/>
      <c r="AL239" s="183"/>
      <c r="AN239" s="184"/>
      <c r="AO239" s="185"/>
      <c r="AP239" s="186"/>
      <c r="BA239" s="187"/>
      <c r="BB239" s="188"/>
      <c r="BC239" s="189"/>
      <c r="BD239" s="190"/>
      <c r="BE239" s="191"/>
      <c r="BF239" s="191"/>
      <c r="BG239" s="192"/>
      <c r="BH239" s="182"/>
      <c r="BI239" s="183"/>
      <c r="BJ239" s="183"/>
      <c r="BL239" s="184"/>
      <c r="BM239" s="185"/>
      <c r="BN239" s="186"/>
      <c r="BY239" s="187"/>
      <c r="BZ239" s="188"/>
      <c r="CA239" s="189"/>
      <c r="CB239" s="190"/>
      <c r="CC239" s="191"/>
      <c r="CD239" s="191"/>
      <c r="CE239" s="192"/>
      <c r="CF239" s="182"/>
      <c r="CG239" s="183"/>
      <c r="CH239" s="183"/>
      <c r="CJ239" s="184"/>
      <c r="CK239" s="185"/>
      <c r="CL239" s="186"/>
      <c r="CW239" s="187"/>
      <c r="CX239" s="188"/>
      <c r="CY239" s="189"/>
      <c r="CZ239" s="190"/>
      <c r="DA239" s="191"/>
      <c r="DB239" s="191"/>
      <c r="DC239" s="192"/>
      <c r="DD239" s="182"/>
      <c r="DE239" s="183"/>
      <c r="DF239" s="183"/>
      <c r="DH239" s="184"/>
      <c r="DI239" s="185"/>
      <c r="DJ239" s="186"/>
      <c r="DU239" s="187"/>
      <c r="DV239" s="188"/>
      <c r="DW239" s="189"/>
      <c r="DX239" s="190"/>
      <c r="DY239" s="191"/>
      <c r="DZ239" s="191"/>
      <c r="EA239" s="192"/>
      <c r="EB239" s="182"/>
      <c r="EC239" s="183"/>
      <c r="ED239" s="183"/>
      <c r="EF239" s="184"/>
      <c r="EG239" s="185"/>
      <c r="EH239" s="186"/>
      <c r="ES239" s="187"/>
      <c r="ET239" s="188"/>
      <c r="EU239" s="189"/>
      <c r="EV239" s="190"/>
      <c r="EW239" s="191"/>
      <c r="EX239" s="191"/>
      <c r="EY239" s="192"/>
      <c r="EZ239" s="182"/>
      <c r="FA239" s="183"/>
      <c r="FB239" s="183"/>
      <c r="FD239" s="184"/>
      <c r="FE239" s="185"/>
      <c r="FF239" s="186"/>
      <c r="FQ239" s="187"/>
      <c r="FR239" s="188"/>
      <c r="FS239" s="189"/>
      <c r="FT239" s="190"/>
      <c r="FU239" s="191"/>
      <c r="FV239" s="191"/>
      <c r="FW239" s="192"/>
      <c r="FX239" s="182"/>
      <c r="FY239" s="183"/>
      <c r="FZ239" s="183"/>
      <c r="GB239" s="184"/>
      <c r="GC239" s="185"/>
      <c r="GD239" s="186"/>
    </row>
    <row r="240" spans="1:188" s="125" customFormat="1">
      <c r="A240" s="16">
        <v>72</v>
      </c>
      <c r="B240" s="17">
        <v>43094</v>
      </c>
      <c r="C240" s="18"/>
      <c r="D240" s="19" t="s">
        <v>1179</v>
      </c>
      <c r="E240" s="20" t="s">
        <v>424</v>
      </c>
      <c r="F240" s="168" t="s">
        <v>426</v>
      </c>
      <c r="G240" s="63">
        <v>1710</v>
      </c>
      <c r="H240" s="121">
        <v>3310800</v>
      </c>
      <c r="I240" s="24">
        <v>3153143</v>
      </c>
      <c r="J240" s="24"/>
      <c r="K240" s="24">
        <f t="shared" si="19"/>
        <v>3153143</v>
      </c>
      <c r="L240" s="123"/>
      <c r="M240" s="24">
        <f t="shared" si="20"/>
        <v>0</v>
      </c>
      <c r="N240" s="129">
        <f t="shared" si="21"/>
        <v>3153143</v>
      </c>
      <c r="O240" s="108"/>
      <c r="AE240" s="167"/>
      <c r="AF240" s="167"/>
      <c r="AG240" s="167"/>
      <c r="AH240" s="167"/>
      <c r="AI240" s="167"/>
      <c r="AJ240" s="167"/>
      <c r="AK240" s="167"/>
      <c r="AL240" s="167"/>
      <c r="BC240" s="167"/>
      <c r="BD240" s="167"/>
      <c r="BE240" s="167"/>
      <c r="BF240" s="167"/>
      <c r="BG240" s="167"/>
      <c r="BH240" s="167"/>
      <c r="BI240" s="167"/>
      <c r="BJ240" s="167"/>
      <c r="CA240" s="167"/>
      <c r="CB240" s="167"/>
      <c r="CC240" s="167"/>
      <c r="CD240" s="167"/>
      <c r="CE240" s="167"/>
      <c r="CF240" s="167"/>
      <c r="CG240" s="167"/>
      <c r="CH240" s="167"/>
      <c r="CY240" s="167"/>
      <c r="CZ240" s="167"/>
      <c r="DA240" s="167"/>
      <c r="DB240" s="167"/>
      <c r="DC240" s="167"/>
      <c r="DD240" s="167"/>
      <c r="DE240" s="167"/>
      <c r="DF240" s="167"/>
      <c r="DW240" s="167"/>
      <c r="DX240" s="167"/>
      <c r="DY240" s="167"/>
      <c r="DZ240" s="167"/>
      <c r="EA240" s="167"/>
      <c r="EB240" s="167"/>
      <c r="EC240" s="167"/>
      <c r="ED240" s="167"/>
      <c r="EU240" s="167"/>
      <c r="EV240" s="167"/>
      <c r="EW240" s="167"/>
      <c r="EX240" s="167"/>
      <c r="EY240" s="167"/>
      <c r="EZ240" s="167"/>
      <c r="FA240" s="167"/>
      <c r="FB240" s="167"/>
      <c r="FS240" s="167"/>
      <c r="FT240" s="167"/>
      <c r="FU240" s="167"/>
      <c r="FV240" s="167"/>
      <c r="FW240" s="167"/>
      <c r="FX240" s="167"/>
      <c r="FY240" s="167"/>
      <c r="FZ240" s="167"/>
    </row>
    <row r="241" spans="1:188" s="125" customFormat="1">
      <c r="A241" s="16">
        <v>73</v>
      </c>
      <c r="B241" s="17">
        <v>43066</v>
      </c>
      <c r="C241" s="18"/>
      <c r="D241" s="19" t="s">
        <v>1180</v>
      </c>
      <c r="E241" s="20" t="s">
        <v>420</v>
      </c>
      <c r="F241" s="168" t="s">
        <v>421</v>
      </c>
      <c r="G241" s="63">
        <v>1704</v>
      </c>
      <c r="H241" s="121">
        <v>3630000</v>
      </c>
      <c r="I241" s="24">
        <v>3457143</v>
      </c>
      <c r="J241" s="24"/>
      <c r="K241" s="24">
        <f t="shared" si="19"/>
        <v>3457143</v>
      </c>
      <c r="L241" s="123"/>
      <c r="M241" s="24">
        <f t="shared" si="20"/>
        <v>0</v>
      </c>
      <c r="N241" s="129">
        <f t="shared" si="21"/>
        <v>3457143</v>
      </c>
      <c r="O241" s="85"/>
      <c r="AE241" s="167"/>
      <c r="AF241" s="167"/>
      <c r="AG241" s="167"/>
      <c r="AH241" s="167"/>
      <c r="AI241" s="167"/>
      <c r="AJ241" s="167"/>
      <c r="AK241" s="167"/>
      <c r="AL241" s="167"/>
      <c r="BC241" s="167"/>
      <c r="BD241" s="167"/>
      <c r="BE241" s="167"/>
      <c r="BF241" s="167"/>
      <c r="BG241" s="167"/>
      <c r="BH241" s="167"/>
      <c r="BI241" s="167"/>
      <c r="BJ241" s="167"/>
      <c r="CA241" s="167"/>
      <c r="CB241" s="167"/>
      <c r="CC241" s="167"/>
      <c r="CD241" s="167"/>
      <c r="CE241" s="167"/>
      <c r="CF241" s="167"/>
      <c r="CG241" s="167"/>
      <c r="CH241" s="167"/>
      <c r="CY241" s="167"/>
      <c r="CZ241" s="167"/>
      <c r="DA241" s="167"/>
      <c r="DB241" s="167"/>
      <c r="DC241" s="167"/>
      <c r="DD241" s="167"/>
      <c r="DE241" s="167"/>
      <c r="DF241" s="167"/>
      <c r="DW241" s="167"/>
      <c r="DX241" s="167"/>
      <c r="DY241" s="167"/>
      <c r="DZ241" s="167"/>
      <c r="EA241" s="167"/>
      <c r="EB241" s="167"/>
      <c r="EC241" s="167"/>
      <c r="ED241" s="167"/>
      <c r="EU241" s="167"/>
      <c r="EV241" s="167"/>
      <c r="EW241" s="167"/>
      <c r="EX241" s="167"/>
      <c r="EY241" s="167"/>
      <c r="EZ241" s="167"/>
      <c r="FA241" s="167"/>
      <c r="FB241" s="167"/>
      <c r="FS241" s="167"/>
      <c r="FT241" s="167"/>
      <c r="FU241" s="167"/>
      <c r="FV241" s="167"/>
      <c r="FW241" s="167"/>
      <c r="FX241" s="167"/>
      <c r="FY241" s="167"/>
      <c r="FZ241" s="167"/>
    </row>
    <row r="242" spans="1:188" s="125" customFormat="1">
      <c r="A242" s="16">
        <v>74</v>
      </c>
      <c r="B242" s="56">
        <v>43062</v>
      </c>
      <c r="C242" s="18"/>
      <c r="D242" s="19" t="s">
        <v>1180</v>
      </c>
      <c r="E242" s="20" t="s">
        <v>420</v>
      </c>
      <c r="F242" s="168" t="s">
        <v>422</v>
      </c>
      <c r="G242" s="63">
        <v>1707</v>
      </c>
      <c r="H242" s="121">
        <v>3743000</v>
      </c>
      <c r="I242" s="24">
        <v>3564762</v>
      </c>
      <c r="J242" s="24"/>
      <c r="K242" s="24">
        <f t="shared" si="19"/>
        <v>3564762</v>
      </c>
      <c r="L242" s="123"/>
      <c r="M242" s="24">
        <f t="shared" si="20"/>
        <v>0</v>
      </c>
      <c r="N242" s="124">
        <f t="shared" si="21"/>
        <v>3564762</v>
      </c>
      <c r="O242" s="85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130"/>
      <c r="AF242" s="130"/>
      <c r="AG242" s="130"/>
      <c r="AH242" s="130"/>
      <c r="AI242" s="130"/>
      <c r="AJ242" s="130"/>
      <c r="AK242" s="130"/>
      <c r="AL242" s="130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130"/>
      <c r="BD242" s="130"/>
      <c r="BE242" s="130"/>
      <c r="BF242" s="130"/>
      <c r="BG242" s="130"/>
      <c r="BH242" s="130"/>
      <c r="BI242" s="130"/>
      <c r="BJ242" s="130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130"/>
      <c r="CB242" s="130"/>
      <c r="CC242" s="130"/>
      <c r="CD242" s="130"/>
      <c r="CE242" s="130"/>
      <c r="CF242" s="130"/>
      <c r="CG242" s="130"/>
      <c r="CH242" s="130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  <c r="CX242" s="3"/>
      <c r="CY242" s="130"/>
      <c r="CZ242" s="130"/>
      <c r="DA242" s="130"/>
      <c r="DB242" s="130"/>
      <c r="DC242" s="130"/>
      <c r="DD242" s="130"/>
      <c r="DE242" s="130"/>
      <c r="DF242" s="130"/>
      <c r="DG242" s="3"/>
      <c r="DH242" s="3"/>
      <c r="DI242" s="3"/>
      <c r="DJ242" s="3"/>
      <c r="DK242" s="3"/>
      <c r="DL242" s="3"/>
      <c r="DM242" s="3"/>
      <c r="DN242" s="3"/>
      <c r="DO242" s="3"/>
      <c r="DP242" s="3"/>
      <c r="DQ242" s="3"/>
      <c r="DR242" s="3"/>
      <c r="DS242" s="3"/>
      <c r="DT242" s="3"/>
      <c r="DU242" s="3"/>
      <c r="DV242" s="3"/>
      <c r="DW242" s="130"/>
      <c r="DX242" s="130"/>
      <c r="DY242" s="130"/>
      <c r="DZ242" s="130"/>
      <c r="EA242" s="130"/>
      <c r="EB242" s="130"/>
      <c r="EC242" s="130"/>
      <c r="ED242" s="130"/>
      <c r="EE242" s="3"/>
      <c r="EF242" s="3"/>
      <c r="EG242" s="3"/>
      <c r="EH242" s="3"/>
      <c r="EI242" s="3"/>
      <c r="EJ242" s="3"/>
      <c r="EK242" s="3"/>
      <c r="EL242" s="3"/>
      <c r="EM242" s="3"/>
      <c r="EN242" s="3"/>
      <c r="EO242" s="3"/>
      <c r="EP242" s="3"/>
      <c r="EQ242" s="3"/>
      <c r="ER242" s="3"/>
      <c r="ES242" s="3"/>
      <c r="ET242" s="3"/>
      <c r="EU242" s="130"/>
      <c r="EV242" s="130"/>
      <c r="EW242" s="130"/>
      <c r="EX242" s="130"/>
      <c r="EY242" s="130"/>
      <c r="EZ242" s="130"/>
      <c r="FA242" s="130"/>
      <c r="FB242" s="130"/>
      <c r="FC242" s="3"/>
      <c r="FD242" s="3"/>
      <c r="FE242" s="3"/>
      <c r="FF242" s="3"/>
      <c r="FG242" s="3"/>
      <c r="FH242" s="3"/>
      <c r="FI242" s="3"/>
      <c r="FJ242" s="3"/>
      <c r="FK242" s="3"/>
      <c r="FL242" s="3"/>
      <c r="FM242" s="3"/>
      <c r="FN242" s="3"/>
      <c r="FO242" s="3"/>
      <c r="FP242" s="3"/>
      <c r="FQ242" s="3"/>
      <c r="FR242" s="3"/>
      <c r="FS242" s="130"/>
      <c r="FT242" s="130"/>
      <c r="FU242" s="130"/>
      <c r="FV242" s="130"/>
      <c r="FW242" s="130"/>
      <c r="FX242" s="130"/>
      <c r="FY242" s="130"/>
      <c r="FZ242" s="130"/>
      <c r="GA242" s="3"/>
      <c r="GB242" s="3"/>
      <c r="GC242" s="3"/>
      <c r="GD242" s="3"/>
      <c r="GE242" s="3"/>
      <c r="GF242" s="3"/>
    </row>
    <row r="243" spans="1:188" s="125" customFormat="1">
      <c r="A243" s="16">
        <v>75</v>
      </c>
      <c r="B243" s="17">
        <v>43084</v>
      </c>
      <c r="C243" s="18"/>
      <c r="D243" s="19" t="s">
        <v>1181</v>
      </c>
      <c r="E243" s="20" t="s">
        <v>360</v>
      </c>
      <c r="F243" s="120" t="s">
        <v>361</v>
      </c>
      <c r="G243" s="63">
        <v>1707</v>
      </c>
      <c r="H243" s="121">
        <v>3572000</v>
      </c>
      <c r="I243" s="24">
        <v>3401905</v>
      </c>
      <c r="J243" s="24"/>
      <c r="K243" s="24">
        <f t="shared" si="19"/>
        <v>3401905</v>
      </c>
      <c r="L243" s="123"/>
      <c r="M243" s="24">
        <f t="shared" si="20"/>
        <v>0</v>
      </c>
      <c r="N243" s="129">
        <f t="shared" si="21"/>
        <v>3401905</v>
      </c>
      <c r="O243" s="85"/>
      <c r="AE243" s="167"/>
      <c r="AF243" s="167"/>
      <c r="AG243" s="167"/>
      <c r="AH243" s="167"/>
      <c r="AI243" s="167"/>
      <c r="AJ243" s="167"/>
      <c r="AK243" s="167"/>
      <c r="AL243" s="167"/>
      <c r="BC243" s="167"/>
      <c r="BD243" s="167"/>
      <c r="BE243" s="167"/>
      <c r="BF243" s="167"/>
      <c r="BG243" s="167"/>
      <c r="BH243" s="167"/>
      <c r="BI243" s="167"/>
      <c r="BJ243" s="167"/>
      <c r="CA243" s="167"/>
      <c r="CB243" s="167"/>
      <c r="CC243" s="167"/>
      <c r="CD243" s="167"/>
      <c r="CE243" s="167"/>
      <c r="CF243" s="167"/>
      <c r="CG243" s="167"/>
      <c r="CH243" s="167"/>
      <c r="CY243" s="167"/>
      <c r="CZ243" s="167"/>
      <c r="DA243" s="167"/>
      <c r="DB243" s="167"/>
      <c r="DC243" s="167"/>
      <c r="DD243" s="167"/>
      <c r="DE243" s="167"/>
      <c r="DF243" s="167"/>
      <c r="DW243" s="167"/>
      <c r="DX243" s="167"/>
      <c r="DY243" s="167"/>
      <c r="DZ243" s="167"/>
      <c r="EA243" s="167"/>
      <c r="EB243" s="167"/>
      <c r="EC243" s="167"/>
      <c r="ED243" s="167"/>
      <c r="EU243" s="167"/>
      <c r="EV243" s="167"/>
      <c r="EW243" s="167"/>
      <c r="EX243" s="167"/>
      <c r="EY243" s="167"/>
      <c r="EZ243" s="167"/>
      <c r="FA243" s="167"/>
      <c r="FB243" s="167"/>
      <c r="FS243" s="167"/>
      <c r="FT243" s="167"/>
      <c r="FU243" s="167"/>
      <c r="FV243" s="167"/>
      <c r="FW243" s="167"/>
      <c r="FX243" s="167"/>
      <c r="FY243" s="167"/>
      <c r="FZ243" s="167"/>
    </row>
    <row r="244" spans="1:188" s="125" customFormat="1">
      <c r="A244" s="16">
        <v>76</v>
      </c>
      <c r="B244" s="29">
        <v>43089</v>
      </c>
      <c r="C244" s="18"/>
      <c r="D244" s="19" t="s">
        <v>1181</v>
      </c>
      <c r="E244" s="20" t="s">
        <v>360</v>
      </c>
      <c r="F244" s="62" t="s">
        <v>362</v>
      </c>
      <c r="G244" s="63">
        <v>1707</v>
      </c>
      <c r="H244" s="121">
        <v>3572000</v>
      </c>
      <c r="I244" s="24">
        <v>3401905</v>
      </c>
      <c r="J244" s="24"/>
      <c r="K244" s="24">
        <f t="shared" si="19"/>
        <v>3401905</v>
      </c>
      <c r="L244" s="123"/>
      <c r="M244" s="24">
        <f t="shared" si="20"/>
        <v>0</v>
      </c>
      <c r="N244" s="129">
        <f t="shared" si="21"/>
        <v>3401905</v>
      </c>
      <c r="O244" s="87"/>
      <c r="AE244" s="167"/>
      <c r="AF244" s="167"/>
      <c r="AG244" s="167"/>
      <c r="AH244" s="167"/>
      <c r="AI244" s="167"/>
      <c r="AJ244" s="167"/>
      <c r="AK244" s="167"/>
      <c r="AL244" s="167"/>
      <c r="BC244" s="167"/>
      <c r="BD244" s="167"/>
      <c r="BE244" s="167"/>
      <c r="BF244" s="167"/>
      <c r="BG244" s="167"/>
      <c r="BH244" s="167"/>
      <c r="BI244" s="167"/>
      <c r="BJ244" s="167"/>
      <c r="CA244" s="167"/>
      <c r="CB244" s="167"/>
      <c r="CC244" s="167"/>
      <c r="CD244" s="167"/>
      <c r="CE244" s="167"/>
      <c r="CF244" s="167"/>
      <c r="CG244" s="167"/>
      <c r="CH244" s="167"/>
      <c r="CY244" s="167"/>
      <c r="CZ244" s="167"/>
      <c r="DA244" s="167"/>
      <c r="DB244" s="167"/>
      <c r="DC244" s="167"/>
      <c r="DD244" s="167"/>
      <c r="DE244" s="167"/>
      <c r="DF244" s="167"/>
      <c r="DW244" s="167"/>
      <c r="DX244" s="167"/>
      <c r="DY244" s="167"/>
      <c r="DZ244" s="167"/>
      <c r="EA244" s="167"/>
      <c r="EB244" s="167"/>
      <c r="EC244" s="167"/>
      <c r="ED244" s="167"/>
      <c r="EU244" s="167"/>
      <c r="EV244" s="167"/>
      <c r="EW244" s="167"/>
      <c r="EX244" s="167"/>
      <c r="EY244" s="167"/>
      <c r="EZ244" s="167"/>
      <c r="FA244" s="167"/>
      <c r="FB244" s="167"/>
      <c r="FS244" s="167"/>
      <c r="FT244" s="167"/>
      <c r="FU244" s="167"/>
      <c r="FV244" s="167"/>
      <c r="FW244" s="167"/>
      <c r="FX244" s="167"/>
      <c r="FY244" s="167"/>
      <c r="FZ244" s="167"/>
    </row>
    <row r="245" spans="1:188" s="125" customFormat="1">
      <c r="A245" s="16">
        <v>77</v>
      </c>
      <c r="B245" s="29">
        <v>43098</v>
      </c>
      <c r="C245" s="18"/>
      <c r="D245" s="19" t="s">
        <v>1181</v>
      </c>
      <c r="E245" s="20" t="s">
        <v>363</v>
      </c>
      <c r="F245" s="62" t="s">
        <v>366</v>
      </c>
      <c r="G245" s="63">
        <v>1709</v>
      </c>
      <c r="H245" s="121">
        <v>3478000</v>
      </c>
      <c r="I245" s="24">
        <v>3312381</v>
      </c>
      <c r="J245" s="24"/>
      <c r="K245" s="24">
        <f t="shared" si="19"/>
        <v>3312381</v>
      </c>
      <c r="L245" s="123"/>
      <c r="M245" s="24">
        <f t="shared" si="20"/>
        <v>0</v>
      </c>
      <c r="N245" s="129">
        <f t="shared" si="21"/>
        <v>3312381</v>
      </c>
      <c r="O245" s="87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130"/>
      <c r="AF245" s="130"/>
      <c r="AG245" s="130"/>
      <c r="AH245" s="130"/>
      <c r="AI245" s="130"/>
      <c r="AJ245" s="130"/>
      <c r="AK245" s="130"/>
      <c r="AL245" s="130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130"/>
      <c r="BD245" s="130"/>
      <c r="BE245" s="130"/>
      <c r="BF245" s="130"/>
      <c r="BG245" s="130"/>
      <c r="BH245" s="130"/>
      <c r="BI245" s="130"/>
      <c r="BJ245" s="130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130"/>
      <c r="CB245" s="130"/>
      <c r="CC245" s="130"/>
      <c r="CD245" s="130"/>
      <c r="CE245" s="130"/>
      <c r="CF245" s="130"/>
      <c r="CG245" s="130"/>
      <c r="CH245" s="130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  <c r="CX245" s="3"/>
      <c r="CY245" s="130"/>
      <c r="CZ245" s="130"/>
      <c r="DA245" s="130"/>
      <c r="DB245" s="130"/>
      <c r="DC245" s="130"/>
      <c r="DD245" s="130"/>
      <c r="DE245" s="130"/>
      <c r="DF245" s="130"/>
      <c r="DG245" s="3"/>
      <c r="DH245" s="3"/>
      <c r="DI245" s="3"/>
      <c r="DJ245" s="3"/>
      <c r="DK245" s="3"/>
      <c r="DL245" s="3"/>
      <c r="DM245" s="3"/>
      <c r="DN245" s="3"/>
      <c r="DO245" s="3"/>
      <c r="DP245" s="3"/>
      <c r="DQ245" s="3"/>
      <c r="DR245" s="3"/>
      <c r="DS245" s="3"/>
      <c r="DT245" s="3"/>
      <c r="DU245" s="3"/>
      <c r="DV245" s="3"/>
      <c r="DW245" s="130"/>
      <c r="DX245" s="130"/>
      <c r="DY245" s="130"/>
      <c r="DZ245" s="130"/>
      <c r="EA245" s="130"/>
      <c r="EB245" s="130"/>
      <c r="EC245" s="130"/>
      <c r="ED245" s="130"/>
      <c r="EE245" s="3"/>
      <c r="EF245" s="3"/>
      <c r="EG245" s="3"/>
      <c r="EH245" s="3"/>
      <c r="EI245" s="3"/>
      <c r="EJ245" s="3"/>
      <c r="EK245" s="3"/>
      <c r="EL245" s="3"/>
      <c r="EM245" s="3"/>
      <c r="EN245" s="3"/>
      <c r="EO245" s="3"/>
      <c r="EP245" s="3"/>
      <c r="EQ245" s="3"/>
      <c r="ER245" s="3"/>
      <c r="ES245" s="3"/>
      <c r="ET245" s="3"/>
      <c r="EU245" s="130"/>
      <c r="EV245" s="130"/>
      <c r="EW245" s="130"/>
      <c r="EX245" s="130"/>
      <c r="EY245" s="130"/>
      <c r="EZ245" s="130"/>
      <c r="FA245" s="130"/>
      <c r="FB245" s="130"/>
      <c r="FC245" s="3"/>
      <c r="FD245" s="3"/>
      <c r="FE245" s="3"/>
      <c r="FF245" s="3"/>
      <c r="FG245" s="3"/>
      <c r="FH245" s="3"/>
      <c r="FI245" s="3"/>
      <c r="FJ245" s="3"/>
      <c r="FK245" s="3"/>
      <c r="FL245" s="3"/>
      <c r="FM245" s="3"/>
      <c r="FN245" s="3"/>
      <c r="FO245" s="3"/>
      <c r="FP245" s="3"/>
      <c r="FQ245" s="3"/>
      <c r="FR245" s="3"/>
      <c r="FS245" s="130"/>
      <c r="FT245" s="130"/>
      <c r="FU245" s="130"/>
      <c r="FV245" s="130"/>
      <c r="FW245" s="130"/>
      <c r="FX245" s="130"/>
      <c r="FY245" s="130"/>
      <c r="FZ245" s="130"/>
      <c r="GA245" s="3"/>
      <c r="GB245" s="3"/>
      <c r="GC245" s="3"/>
      <c r="GD245" s="3"/>
      <c r="GE245" s="3"/>
      <c r="GF245" s="3"/>
    </row>
    <row r="246" spans="1:188" s="125" customFormat="1">
      <c r="A246" s="16">
        <v>78</v>
      </c>
      <c r="B246" s="29">
        <v>43118</v>
      </c>
      <c r="C246" s="18"/>
      <c r="D246" s="19" t="s">
        <v>1181</v>
      </c>
      <c r="E246" s="20" t="s">
        <v>363</v>
      </c>
      <c r="F246" s="82" t="s">
        <v>1182</v>
      </c>
      <c r="G246" s="63">
        <v>1711</v>
      </c>
      <c r="H246" s="121">
        <f>100000+3478000</f>
        <v>3578000</v>
      </c>
      <c r="I246" s="24"/>
      <c r="J246" s="24">
        <f>H246/1.05</f>
        <v>3407619.0476190476</v>
      </c>
      <c r="K246" s="24">
        <f t="shared" si="19"/>
        <v>3407619.0476190476</v>
      </c>
      <c r="L246" s="123"/>
      <c r="M246" s="24">
        <f t="shared" si="20"/>
        <v>0</v>
      </c>
      <c r="N246" s="129">
        <f t="shared" si="21"/>
        <v>3407619.0476190476</v>
      </c>
      <c r="O246" s="107"/>
      <c r="AE246" s="167"/>
      <c r="AF246" s="167"/>
      <c r="AG246" s="167"/>
      <c r="AH246" s="167"/>
      <c r="AI246" s="167"/>
      <c r="AJ246" s="167"/>
      <c r="AK246" s="167"/>
      <c r="AL246" s="167"/>
      <c r="BC246" s="167"/>
      <c r="BD246" s="167"/>
      <c r="BE246" s="167"/>
      <c r="BF246" s="167"/>
      <c r="BG246" s="167"/>
      <c r="BH246" s="167"/>
      <c r="BI246" s="167"/>
      <c r="BJ246" s="167"/>
      <c r="CA246" s="167"/>
      <c r="CB246" s="167"/>
      <c r="CC246" s="167"/>
      <c r="CD246" s="167"/>
      <c r="CE246" s="167"/>
      <c r="CF246" s="167"/>
      <c r="CG246" s="167"/>
      <c r="CH246" s="167"/>
      <c r="CY246" s="167"/>
      <c r="CZ246" s="167"/>
      <c r="DA246" s="167"/>
      <c r="DB246" s="167"/>
      <c r="DC246" s="167"/>
      <c r="DD246" s="167"/>
      <c r="DE246" s="167"/>
      <c r="DF246" s="167"/>
      <c r="DW246" s="167"/>
      <c r="DX246" s="167"/>
      <c r="DY246" s="167"/>
      <c r="DZ246" s="167"/>
      <c r="EA246" s="167"/>
      <c r="EB246" s="167"/>
      <c r="EC246" s="167"/>
      <c r="ED246" s="167"/>
      <c r="EU246" s="167"/>
      <c r="EV246" s="167"/>
      <c r="EW246" s="167"/>
      <c r="EX246" s="167"/>
      <c r="EY246" s="167"/>
      <c r="EZ246" s="167"/>
      <c r="FA246" s="167"/>
      <c r="FB246" s="167"/>
      <c r="FS246" s="167"/>
      <c r="FT246" s="167"/>
      <c r="FU246" s="167"/>
      <c r="FV246" s="167"/>
      <c r="FW246" s="167"/>
      <c r="FX246" s="167"/>
      <c r="FY246" s="167"/>
      <c r="FZ246" s="167"/>
    </row>
    <row r="247" spans="1:188" s="125" customFormat="1">
      <c r="A247" s="16">
        <v>79</v>
      </c>
      <c r="B247" s="17">
        <v>43130</v>
      </c>
      <c r="C247" s="18"/>
      <c r="D247" s="19" t="s">
        <v>1181</v>
      </c>
      <c r="E247" s="20" t="s">
        <v>363</v>
      </c>
      <c r="F247" s="168" t="s">
        <v>1183</v>
      </c>
      <c r="G247" s="63">
        <v>1711</v>
      </c>
      <c r="H247" s="121">
        <f>100000+3478000</f>
        <v>3578000</v>
      </c>
      <c r="I247" s="24"/>
      <c r="J247" s="24">
        <f>H247/1.05</f>
        <v>3407619.0476190476</v>
      </c>
      <c r="K247" s="24">
        <f t="shared" si="19"/>
        <v>3407619.0476190476</v>
      </c>
      <c r="L247" s="123"/>
      <c r="M247" s="24">
        <f t="shared" si="20"/>
        <v>0</v>
      </c>
      <c r="N247" s="129">
        <f t="shared" si="21"/>
        <v>3407619.0476190476</v>
      </c>
      <c r="O247" s="107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130"/>
      <c r="AF247" s="130"/>
      <c r="AG247" s="130"/>
      <c r="AH247" s="130"/>
      <c r="AI247" s="130"/>
      <c r="AJ247" s="130"/>
      <c r="AK247" s="130"/>
      <c r="AL247" s="130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130"/>
      <c r="BD247" s="130"/>
      <c r="BE247" s="130"/>
      <c r="BF247" s="130"/>
      <c r="BG247" s="130"/>
      <c r="BH247" s="130"/>
      <c r="BI247" s="130"/>
      <c r="BJ247" s="130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130"/>
      <c r="CB247" s="130"/>
      <c r="CC247" s="130"/>
      <c r="CD247" s="130"/>
      <c r="CE247" s="130"/>
      <c r="CF247" s="130"/>
      <c r="CG247" s="130"/>
      <c r="CH247" s="130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  <c r="CX247" s="3"/>
      <c r="CY247" s="130"/>
      <c r="CZ247" s="130"/>
      <c r="DA247" s="130"/>
      <c r="DB247" s="130"/>
      <c r="DC247" s="130"/>
      <c r="DD247" s="130"/>
      <c r="DE247" s="130"/>
      <c r="DF247" s="130"/>
      <c r="DG247" s="3"/>
      <c r="DH247" s="3"/>
      <c r="DI247" s="3"/>
      <c r="DJ247" s="3"/>
      <c r="DK247" s="3"/>
      <c r="DL247" s="3"/>
      <c r="DM247" s="3"/>
      <c r="DN247" s="3"/>
      <c r="DO247" s="3"/>
      <c r="DP247" s="3"/>
      <c r="DQ247" s="3"/>
      <c r="DR247" s="3"/>
      <c r="DS247" s="3"/>
      <c r="DT247" s="3"/>
      <c r="DU247" s="3"/>
      <c r="DV247" s="3"/>
      <c r="DW247" s="130"/>
      <c r="DX247" s="130"/>
      <c r="DY247" s="130"/>
      <c r="DZ247" s="130"/>
      <c r="EA247" s="130"/>
      <c r="EB247" s="130"/>
      <c r="EC247" s="130"/>
      <c r="ED247" s="130"/>
      <c r="EE247" s="3"/>
      <c r="EF247" s="3"/>
      <c r="EG247" s="3"/>
      <c r="EH247" s="3"/>
      <c r="EI247" s="3"/>
      <c r="EJ247" s="3"/>
      <c r="EK247" s="3"/>
      <c r="EL247" s="3"/>
      <c r="EM247" s="3"/>
      <c r="EN247" s="3"/>
      <c r="EO247" s="3"/>
      <c r="EP247" s="3"/>
      <c r="EQ247" s="3"/>
      <c r="ER247" s="3"/>
      <c r="ES247" s="3"/>
      <c r="ET247" s="3"/>
      <c r="EU247" s="130"/>
      <c r="EV247" s="130"/>
      <c r="EW247" s="130"/>
      <c r="EX247" s="130"/>
      <c r="EY247" s="130"/>
      <c r="EZ247" s="130"/>
      <c r="FA247" s="130"/>
      <c r="FB247" s="130"/>
      <c r="FC247" s="3"/>
      <c r="FD247" s="3"/>
      <c r="FE247" s="3"/>
      <c r="FF247" s="3"/>
      <c r="FG247" s="3"/>
      <c r="FH247" s="3"/>
      <c r="FI247" s="3"/>
      <c r="FJ247" s="3"/>
      <c r="FK247" s="3"/>
      <c r="FL247" s="3"/>
      <c r="FM247" s="3"/>
      <c r="FN247" s="3"/>
      <c r="FO247" s="3"/>
      <c r="FP247" s="3"/>
      <c r="FQ247" s="3"/>
      <c r="FR247" s="3"/>
      <c r="FS247" s="130"/>
      <c r="FT247" s="130"/>
      <c r="FU247" s="130"/>
      <c r="FV247" s="130"/>
      <c r="FW247" s="130"/>
      <c r="FX247" s="130"/>
      <c r="FY247" s="130"/>
      <c r="FZ247" s="130"/>
      <c r="GA247" s="3"/>
      <c r="GB247" s="3"/>
      <c r="GC247" s="3"/>
      <c r="GD247" s="3"/>
      <c r="GE247" s="3"/>
      <c r="GF247" s="3"/>
    </row>
    <row r="248" spans="1:188" s="125" customFormat="1">
      <c r="A248" s="16">
        <v>80</v>
      </c>
      <c r="B248" s="29">
        <v>43129</v>
      </c>
      <c r="C248" s="18"/>
      <c r="D248" s="19" t="s">
        <v>1181</v>
      </c>
      <c r="E248" s="20" t="s">
        <v>363</v>
      </c>
      <c r="F248" s="82" t="s">
        <v>1184</v>
      </c>
      <c r="G248" s="58">
        <v>1711</v>
      </c>
      <c r="H248" s="121">
        <f>100000+3478000</f>
        <v>3578000</v>
      </c>
      <c r="I248" s="24"/>
      <c r="J248" s="24">
        <f>H248/1.05</f>
        <v>3407619.0476190476</v>
      </c>
      <c r="K248" s="24">
        <f t="shared" si="19"/>
        <v>3407619.0476190476</v>
      </c>
      <c r="L248" s="123"/>
      <c r="M248" s="24">
        <f t="shared" si="20"/>
        <v>0</v>
      </c>
      <c r="N248" s="129">
        <f t="shared" si="21"/>
        <v>3407619.0476190476</v>
      </c>
      <c r="O248" s="107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130"/>
      <c r="AF248" s="130"/>
      <c r="AG248" s="130"/>
      <c r="AH248" s="130"/>
      <c r="AI248" s="130"/>
      <c r="AJ248" s="130"/>
      <c r="AK248" s="130"/>
      <c r="AL248" s="130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130"/>
      <c r="BD248" s="130"/>
      <c r="BE248" s="130"/>
      <c r="BF248" s="130"/>
      <c r="BG248" s="130"/>
      <c r="BH248" s="130"/>
      <c r="BI248" s="130"/>
      <c r="BJ248" s="130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130"/>
      <c r="CB248" s="130"/>
      <c r="CC248" s="130"/>
      <c r="CD248" s="130"/>
      <c r="CE248" s="130"/>
      <c r="CF248" s="130"/>
      <c r="CG248" s="130"/>
      <c r="CH248" s="130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  <c r="CX248" s="3"/>
      <c r="CY248" s="130"/>
      <c r="CZ248" s="130"/>
      <c r="DA248" s="130"/>
      <c r="DB248" s="130"/>
      <c r="DC248" s="130"/>
      <c r="DD248" s="130"/>
      <c r="DE248" s="130"/>
      <c r="DF248" s="130"/>
      <c r="DG248" s="3"/>
      <c r="DH248" s="3"/>
      <c r="DI248" s="3"/>
      <c r="DJ248" s="3"/>
      <c r="DK248" s="3"/>
      <c r="DL248" s="3"/>
      <c r="DM248" s="3"/>
      <c r="DN248" s="3"/>
      <c r="DO248" s="3"/>
      <c r="DP248" s="3"/>
      <c r="DQ248" s="3"/>
      <c r="DR248" s="3"/>
      <c r="DS248" s="3"/>
      <c r="DT248" s="3"/>
      <c r="DU248" s="3"/>
      <c r="DV248" s="3"/>
      <c r="DW248" s="130"/>
      <c r="DX248" s="130"/>
      <c r="DY248" s="130"/>
      <c r="DZ248" s="130"/>
      <c r="EA248" s="130"/>
      <c r="EB248" s="130"/>
      <c r="EC248" s="130"/>
      <c r="ED248" s="130"/>
      <c r="EE248" s="3"/>
      <c r="EF248" s="3"/>
      <c r="EG248" s="3"/>
      <c r="EH248" s="3"/>
      <c r="EI248" s="3"/>
      <c r="EJ248" s="3"/>
      <c r="EK248" s="3"/>
      <c r="EL248" s="3"/>
      <c r="EM248" s="3"/>
      <c r="EN248" s="3"/>
      <c r="EO248" s="3"/>
      <c r="EP248" s="3"/>
      <c r="EQ248" s="3"/>
      <c r="ER248" s="3"/>
      <c r="ES248" s="3"/>
      <c r="ET248" s="3"/>
      <c r="EU248" s="130"/>
      <c r="EV248" s="130"/>
      <c r="EW248" s="130"/>
      <c r="EX248" s="130"/>
      <c r="EY248" s="130"/>
      <c r="EZ248" s="130"/>
      <c r="FA248" s="130"/>
      <c r="FB248" s="130"/>
      <c r="FC248" s="3"/>
      <c r="FD248" s="3"/>
      <c r="FE248" s="3"/>
      <c r="FF248" s="3"/>
      <c r="FG248" s="3"/>
      <c r="FH248" s="3"/>
      <c r="FI248" s="3"/>
      <c r="FJ248" s="3"/>
      <c r="FK248" s="3"/>
      <c r="FL248" s="3"/>
      <c r="FM248" s="3"/>
      <c r="FN248" s="3"/>
      <c r="FO248" s="3"/>
      <c r="FP248" s="3"/>
      <c r="FQ248" s="3"/>
      <c r="FR248" s="3"/>
      <c r="FS248" s="130"/>
      <c r="FT248" s="130"/>
      <c r="FU248" s="130"/>
      <c r="FV248" s="130"/>
      <c r="FW248" s="130"/>
      <c r="FX248" s="130"/>
      <c r="FY248" s="130"/>
      <c r="FZ248" s="130"/>
      <c r="GA248" s="3"/>
      <c r="GB248" s="3"/>
      <c r="GC248" s="3"/>
      <c r="GD248" s="3"/>
      <c r="GE248" s="3"/>
      <c r="GF248" s="3"/>
    </row>
    <row r="249" spans="1:188" s="125" customFormat="1">
      <c r="A249" s="16">
        <v>81</v>
      </c>
      <c r="B249" s="17">
        <v>43126</v>
      </c>
      <c r="C249" s="18"/>
      <c r="D249" s="19" t="s">
        <v>1181</v>
      </c>
      <c r="E249" s="20" t="s">
        <v>363</v>
      </c>
      <c r="F249" s="168" t="s">
        <v>1185</v>
      </c>
      <c r="G249" s="63">
        <v>1711</v>
      </c>
      <c r="H249" s="121">
        <f>100000+3478000</f>
        <v>3578000</v>
      </c>
      <c r="I249" s="24"/>
      <c r="J249" s="24">
        <f>H249/1.05</f>
        <v>3407619.0476190476</v>
      </c>
      <c r="K249" s="24">
        <f t="shared" si="19"/>
        <v>3407619.0476190476</v>
      </c>
      <c r="L249" s="123"/>
      <c r="M249" s="24">
        <f t="shared" si="20"/>
        <v>0</v>
      </c>
      <c r="N249" s="129">
        <f t="shared" si="21"/>
        <v>3407619.0476190476</v>
      </c>
      <c r="O249" s="107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130"/>
      <c r="AF249" s="130"/>
      <c r="AG249" s="130"/>
      <c r="AH249" s="130"/>
      <c r="AI249" s="130"/>
      <c r="AJ249" s="130"/>
      <c r="AK249" s="130"/>
      <c r="AL249" s="130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130"/>
      <c r="BD249" s="130"/>
      <c r="BE249" s="130"/>
      <c r="BF249" s="130"/>
      <c r="BG249" s="130"/>
      <c r="BH249" s="130"/>
      <c r="BI249" s="130"/>
      <c r="BJ249" s="130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130"/>
      <c r="CB249" s="130"/>
      <c r="CC249" s="130"/>
      <c r="CD249" s="130"/>
      <c r="CE249" s="130"/>
      <c r="CF249" s="130"/>
      <c r="CG249" s="130"/>
      <c r="CH249" s="130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130"/>
      <c r="CZ249" s="130"/>
      <c r="DA249" s="130"/>
      <c r="DB249" s="130"/>
      <c r="DC249" s="130"/>
      <c r="DD249" s="130"/>
      <c r="DE249" s="130"/>
      <c r="DF249" s="130"/>
      <c r="DG249" s="3"/>
      <c r="DH249" s="3"/>
      <c r="DI249" s="3"/>
      <c r="DJ249" s="3"/>
      <c r="DK249" s="3"/>
      <c r="DL249" s="3"/>
      <c r="DM249" s="3"/>
      <c r="DN249" s="3"/>
      <c r="DO249" s="3"/>
      <c r="DP249" s="3"/>
      <c r="DQ249" s="3"/>
      <c r="DR249" s="3"/>
      <c r="DS249" s="3"/>
      <c r="DT249" s="3"/>
      <c r="DU249" s="3"/>
      <c r="DV249" s="3"/>
      <c r="DW249" s="130"/>
      <c r="DX249" s="130"/>
      <c r="DY249" s="130"/>
      <c r="DZ249" s="130"/>
      <c r="EA249" s="130"/>
      <c r="EB249" s="130"/>
      <c r="EC249" s="130"/>
      <c r="ED249" s="130"/>
      <c r="EE249" s="3"/>
      <c r="EF249" s="3"/>
      <c r="EG249" s="3"/>
      <c r="EH249" s="3"/>
      <c r="EI249" s="3"/>
      <c r="EJ249" s="3"/>
      <c r="EK249" s="3"/>
      <c r="EL249" s="3"/>
      <c r="EM249" s="3"/>
      <c r="EN249" s="3"/>
      <c r="EO249" s="3"/>
      <c r="EP249" s="3"/>
      <c r="EQ249" s="3"/>
      <c r="ER249" s="3"/>
      <c r="ES249" s="3"/>
      <c r="ET249" s="3"/>
      <c r="EU249" s="130"/>
      <c r="EV249" s="130"/>
      <c r="EW249" s="130"/>
      <c r="EX249" s="130"/>
      <c r="EY249" s="130"/>
      <c r="EZ249" s="130"/>
      <c r="FA249" s="130"/>
      <c r="FB249" s="130"/>
      <c r="FC249" s="3"/>
      <c r="FD249" s="3"/>
      <c r="FE249" s="3"/>
      <c r="FF249" s="3"/>
      <c r="FG249" s="3"/>
      <c r="FH249" s="3"/>
      <c r="FI249" s="3"/>
      <c r="FJ249" s="3"/>
      <c r="FK249" s="3"/>
      <c r="FL249" s="3"/>
      <c r="FM249" s="3"/>
      <c r="FN249" s="3"/>
      <c r="FO249" s="3"/>
      <c r="FP249" s="3"/>
      <c r="FQ249" s="3"/>
      <c r="FR249" s="3"/>
      <c r="FS249" s="130"/>
      <c r="FT249" s="130"/>
      <c r="FU249" s="130"/>
      <c r="FV249" s="130"/>
      <c r="FW249" s="130"/>
      <c r="FX249" s="130"/>
      <c r="FY249" s="130"/>
      <c r="FZ249" s="130"/>
      <c r="GA249" s="3"/>
      <c r="GB249" s="3"/>
      <c r="GC249" s="3"/>
      <c r="GD249" s="3"/>
      <c r="GE249" s="3"/>
      <c r="GF249" s="3"/>
    </row>
    <row r="250" spans="1:188" s="125" customFormat="1">
      <c r="A250" s="16">
        <v>82</v>
      </c>
      <c r="B250" s="29">
        <v>43048</v>
      </c>
      <c r="C250" s="18"/>
      <c r="D250" s="19" t="s">
        <v>1181</v>
      </c>
      <c r="E250" s="20" t="s">
        <v>363</v>
      </c>
      <c r="F250" s="82" t="s">
        <v>367</v>
      </c>
      <c r="G250" s="58">
        <v>1707</v>
      </c>
      <c r="H250" s="121">
        <v>3478000</v>
      </c>
      <c r="I250" s="24">
        <v>3312381</v>
      </c>
      <c r="J250" s="24"/>
      <c r="K250" s="24">
        <f t="shared" si="19"/>
        <v>3312381</v>
      </c>
      <c r="L250" s="123"/>
      <c r="M250" s="24">
        <f t="shared" si="20"/>
        <v>0</v>
      </c>
      <c r="N250" s="129">
        <f t="shared" si="21"/>
        <v>3312381</v>
      </c>
      <c r="O250" s="107"/>
      <c r="P250" s="3"/>
      <c r="Q250" s="3"/>
      <c r="R250" s="3"/>
      <c r="S250" s="3"/>
      <c r="T250" s="3"/>
      <c r="U250" s="3"/>
      <c r="V250" s="131"/>
      <c r="W250" s="15"/>
      <c r="X250" s="3"/>
      <c r="Y250" s="3"/>
      <c r="Z250" s="3"/>
      <c r="AA250" s="3"/>
      <c r="AB250" s="3"/>
      <c r="AC250" s="131"/>
      <c r="AD250" s="15"/>
      <c r="AE250" s="99"/>
      <c r="AF250" s="149"/>
      <c r="AG250" s="134"/>
      <c r="AH250" s="134"/>
      <c r="AI250" s="137"/>
      <c r="AJ250" s="150"/>
      <c r="AK250" s="137"/>
      <c r="AL250" s="137"/>
      <c r="AM250" s="3"/>
      <c r="AN250" s="138"/>
      <c r="AO250" s="2"/>
      <c r="AP250" s="139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131"/>
      <c r="BB250" s="15"/>
      <c r="BC250" s="99"/>
      <c r="BD250" s="149"/>
      <c r="BE250" s="134"/>
      <c r="BF250" s="134"/>
      <c r="BG250" s="137"/>
      <c r="BH250" s="150"/>
      <c r="BI250" s="137"/>
      <c r="BJ250" s="137"/>
      <c r="BK250" s="3"/>
      <c r="BL250" s="138"/>
      <c r="BM250" s="2"/>
      <c r="BN250" s="139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131"/>
      <c r="BZ250" s="15"/>
      <c r="CA250" s="99"/>
      <c r="CB250" s="149"/>
      <c r="CC250" s="134"/>
      <c r="CD250" s="134"/>
      <c r="CE250" s="137"/>
      <c r="CF250" s="150"/>
      <c r="CG250" s="137"/>
      <c r="CH250" s="137"/>
      <c r="CI250" s="3"/>
      <c r="CJ250" s="138"/>
      <c r="CK250" s="2"/>
      <c r="CL250" s="139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131"/>
      <c r="CX250" s="15"/>
      <c r="CY250" s="99"/>
      <c r="CZ250" s="149"/>
      <c r="DA250" s="134"/>
      <c r="DB250" s="134"/>
      <c r="DC250" s="137"/>
      <c r="DD250" s="150"/>
      <c r="DE250" s="137"/>
      <c r="DF250" s="137"/>
      <c r="DG250" s="3"/>
      <c r="DH250" s="138"/>
      <c r="DI250" s="2"/>
      <c r="DJ250" s="139"/>
      <c r="DK250" s="3"/>
      <c r="DL250" s="3"/>
      <c r="DM250" s="3"/>
      <c r="DN250" s="3"/>
      <c r="DO250" s="3"/>
      <c r="DP250" s="3"/>
      <c r="DQ250" s="3"/>
      <c r="DR250" s="3"/>
      <c r="DS250" s="3"/>
      <c r="DT250" s="3"/>
      <c r="DU250" s="131"/>
      <c r="DV250" s="15"/>
      <c r="DW250" s="99"/>
      <c r="DX250" s="149"/>
      <c r="DY250" s="134"/>
      <c r="DZ250" s="134"/>
      <c r="EA250" s="137"/>
      <c r="EB250" s="150"/>
      <c r="EC250" s="137"/>
      <c r="ED250" s="137"/>
      <c r="EE250" s="3"/>
      <c r="EF250" s="138"/>
      <c r="EG250" s="2"/>
      <c r="EH250" s="139"/>
      <c r="EI250" s="3"/>
      <c r="EJ250" s="3"/>
      <c r="EK250" s="3"/>
      <c r="EL250" s="3"/>
      <c r="EM250" s="3"/>
      <c r="EN250" s="3"/>
      <c r="EO250" s="3"/>
      <c r="EP250" s="3"/>
      <c r="EQ250" s="3"/>
      <c r="ER250" s="3"/>
      <c r="ES250" s="131"/>
      <c r="ET250" s="15"/>
      <c r="EU250" s="99"/>
      <c r="EV250" s="149"/>
      <c r="EW250" s="134"/>
      <c r="EX250" s="134"/>
      <c r="EY250" s="137"/>
      <c r="EZ250" s="150"/>
      <c r="FA250" s="137"/>
      <c r="FB250" s="137"/>
      <c r="FC250" s="3"/>
      <c r="FD250" s="138"/>
      <c r="FE250" s="2"/>
      <c r="FF250" s="139"/>
      <c r="FG250" s="3"/>
      <c r="FH250" s="3"/>
      <c r="FI250" s="3"/>
      <c r="FJ250" s="3"/>
      <c r="FK250" s="3"/>
      <c r="FL250" s="3"/>
      <c r="FM250" s="3"/>
      <c r="FN250" s="3"/>
      <c r="FO250" s="3"/>
      <c r="FP250" s="3"/>
      <c r="FQ250" s="131"/>
      <c r="FR250" s="15"/>
      <c r="FS250" s="99"/>
      <c r="FT250" s="149"/>
      <c r="FU250" s="134"/>
      <c r="FV250" s="134"/>
      <c r="FW250" s="137"/>
      <c r="FX250" s="150"/>
      <c r="FY250" s="137"/>
      <c r="FZ250" s="137"/>
      <c r="GA250" s="3"/>
      <c r="GB250" s="138"/>
      <c r="GC250" s="2"/>
      <c r="GD250" s="139"/>
      <c r="GE250" s="3"/>
      <c r="GF250" s="3"/>
    </row>
    <row r="251" spans="1:188" s="125" customFormat="1">
      <c r="A251" s="16">
        <v>83</v>
      </c>
      <c r="B251" s="29">
        <v>43048</v>
      </c>
      <c r="C251" s="18"/>
      <c r="D251" s="19" t="s">
        <v>1181</v>
      </c>
      <c r="E251" s="20" t="s">
        <v>372</v>
      </c>
      <c r="F251" s="82" t="s">
        <v>374</v>
      </c>
      <c r="G251" s="58">
        <v>1708</v>
      </c>
      <c r="H251" s="121">
        <f>4671800+550000</f>
        <v>5221800</v>
      </c>
      <c r="I251" s="24">
        <v>4973143</v>
      </c>
      <c r="J251" s="24"/>
      <c r="K251" s="24">
        <f t="shared" si="19"/>
        <v>4973143</v>
      </c>
      <c r="L251" s="123"/>
      <c r="M251" s="24">
        <f t="shared" si="20"/>
        <v>0</v>
      </c>
      <c r="N251" s="129">
        <f t="shared" si="21"/>
        <v>4973143</v>
      </c>
      <c r="O251" s="107"/>
      <c r="P251" s="3"/>
      <c r="Q251" s="3"/>
      <c r="R251" s="3"/>
      <c r="S251" s="3"/>
      <c r="T251" s="3"/>
      <c r="U251" s="3"/>
      <c r="V251" s="131"/>
      <c r="W251" s="15"/>
      <c r="X251" s="3"/>
      <c r="Y251" s="3"/>
      <c r="Z251" s="3"/>
      <c r="AA251" s="3"/>
      <c r="AB251" s="3"/>
      <c r="AC251" s="131"/>
      <c r="AD251" s="15"/>
      <c r="AE251" s="99"/>
      <c r="AF251" s="149"/>
      <c r="AG251" s="134"/>
      <c r="AH251" s="134"/>
      <c r="AI251" s="137"/>
      <c r="AJ251" s="150"/>
      <c r="AK251" s="137"/>
      <c r="AL251" s="137"/>
      <c r="AM251" s="3"/>
      <c r="AN251" s="138"/>
      <c r="AO251" s="2"/>
      <c r="AP251" s="139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131"/>
      <c r="BB251" s="15"/>
      <c r="BC251" s="99"/>
      <c r="BD251" s="149"/>
      <c r="BE251" s="134"/>
      <c r="BF251" s="134"/>
      <c r="BG251" s="137"/>
      <c r="BH251" s="150"/>
      <c r="BI251" s="137"/>
      <c r="BJ251" s="137"/>
      <c r="BK251" s="3"/>
      <c r="BL251" s="138"/>
      <c r="BM251" s="2"/>
      <c r="BN251" s="139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131"/>
      <c r="BZ251" s="15"/>
      <c r="CA251" s="99"/>
      <c r="CB251" s="149"/>
      <c r="CC251" s="134"/>
      <c r="CD251" s="134"/>
      <c r="CE251" s="137"/>
      <c r="CF251" s="150"/>
      <c r="CG251" s="137"/>
      <c r="CH251" s="137"/>
      <c r="CI251" s="3"/>
      <c r="CJ251" s="138"/>
      <c r="CK251" s="2"/>
      <c r="CL251" s="139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131"/>
      <c r="CX251" s="15"/>
      <c r="CY251" s="99"/>
      <c r="CZ251" s="149"/>
      <c r="DA251" s="134"/>
      <c r="DB251" s="134"/>
      <c r="DC251" s="137"/>
      <c r="DD251" s="150"/>
      <c r="DE251" s="137"/>
      <c r="DF251" s="137"/>
      <c r="DG251" s="3"/>
      <c r="DH251" s="138"/>
      <c r="DI251" s="2"/>
      <c r="DJ251" s="139"/>
      <c r="DK251" s="3"/>
      <c r="DL251" s="3"/>
      <c r="DM251" s="3"/>
      <c r="DN251" s="3"/>
      <c r="DO251" s="3"/>
      <c r="DP251" s="3"/>
      <c r="DQ251" s="3"/>
      <c r="DR251" s="3"/>
      <c r="DS251" s="3"/>
      <c r="DT251" s="3"/>
      <c r="DU251" s="131"/>
      <c r="DV251" s="15"/>
      <c r="DW251" s="99"/>
      <c r="DX251" s="149"/>
      <c r="DY251" s="134"/>
      <c r="DZ251" s="134"/>
      <c r="EA251" s="137"/>
      <c r="EB251" s="150"/>
      <c r="EC251" s="137"/>
      <c r="ED251" s="137"/>
      <c r="EE251" s="3"/>
      <c r="EF251" s="138"/>
      <c r="EG251" s="2"/>
      <c r="EH251" s="139"/>
      <c r="EI251" s="3"/>
      <c r="EJ251" s="3"/>
      <c r="EK251" s="3"/>
      <c r="EL251" s="3"/>
      <c r="EM251" s="3"/>
      <c r="EN251" s="3"/>
      <c r="EO251" s="3"/>
      <c r="EP251" s="3"/>
      <c r="EQ251" s="3"/>
      <c r="ER251" s="3"/>
      <c r="ES251" s="131"/>
      <c r="ET251" s="15"/>
      <c r="EU251" s="99"/>
      <c r="EV251" s="149"/>
      <c r="EW251" s="134"/>
      <c r="EX251" s="134"/>
      <c r="EY251" s="137"/>
      <c r="EZ251" s="150"/>
      <c r="FA251" s="137"/>
      <c r="FB251" s="137"/>
      <c r="FC251" s="3"/>
      <c r="FD251" s="138"/>
      <c r="FE251" s="2"/>
      <c r="FF251" s="139"/>
      <c r="FG251" s="3"/>
      <c r="FH251" s="3"/>
      <c r="FI251" s="3"/>
      <c r="FJ251" s="3"/>
      <c r="FK251" s="3"/>
      <c r="FL251" s="3"/>
      <c r="FM251" s="3"/>
      <c r="FN251" s="3"/>
      <c r="FO251" s="3"/>
      <c r="FP251" s="3"/>
      <c r="FQ251" s="131"/>
      <c r="FR251" s="15"/>
      <c r="FS251" s="99"/>
      <c r="FT251" s="149"/>
      <c r="FU251" s="134"/>
      <c r="FV251" s="134"/>
      <c r="FW251" s="137"/>
      <c r="FX251" s="150"/>
      <c r="FY251" s="137"/>
      <c r="FZ251" s="137"/>
      <c r="GA251" s="3"/>
      <c r="GB251" s="138"/>
      <c r="GC251" s="2"/>
      <c r="GD251" s="139"/>
      <c r="GE251" s="3"/>
      <c r="GF251" s="3"/>
    </row>
    <row r="252" spans="1:188" s="125" customFormat="1">
      <c r="A252" s="16">
        <v>84</v>
      </c>
      <c r="B252" s="29">
        <v>43089</v>
      </c>
      <c r="C252" s="18"/>
      <c r="D252" s="19" t="s">
        <v>1181</v>
      </c>
      <c r="E252" s="20" t="s">
        <v>372</v>
      </c>
      <c r="F252" s="82" t="s">
        <v>375</v>
      </c>
      <c r="G252" s="58">
        <v>1708</v>
      </c>
      <c r="H252" s="121">
        <v>4671800</v>
      </c>
      <c r="I252" s="24">
        <v>4449333</v>
      </c>
      <c r="J252" s="24"/>
      <c r="K252" s="24">
        <f t="shared" si="19"/>
        <v>4449333</v>
      </c>
      <c r="L252" s="123"/>
      <c r="M252" s="24">
        <f t="shared" si="20"/>
        <v>0</v>
      </c>
      <c r="N252" s="129">
        <f t="shared" si="21"/>
        <v>4449333</v>
      </c>
      <c r="O252" s="87"/>
      <c r="P252" s="3"/>
      <c r="Q252" s="3"/>
      <c r="R252" s="3"/>
      <c r="S252" s="3"/>
      <c r="T252" s="3"/>
      <c r="U252" s="3"/>
      <c r="V252" s="131"/>
      <c r="W252" s="15"/>
      <c r="X252" s="3"/>
      <c r="Y252" s="3"/>
      <c r="Z252" s="3"/>
      <c r="AA252" s="3"/>
      <c r="AB252" s="3"/>
      <c r="AC252" s="131"/>
      <c r="AD252" s="15"/>
      <c r="AE252" s="99"/>
      <c r="AF252" s="149"/>
      <c r="AG252" s="134"/>
      <c r="AH252" s="134"/>
      <c r="AI252" s="137"/>
      <c r="AJ252" s="150"/>
      <c r="AK252" s="137"/>
      <c r="AL252" s="137"/>
      <c r="AM252" s="3"/>
      <c r="AN252" s="138"/>
      <c r="AO252" s="2"/>
      <c r="AP252" s="139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131"/>
      <c r="BB252" s="15"/>
      <c r="BC252" s="99"/>
      <c r="BD252" s="149"/>
      <c r="BE252" s="134"/>
      <c r="BF252" s="134"/>
      <c r="BG252" s="137"/>
      <c r="BH252" s="150"/>
      <c r="BI252" s="137"/>
      <c r="BJ252" s="137"/>
      <c r="BK252" s="3"/>
      <c r="BL252" s="138"/>
      <c r="BM252" s="2"/>
      <c r="BN252" s="139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131"/>
      <c r="BZ252" s="15"/>
      <c r="CA252" s="99"/>
      <c r="CB252" s="149"/>
      <c r="CC252" s="134"/>
      <c r="CD252" s="134"/>
      <c r="CE252" s="137"/>
      <c r="CF252" s="150"/>
      <c r="CG252" s="137"/>
      <c r="CH252" s="137"/>
      <c r="CI252" s="3"/>
      <c r="CJ252" s="138"/>
      <c r="CK252" s="2"/>
      <c r="CL252" s="139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131"/>
      <c r="CX252" s="15"/>
      <c r="CY252" s="99"/>
      <c r="CZ252" s="149"/>
      <c r="DA252" s="134"/>
      <c r="DB252" s="134"/>
      <c r="DC252" s="137"/>
      <c r="DD252" s="150"/>
      <c r="DE252" s="137"/>
      <c r="DF252" s="137"/>
      <c r="DG252" s="3"/>
      <c r="DH252" s="138"/>
      <c r="DI252" s="2"/>
      <c r="DJ252" s="139"/>
      <c r="DK252" s="3"/>
      <c r="DL252" s="3"/>
      <c r="DM252" s="3"/>
      <c r="DN252" s="3"/>
      <c r="DO252" s="3"/>
      <c r="DP252" s="3"/>
      <c r="DQ252" s="3"/>
      <c r="DR252" s="3"/>
      <c r="DS252" s="3"/>
      <c r="DT252" s="3"/>
      <c r="DU252" s="131"/>
      <c r="DV252" s="15"/>
      <c r="DW252" s="99"/>
      <c r="DX252" s="149"/>
      <c r="DY252" s="134"/>
      <c r="DZ252" s="134"/>
      <c r="EA252" s="137"/>
      <c r="EB252" s="150"/>
      <c r="EC252" s="137"/>
      <c r="ED252" s="137"/>
      <c r="EE252" s="3"/>
      <c r="EF252" s="138"/>
      <c r="EG252" s="2"/>
      <c r="EH252" s="139"/>
      <c r="EI252" s="3"/>
      <c r="EJ252" s="3"/>
      <c r="EK252" s="3"/>
      <c r="EL252" s="3"/>
      <c r="EM252" s="3"/>
      <c r="EN252" s="3"/>
      <c r="EO252" s="3"/>
      <c r="EP252" s="3"/>
      <c r="EQ252" s="3"/>
      <c r="ER252" s="3"/>
      <c r="ES252" s="131"/>
      <c r="ET252" s="15"/>
      <c r="EU252" s="99"/>
      <c r="EV252" s="149"/>
      <c r="EW252" s="134"/>
      <c r="EX252" s="134"/>
      <c r="EY252" s="137"/>
      <c r="EZ252" s="150"/>
      <c r="FA252" s="137"/>
      <c r="FB252" s="137"/>
      <c r="FC252" s="3"/>
      <c r="FD252" s="138"/>
      <c r="FE252" s="2"/>
      <c r="FF252" s="139"/>
      <c r="FG252" s="3"/>
      <c r="FH252" s="3"/>
      <c r="FI252" s="3"/>
      <c r="FJ252" s="3"/>
      <c r="FK252" s="3"/>
      <c r="FL252" s="3"/>
      <c r="FM252" s="3"/>
      <c r="FN252" s="3"/>
      <c r="FO252" s="3"/>
      <c r="FP252" s="3"/>
      <c r="FQ252" s="131"/>
      <c r="FR252" s="15"/>
      <c r="FS252" s="99"/>
      <c r="FT252" s="149"/>
      <c r="FU252" s="134"/>
      <c r="FV252" s="134"/>
      <c r="FW252" s="137"/>
      <c r="FX252" s="150"/>
      <c r="FY252" s="137"/>
      <c r="FZ252" s="137"/>
      <c r="GA252" s="3"/>
      <c r="GB252" s="138"/>
      <c r="GC252" s="2"/>
      <c r="GD252" s="139"/>
      <c r="GE252" s="3"/>
      <c r="GF252" s="3"/>
    </row>
    <row r="253" spans="1:188" s="125" customFormat="1">
      <c r="A253" s="16">
        <v>85</v>
      </c>
      <c r="B253" s="29">
        <v>43088</v>
      </c>
      <c r="C253" s="18"/>
      <c r="D253" s="19" t="s">
        <v>1181</v>
      </c>
      <c r="E253" s="20" t="s">
        <v>377</v>
      </c>
      <c r="F253" s="82" t="s">
        <v>378</v>
      </c>
      <c r="G253" s="58">
        <v>1709</v>
      </c>
      <c r="H253" s="121">
        <v>5630600</v>
      </c>
      <c r="I253" s="24">
        <v>5362476</v>
      </c>
      <c r="J253" s="24"/>
      <c r="K253" s="24">
        <f t="shared" si="19"/>
        <v>5362476</v>
      </c>
      <c r="L253" s="26"/>
      <c r="M253" s="24">
        <f t="shared" si="20"/>
        <v>0</v>
      </c>
      <c r="N253" s="129">
        <f t="shared" si="21"/>
        <v>5362476</v>
      </c>
      <c r="O253" s="87"/>
      <c r="P253" s="3"/>
      <c r="Q253" s="3"/>
      <c r="R253" s="3"/>
      <c r="S253" s="3"/>
      <c r="T253" s="3"/>
      <c r="U253" s="3"/>
      <c r="V253" s="131"/>
      <c r="W253" s="15"/>
      <c r="X253" s="3"/>
      <c r="Y253" s="3"/>
      <c r="Z253" s="3"/>
      <c r="AA253" s="3"/>
      <c r="AB253" s="3"/>
      <c r="AC253" s="131"/>
      <c r="AD253" s="15"/>
      <c r="AE253" s="99"/>
      <c r="AF253" s="149"/>
      <c r="AG253" s="134"/>
      <c r="AH253" s="134"/>
      <c r="AI253" s="137"/>
      <c r="AJ253" s="150"/>
      <c r="AK253" s="137"/>
      <c r="AL253" s="137"/>
      <c r="AM253" s="3"/>
      <c r="AN253" s="138"/>
      <c r="AO253" s="2"/>
      <c r="AP253" s="139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131"/>
      <c r="BB253" s="15"/>
      <c r="BC253" s="99"/>
      <c r="BD253" s="149"/>
      <c r="BE253" s="134"/>
      <c r="BF253" s="134"/>
      <c r="BG253" s="137"/>
      <c r="BH253" s="150"/>
      <c r="BI253" s="137"/>
      <c r="BJ253" s="137"/>
      <c r="BK253" s="3"/>
      <c r="BL253" s="138"/>
      <c r="BM253" s="2"/>
      <c r="BN253" s="139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131"/>
      <c r="BZ253" s="15"/>
      <c r="CA253" s="99"/>
      <c r="CB253" s="149"/>
      <c r="CC253" s="134"/>
      <c r="CD253" s="134"/>
      <c r="CE253" s="137"/>
      <c r="CF253" s="150"/>
      <c r="CG253" s="137"/>
      <c r="CH253" s="137"/>
      <c r="CI253" s="3"/>
      <c r="CJ253" s="138"/>
      <c r="CK253" s="2"/>
      <c r="CL253" s="139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131"/>
      <c r="CX253" s="15"/>
      <c r="CY253" s="99"/>
      <c r="CZ253" s="149"/>
      <c r="DA253" s="134"/>
      <c r="DB253" s="134"/>
      <c r="DC253" s="137"/>
      <c r="DD253" s="150"/>
      <c r="DE253" s="137"/>
      <c r="DF253" s="137"/>
      <c r="DG253" s="3"/>
      <c r="DH253" s="138"/>
      <c r="DI253" s="2"/>
      <c r="DJ253" s="139"/>
      <c r="DK253" s="3"/>
      <c r="DL253" s="3"/>
      <c r="DM253" s="3"/>
      <c r="DN253" s="3"/>
      <c r="DO253" s="3"/>
      <c r="DP253" s="3"/>
      <c r="DQ253" s="3"/>
      <c r="DR253" s="3"/>
      <c r="DS253" s="3"/>
      <c r="DT253" s="3"/>
      <c r="DU253" s="131"/>
      <c r="DV253" s="15"/>
      <c r="DW253" s="99"/>
      <c r="DX253" s="149"/>
      <c r="DY253" s="134"/>
      <c r="DZ253" s="134"/>
      <c r="EA253" s="137"/>
      <c r="EB253" s="150"/>
      <c r="EC253" s="137"/>
      <c r="ED253" s="137"/>
      <c r="EE253" s="3"/>
      <c r="EF253" s="138"/>
      <c r="EG253" s="2"/>
      <c r="EH253" s="139"/>
      <c r="EI253" s="3"/>
      <c r="EJ253" s="3"/>
      <c r="EK253" s="3"/>
      <c r="EL253" s="3"/>
      <c r="EM253" s="3"/>
      <c r="EN253" s="3"/>
      <c r="EO253" s="3"/>
      <c r="EP253" s="3"/>
      <c r="EQ253" s="3"/>
      <c r="ER253" s="3"/>
      <c r="ES253" s="131"/>
      <c r="ET253" s="15"/>
      <c r="EU253" s="99"/>
      <c r="EV253" s="149"/>
      <c r="EW253" s="134"/>
      <c r="EX253" s="134"/>
      <c r="EY253" s="137"/>
      <c r="EZ253" s="150"/>
      <c r="FA253" s="137"/>
      <c r="FB253" s="137"/>
      <c r="FC253" s="3"/>
      <c r="FD253" s="138"/>
      <c r="FE253" s="2"/>
      <c r="FF253" s="139"/>
      <c r="FG253" s="3"/>
      <c r="FH253" s="3"/>
      <c r="FI253" s="3"/>
      <c r="FJ253" s="3"/>
      <c r="FK253" s="3"/>
      <c r="FL253" s="3"/>
      <c r="FM253" s="3"/>
      <c r="FN253" s="3"/>
      <c r="FO253" s="3"/>
      <c r="FP253" s="3"/>
      <c r="FQ253" s="131"/>
      <c r="FR253" s="15"/>
      <c r="FS253" s="99"/>
      <c r="FT253" s="149"/>
      <c r="FU253" s="134"/>
      <c r="FV253" s="134"/>
      <c r="FW253" s="137"/>
      <c r="FX253" s="150"/>
      <c r="FY253" s="137"/>
      <c r="FZ253" s="137"/>
      <c r="GA253" s="3"/>
      <c r="GB253" s="138"/>
      <c r="GC253" s="2"/>
      <c r="GD253" s="139"/>
      <c r="GE253" s="3"/>
      <c r="GF253" s="3"/>
    </row>
    <row r="254" spans="1:188" s="125" customFormat="1">
      <c r="A254" s="16">
        <v>86</v>
      </c>
      <c r="B254" s="17">
        <v>42982</v>
      </c>
      <c r="C254" s="18"/>
      <c r="D254" s="19" t="s">
        <v>1186</v>
      </c>
      <c r="E254" s="20" t="s">
        <v>428</v>
      </c>
      <c r="F254" s="120" t="s">
        <v>429</v>
      </c>
      <c r="G254" s="63">
        <v>1707</v>
      </c>
      <c r="H254" s="121">
        <v>3152700</v>
      </c>
      <c r="I254" s="24">
        <v>3002571</v>
      </c>
      <c r="J254" s="24"/>
      <c r="K254" s="24">
        <f t="shared" si="19"/>
        <v>3002571</v>
      </c>
      <c r="L254" s="26"/>
      <c r="M254" s="24">
        <f t="shared" si="20"/>
        <v>0</v>
      </c>
      <c r="N254" s="129">
        <f t="shared" si="21"/>
        <v>3002571</v>
      </c>
      <c r="O254" s="108"/>
      <c r="P254" s="3"/>
      <c r="Q254" s="3"/>
      <c r="R254" s="3"/>
      <c r="S254" s="3"/>
      <c r="T254" s="3"/>
      <c r="U254" s="3"/>
      <c r="V254" s="131"/>
      <c r="W254" s="15"/>
      <c r="X254" s="3"/>
      <c r="Y254" s="3"/>
      <c r="Z254" s="3"/>
      <c r="AA254" s="3"/>
      <c r="AB254" s="3"/>
      <c r="AC254" s="131"/>
      <c r="AD254" s="15"/>
      <c r="AE254" s="99"/>
      <c r="AF254" s="149"/>
      <c r="AG254" s="134"/>
      <c r="AH254" s="134"/>
      <c r="AI254" s="137"/>
      <c r="AJ254" s="150"/>
      <c r="AK254" s="137"/>
      <c r="AL254" s="137"/>
      <c r="AM254" s="3"/>
      <c r="AN254" s="138"/>
      <c r="AO254" s="2"/>
      <c r="AP254" s="139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131"/>
      <c r="BB254" s="15"/>
      <c r="BC254" s="99"/>
      <c r="BD254" s="149"/>
      <c r="BE254" s="134"/>
      <c r="BF254" s="134"/>
      <c r="BG254" s="137"/>
      <c r="BH254" s="150"/>
      <c r="BI254" s="137"/>
      <c r="BJ254" s="137"/>
      <c r="BK254" s="3"/>
      <c r="BL254" s="138"/>
      <c r="BM254" s="2"/>
      <c r="BN254" s="139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131"/>
      <c r="BZ254" s="15"/>
      <c r="CA254" s="99"/>
      <c r="CB254" s="149"/>
      <c r="CC254" s="134"/>
      <c r="CD254" s="134"/>
      <c r="CE254" s="137"/>
      <c r="CF254" s="150"/>
      <c r="CG254" s="137"/>
      <c r="CH254" s="137"/>
      <c r="CI254" s="3"/>
      <c r="CJ254" s="138"/>
      <c r="CK254" s="2"/>
      <c r="CL254" s="139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131"/>
      <c r="CX254" s="15"/>
      <c r="CY254" s="99"/>
      <c r="CZ254" s="149"/>
      <c r="DA254" s="134"/>
      <c r="DB254" s="134"/>
      <c r="DC254" s="137"/>
      <c r="DD254" s="150"/>
      <c r="DE254" s="137"/>
      <c r="DF254" s="137"/>
      <c r="DG254" s="3"/>
      <c r="DH254" s="138"/>
      <c r="DI254" s="2"/>
      <c r="DJ254" s="139"/>
      <c r="DK254" s="3"/>
      <c r="DL254" s="3"/>
      <c r="DM254" s="3"/>
      <c r="DN254" s="3"/>
      <c r="DO254" s="3"/>
      <c r="DP254" s="3"/>
      <c r="DQ254" s="3"/>
      <c r="DR254" s="3"/>
      <c r="DS254" s="3"/>
      <c r="DT254" s="3"/>
      <c r="DU254" s="131"/>
      <c r="DV254" s="15"/>
      <c r="DW254" s="99"/>
      <c r="DX254" s="149"/>
      <c r="DY254" s="134"/>
      <c r="DZ254" s="134"/>
      <c r="EA254" s="137"/>
      <c r="EB254" s="150"/>
      <c r="EC254" s="137"/>
      <c r="ED254" s="137"/>
      <c r="EE254" s="3"/>
      <c r="EF254" s="138"/>
      <c r="EG254" s="2"/>
      <c r="EH254" s="139"/>
      <c r="EI254" s="3"/>
      <c r="EJ254" s="3"/>
      <c r="EK254" s="3"/>
      <c r="EL254" s="3"/>
      <c r="EM254" s="3"/>
      <c r="EN254" s="3"/>
      <c r="EO254" s="3"/>
      <c r="EP254" s="3"/>
      <c r="EQ254" s="3"/>
      <c r="ER254" s="3"/>
      <c r="ES254" s="131"/>
      <c r="ET254" s="15"/>
      <c r="EU254" s="99"/>
      <c r="EV254" s="149"/>
      <c r="EW254" s="134"/>
      <c r="EX254" s="134"/>
      <c r="EY254" s="137"/>
      <c r="EZ254" s="150"/>
      <c r="FA254" s="137"/>
      <c r="FB254" s="137"/>
      <c r="FC254" s="3"/>
      <c r="FD254" s="138"/>
      <c r="FE254" s="2"/>
      <c r="FF254" s="139"/>
      <c r="FG254" s="3"/>
      <c r="FH254" s="3"/>
      <c r="FI254" s="3"/>
      <c r="FJ254" s="3"/>
      <c r="FK254" s="3"/>
      <c r="FL254" s="3"/>
      <c r="FM254" s="3"/>
      <c r="FN254" s="3"/>
      <c r="FO254" s="3"/>
      <c r="FP254" s="3"/>
      <c r="FQ254" s="131"/>
      <c r="FR254" s="15"/>
      <c r="FS254" s="99"/>
      <c r="FT254" s="149"/>
      <c r="FU254" s="134"/>
      <c r="FV254" s="134"/>
      <c r="FW254" s="137"/>
      <c r="FX254" s="150"/>
      <c r="FY254" s="137"/>
      <c r="FZ254" s="137"/>
      <c r="GA254" s="3"/>
      <c r="GB254" s="138"/>
      <c r="GC254" s="2"/>
      <c r="GD254" s="139"/>
      <c r="GE254" s="3"/>
      <c r="GF254" s="3"/>
    </row>
    <row r="255" spans="1:188" s="125" customFormat="1">
      <c r="A255" s="16">
        <v>87</v>
      </c>
      <c r="B255" s="17">
        <v>43055</v>
      </c>
      <c r="C255" s="18"/>
      <c r="D255" s="19" t="s">
        <v>1186</v>
      </c>
      <c r="E255" s="20" t="s">
        <v>428</v>
      </c>
      <c r="F255" s="168" t="s">
        <v>431</v>
      </c>
      <c r="G255" s="63">
        <v>1708</v>
      </c>
      <c r="H255" s="121">
        <v>3115500</v>
      </c>
      <c r="I255" s="24">
        <v>2967143</v>
      </c>
      <c r="J255" s="24"/>
      <c r="K255" s="24">
        <f t="shared" si="19"/>
        <v>2967143</v>
      </c>
      <c r="L255" s="123"/>
      <c r="M255" s="24">
        <f t="shared" si="20"/>
        <v>0</v>
      </c>
      <c r="N255" s="129">
        <f t="shared" si="21"/>
        <v>2967143</v>
      </c>
      <c r="O255" s="107"/>
      <c r="P255" s="3"/>
      <c r="Q255" s="3"/>
      <c r="R255" s="3"/>
      <c r="S255" s="3"/>
      <c r="T255" s="3"/>
      <c r="U255" s="3"/>
      <c r="V255" s="131"/>
      <c r="W255" s="15"/>
      <c r="X255" s="3"/>
      <c r="Y255" s="3"/>
      <c r="Z255" s="3"/>
      <c r="AA255" s="3"/>
      <c r="AB255" s="3"/>
      <c r="AC255" s="131"/>
      <c r="AD255" s="15"/>
      <c r="AE255" s="99"/>
      <c r="AF255" s="149"/>
      <c r="AG255" s="134"/>
      <c r="AH255" s="134"/>
      <c r="AI255" s="137"/>
      <c r="AJ255" s="150"/>
      <c r="AK255" s="137"/>
      <c r="AL255" s="137"/>
      <c r="AM255" s="3"/>
      <c r="AN255" s="138"/>
      <c r="AO255" s="2"/>
      <c r="AP255" s="139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131"/>
      <c r="BB255" s="15"/>
      <c r="BC255" s="99"/>
      <c r="BD255" s="149"/>
      <c r="BE255" s="134"/>
      <c r="BF255" s="134"/>
      <c r="BG255" s="137"/>
      <c r="BH255" s="150"/>
      <c r="BI255" s="137"/>
      <c r="BJ255" s="137"/>
      <c r="BK255" s="3"/>
      <c r="BL255" s="138"/>
      <c r="BM255" s="2"/>
      <c r="BN255" s="139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131"/>
      <c r="BZ255" s="15"/>
      <c r="CA255" s="99"/>
      <c r="CB255" s="149"/>
      <c r="CC255" s="134"/>
      <c r="CD255" s="134"/>
      <c r="CE255" s="137"/>
      <c r="CF255" s="150"/>
      <c r="CG255" s="137"/>
      <c r="CH255" s="137"/>
      <c r="CI255" s="3"/>
      <c r="CJ255" s="138"/>
      <c r="CK255" s="2"/>
      <c r="CL255" s="139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131"/>
      <c r="CX255" s="15"/>
      <c r="CY255" s="99"/>
      <c r="CZ255" s="149"/>
      <c r="DA255" s="134"/>
      <c r="DB255" s="134"/>
      <c r="DC255" s="137"/>
      <c r="DD255" s="150"/>
      <c r="DE255" s="137"/>
      <c r="DF255" s="137"/>
      <c r="DG255" s="3"/>
      <c r="DH255" s="138"/>
      <c r="DI255" s="2"/>
      <c r="DJ255" s="139"/>
      <c r="DK255" s="3"/>
      <c r="DL255" s="3"/>
      <c r="DM255" s="3"/>
      <c r="DN255" s="3"/>
      <c r="DO255" s="3"/>
      <c r="DP255" s="3"/>
      <c r="DQ255" s="3"/>
      <c r="DR255" s="3"/>
      <c r="DS255" s="3"/>
      <c r="DT255" s="3"/>
      <c r="DU255" s="131"/>
      <c r="DV255" s="15"/>
      <c r="DW255" s="99"/>
      <c r="DX255" s="149"/>
      <c r="DY255" s="134"/>
      <c r="DZ255" s="134"/>
      <c r="EA255" s="137"/>
      <c r="EB255" s="150"/>
      <c r="EC255" s="137"/>
      <c r="ED255" s="137"/>
      <c r="EE255" s="3"/>
      <c r="EF255" s="138"/>
      <c r="EG255" s="2"/>
      <c r="EH255" s="139"/>
      <c r="EI255" s="3"/>
      <c r="EJ255" s="3"/>
      <c r="EK255" s="3"/>
      <c r="EL255" s="3"/>
      <c r="EM255" s="3"/>
      <c r="EN255" s="3"/>
      <c r="EO255" s="3"/>
      <c r="EP255" s="3"/>
      <c r="EQ255" s="3"/>
      <c r="ER255" s="3"/>
      <c r="ES255" s="131"/>
      <c r="ET255" s="15"/>
      <c r="EU255" s="99"/>
      <c r="EV255" s="149"/>
      <c r="EW255" s="134"/>
      <c r="EX255" s="134"/>
      <c r="EY255" s="137"/>
      <c r="EZ255" s="150"/>
      <c r="FA255" s="137"/>
      <c r="FB255" s="137"/>
      <c r="FC255" s="3"/>
      <c r="FD255" s="138"/>
      <c r="FE255" s="2"/>
      <c r="FF255" s="139"/>
      <c r="FG255" s="3"/>
      <c r="FH255" s="3"/>
      <c r="FI255" s="3"/>
      <c r="FJ255" s="3"/>
      <c r="FK255" s="3"/>
      <c r="FL255" s="3"/>
      <c r="FM255" s="3"/>
      <c r="FN255" s="3"/>
      <c r="FO255" s="3"/>
      <c r="FP255" s="3"/>
      <c r="FQ255" s="131"/>
      <c r="FR255" s="15"/>
      <c r="FS255" s="99"/>
      <c r="FT255" s="149"/>
      <c r="FU255" s="134"/>
      <c r="FV255" s="134"/>
      <c r="FW255" s="137"/>
      <c r="FX255" s="150"/>
      <c r="FY255" s="137"/>
      <c r="FZ255" s="137"/>
      <c r="GA255" s="3"/>
      <c r="GB255" s="138"/>
      <c r="GC255" s="2"/>
      <c r="GD255" s="139"/>
      <c r="GE255" s="3"/>
      <c r="GF255" s="3"/>
    </row>
    <row r="256" spans="1:188" s="125" customFormat="1">
      <c r="A256" s="16">
        <v>88</v>
      </c>
      <c r="B256" s="29">
        <v>43077</v>
      </c>
      <c r="C256" s="18"/>
      <c r="D256" s="19" t="s">
        <v>1186</v>
      </c>
      <c r="E256" s="20" t="s">
        <v>428</v>
      </c>
      <c r="F256" s="120" t="s">
        <v>432</v>
      </c>
      <c r="G256" s="63">
        <v>1709</v>
      </c>
      <c r="H256" s="121">
        <v>3111400</v>
      </c>
      <c r="I256" s="24">
        <v>2963238</v>
      </c>
      <c r="J256" s="24"/>
      <c r="K256" s="24">
        <f t="shared" si="19"/>
        <v>2963238</v>
      </c>
      <c r="L256" s="123"/>
      <c r="M256" s="24">
        <f t="shared" si="20"/>
        <v>0</v>
      </c>
      <c r="N256" s="129">
        <f t="shared" si="21"/>
        <v>2963238</v>
      </c>
      <c r="O256" s="107"/>
      <c r="P256" s="3"/>
      <c r="Q256" s="3"/>
      <c r="R256" s="3"/>
      <c r="S256" s="3"/>
      <c r="T256" s="3"/>
      <c r="U256" s="3"/>
      <c r="V256" s="131"/>
      <c r="W256" s="15"/>
      <c r="X256" s="3"/>
      <c r="Y256" s="3"/>
      <c r="Z256" s="3"/>
      <c r="AA256" s="3"/>
      <c r="AB256" s="3"/>
      <c r="AC256" s="131"/>
      <c r="AD256" s="15"/>
      <c r="AE256" s="99"/>
      <c r="AF256" s="149"/>
      <c r="AG256" s="134"/>
      <c r="AH256" s="134"/>
      <c r="AI256" s="137"/>
      <c r="AJ256" s="150"/>
      <c r="AK256" s="137"/>
      <c r="AL256" s="137"/>
      <c r="AM256" s="3"/>
      <c r="AN256" s="138"/>
      <c r="AO256" s="2"/>
      <c r="AP256" s="139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131"/>
      <c r="BB256" s="15"/>
      <c r="BC256" s="99"/>
      <c r="BD256" s="149"/>
      <c r="BE256" s="134"/>
      <c r="BF256" s="134"/>
      <c r="BG256" s="137"/>
      <c r="BH256" s="150"/>
      <c r="BI256" s="137"/>
      <c r="BJ256" s="137"/>
      <c r="BK256" s="3"/>
      <c r="BL256" s="138"/>
      <c r="BM256" s="2"/>
      <c r="BN256" s="139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131"/>
      <c r="BZ256" s="15"/>
      <c r="CA256" s="99"/>
      <c r="CB256" s="149"/>
      <c r="CC256" s="134"/>
      <c r="CD256" s="134"/>
      <c r="CE256" s="137"/>
      <c r="CF256" s="150"/>
      <c r="CG256" s="137"/>
      <c r="CH256" s="137"/>
      <c r="CI256" s="3"/>
      <c r="CJ256" s="138"/>
      <c r="CK256" s="2"/>
      <c r="CL256" s="139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131"/>
      <c r="CX256" s="15"/>
      <c r="CY256" s="99"/>
      <c r="CZ256" s="149"/>
      <c r="DA256" s="134"/>
      <c r="DB256" s="134"/>
      <c r="DC256" s="137"/>
      <c r="DD256" s="150"/>
      <c r="DE256" s="137"/>
      <c r="DF256" s="137"/>
      <c r="DG256" s="3"/>
      <c r="DH256" s="138"/>
      <c r="DI256" s="2"/>
      <c r="DJ256" s="139"/>
      <c r="DK256" s="3"/>
      <c r="DL256" s="3"/>
      <c r="DM256" s="3"/>
      <c r="DN256" s="3"/>
      <c r="DO256" s="3"/>
      <c r="DP256" s="3"/>
      <c r="DQ256" s="3"/>
      <c r="DR256" s="3"/>
      <c r="DS256" s="3"/>
      <c r="DT256" s="3"/>
      <c r="DU256" s="131"/>
      <c r="DV256" s="15"/>
      <c r="DW256" s="99"/>
      <c r="DX256" s="149"/>
      <c r="DY256" s="134"/>
      <c r="DZ256" s="134"/>
      <c r="EA256" s="137"/>
      <c r="EB256" s="150"/>
      <c r="EC256" s="137"/>
      <c r="ED256" s="137"/>
      <c r="EE256" s="3"/>
      <c r="EF256" s="138"/>
      <c r="EG256" s="2"/>
      <c r="EH256" s="139"/>
      <c r="EI256" s="3"/>
      <c r="EJ256" s="3"/>
      <c r="EK256" s="3"/>
      <c r="EL256" s="3"/>
      <c r="EM256" s="3"/>
      <c r="EN256" s="3"/>
      <c r="EO256" s="3"/>
      <c r="EP256" s="3"/>
      <c r="EQ256" s="3"/>
      <c r="ER256" s="3"/>
      <c r="ES256" s="131"/>
      <c r="ET256" s="15"/>
      <c r="EU256" s="99"/>
      <c r="EV256" s="149"/>
      <c r="EW256" s="134"/>
      <c r="EX256" s="134"/>
      <c r="EY256" s="137"/>
      <c r="EZ256" s="150"/>
      <c r="FA256" s="137"/>
      <c r="FB256" s="137"/>
      <c r="FC256" s="3"/>
      <c r="FD256" s="138"/>
      <c r="FE256" s="2"/>
      <c r="FF256" s="139"/>
      <c r="FG256" s="3"/>
      <c r="FH256" s="3"/>
      <c r="FI256" s="3"/>
      <c r="FJ256" s="3"/>
      <c r="FK256" s="3"/>
      <c r="FL256" s="3"/>
      <c r="FM256" s="3"/>
      <c r="FN256" s="3"/>
      <c r="FO256" s="3"/>
      <c r="FP256" s="3"/>
      <c r="FQ256" s="131"/>
      <c r="FR256" s="15"/>
      <c r="FS256" s="99"/>
      <c r="FT256" s="149"/>
      <c r="FU256" s="134"/>
      <c r="FV256" s="134"/>
      <c r="FW256" s="137"/>
      <c r="FX256" s="150"/>
      <c r="FY256" s="137"/>
      <c r="FZ256" s="137"/>
      <c r="GA256" s="3"/>
      <c r="GB256" s="138"/>
      <c r="GC256" s="2"/>
      <c r="GD256" s="139"/>
      <c r="GE256" s="3"/>
      <c r="GF256" s="3"/>
    </row>
    <row r="257" spans="1:188" s="125" customFormat="1">
      <c r="A257" s="16">
        <v>89</v>
      </c>
      <c r="B257" s="29">
        <v>43006</v>
      </c>
      <c r="C257" s="18"/>
      <c r="D257" s="19" t="s">
        <v>1187</v>
      </c>
      <c r="E257" s="20" t="s">
        <v>436</v>
      </c>
      <c r="F257" s="82" t="s">
        <v>437</v>
      </c>
      <c r="G257" s="58">
        <v>1707</v>
      </c>
      <c r="H257" s="121">
        <v>2408700</v>
      </c>
      <c r="I257" s="24">
        <v>2294000</v>
      </c>
      <c r="J257" s="24"/>
      <c r="K257" s="24">
        <f t="shared" si="19"/>
        <v>2294000</v>
      </c>
      <c r="L257" s="123"/>
      <c r="M257" s="24">
        <f t="shared" si="20"/>
        <v>0</v>
      </c>
      <c r="N257" s="129">
        <f t="shared" si="21"/>
        <v>2294000</v>
      </c>
      <c r="O257" s="108"/>
      <c r="AE257" s="167"/>
      <c r="AF257" s="167"/>
      <c r="AG257" s="167"/>
      <c r="AH257" s="167"/>
      <c r="AI257" s="167"/>
      <c r="AJ257" s="167"/>
      <c r="AK257" s="167"/>
      <c r="AL257" s="167"/>
      <c r="BC257" s="167"/>
      <c r="BD257" s="167"/>
      <c r="BE257" s="167"/>
      <c r="BF257" s="167"/>
      <c r="BG257" s="167"/>
      <c r="BH257" s="167"/>
      <c r="BI257" s="167"/>
      <c r="BJ257" s="167"/>
      <c r="CA257" s="167"/>
      <c r="CB257" s="167"/>
      <c r="CC257" s="167"/>
      <c r="CD257" s="167"/>
      <c r="CE257" s="167"/>
      <c r="CF257" s="167"/>
      <c r="CG257" s="167"/>
      <c r="CH257" s="167"/>
      <c r="CY257" s="167"/>
      <c r="CZ257" s="167"/>
      <c r="DA257" s="167"/>
      <c r="DB257" s="167"/>
      <c r="DC257" s="167"/>
      <c r="DD257" s="167"/>
      <c r="DE257" s="167"/>
      <c r="DF257" s="167"/>
      <c r="DW257" s="167"/>
      <c r="DX257" s="167"/>
      <c r="DY257" s="167"/>
      <c r="DZ257" s="167"/>
      <c r="EA257" s="167"/>
      <c r="EB257" s="167"/>
      <c r="EC257" s="167"/>
      <c r="ED257" s="167"/>
      <c r="EU257" s="167"/>
      <c r="EV257" s="167"/>
      <c r="EW257" s="167"/>
      <c r="EX257" s="167"/>
      <c r="EY257" s="167"/>
      <c r="EZ257" s="167"/>
      <c r="FA257" s="167"/>
      <c r="FB257" s="167"/>
      <c r="FS257" s="167"/>
      <c r="FT257" s="167"/>
      <c r="FU257" s="167"/>
      <c r="FV257" s="167"/>
      <c r="FW257" s="167"/>
      <c r="FX257" s="167"/>
      <c r="FY257" s="167"/>
      <c r="FZ257" s="167"/>
    </row>
    <row r="258" spans="1:188" s="125" customFormat="1">
      <c r="A258" s="16">
        <v>90</v>
      </c>
      <c r="B258" s="29">
        <v>43062</v>
      </c>
      <c r="C258" s="18"/>
      <c r="D258" s="19" t="s">
        <v>1188</v>
      </c>
      <c r="E258" s="20" t="s">
        <v>439</v>
      </c>
      <c r="F258" s="62" t="s">
        <v>440</v>
      </c>
      <c r="G258" s="63">
        <v>1709</v>
      </c>
      <c r="H258" s="121">
        <f>22500+4756400</f>
        <v>4778900</v>
      </c>
      <c r="I258" s="24">
        <v>4551333</v>
      </c>
      <c r="J258" s="24"/>
      <c r="K258" s="24">
        <f t="shared" si="19"/>
        <v>4551333</v>
      </c>
      <c r="L258" s="123"/>
      <c r="M258" s="24">
        <f t="shared" si="20"/>
        <v>0</v>
      </c>
      <c r="N258" s="129">
        <f t="shared" si="21"/>
        <v>4551333</v>
      </c>
      <c r="O258" s="85"/>
      <c r="AE258" s="167"/>
      <c r="AF258" s="167"/>
      <c r="AG258" s="167"/>
      <c r="AH258" s="167"/>
      <c r="AI258" s="167"/>
      <c r="AJ258" s="167"/>
      <c r="AK258" s="167"/>
      <c r="AL258" s="167"/>
      <c r="BC258" s="167"/>
      <c r="BD258" s="167"/>
      <c r="BE258" s="167"/>
      <c r="BF258" s="167"/>
      <c r="BG258" s="167"/>
      <c r="BH258" s="167"/>
      <c r="BI258" s="167"/>
      <c r="BJ258" s="167"/>
      <c r="CA258" s="167"/>
      <c r="CB258" s="167"/>
      <c r="CC258" s="167"/>
      <c r="CD258" s="167"/>
      <c r="CE258" s="167"/>
      <c r="CF258" s="167"/>
      <c r="CG258" s="167"/>
      <c r="CH258" s="167"/>
      <c r="CY258" s="167"/>
      <c r="CZ258" s="167"/>
      <c r="DA258" s="167"/>
      <c r="DB258" s="167"/>
      <c r="DC258" s="167"/>
      <c r="DD258" s="167"/>
      <c r="DE258" s="167"/>
      <c r="DF258" s="167"/>
      <c r="DW258" s="167"/>
      <c r="DX258" s="167"/>
      <c r="DY258" s="167"/>
      <c r="DZ258" s="167"/>
      <c r="EA258" s="167"/>
      <c r="EB258" s="167"/>
      <c r="EC258" s="167"/>
      <c r="ED258" s="167"/>
      <c r="EU258" s="167"/>
      <c r="EV258" s="167"/>
      <c r="EW258" s="167"/>
      <c r="EX258" s="167"/>
      <c r="EY258" s="167"/>
      <c r="EZ258" s="167"/>
      <c r="FA258" s="167"/>
      <c r="FB258" s="167"/>
      <c r="FS258" s="167"/>
      <c r="FT258" s="167"/>
      <c r="FU258" s="167"/>
      <c r="FV258" s="167"/>
      <c r="FW258" s="167"/>
      <c r="FX258" s="167"/>
      <c r="FY258" s="167"/>
      <c r="FZ258" s="167"/>
    </row>
    <row r="259" spans="1:188" s="125" customFormat="1">
      <c r="A259" s="16">
        <v>91</v>
      </c>
      <c r="B259" s="17">
        <v>43063</v>
      </c>
      <c r="C259" s="18"/>
      <c r="D259" s="19" t="s">
        <v>1189</v>
      </c>
      <c r="E259" s="20" t="s">
        <v>442</v>
      </c>
      <c r="F259" s="120" t="s">
        <v>445</v>
      </c>
      <c r="G259" s="63">
        <v>1709</v>
      </c>
      <c r="H259" s="121">
        <v>1710800</v>
      </c>
      <c r="I259" s="24">
        <v>1629333</v>
      </c>
      <c r="J259" s="24"/>
      <c r="K259" s="24">
        <f t="shared" si="19"/>
        <v>1629333</v>
      </c>
      <c r="L259" s="123"/>
      <c r="M259" s="24">
        <f t="shared" si="20"/>
        <v>0</v>
      </c>
      <c r="N259" s="129">
        <f t="shared" si="21"/>
        <v>1629333</v>
      </c>
      <c r="O259" s="85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130"/>
      <c r="AF259" s="130"/>
      <c r="AG259" s="130"/>
      <c r="AH259" s="130"/>
      <c r="AI259" s="130"/>
      <c r="AJ259" s="130"/>
      <c r="AK259" s="130"/>
      <c r="AL259" s="130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130"/>
      <c r="BD259" s="130"/>
      <c r="BE259" s="130"/>
      <c r="BF259" s="130"/>
      <c r="BG259" s="130"/>
      <c r="BH259" s="130"/>
      <c r="BI259" s="130"/>
      <c r="BJ259" s="130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130"/>
      <c r="CB259" s="130"/>
      <c r="CC259" s="130"/>
      <c r="CD259" s="130"/>
      <c r="CE259" s="130"/>
      <c r="CF259" s="130"/>
      <c r="CG259" s="130"/>
      <c r="CH259" s="130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  <c r="CX259" s="3"/>
      <c r="CY259" s="130"/>
      <c r="CZ259" s="130"/>
      <c r="DA259" s="130"/>
      <c r="DB259" s="130"/>
      <c r="DC259" s="130"/>
      <c r="DD259" s="130"/>
      <c r="DE259" s="130"/>
      <c r="DF259" s="130"/>
      <c r="DG259" s="3"/>
      <c r="DH259" s="3"/>
      <c r="DI259" s="3"/>
      <c r="DJ259" s="3"/>
      <c r="DK259" s="3"/>
      <c r="DL259" s="3"/>
      <c r="DM259" s="3"/>
      <c r="DN259" s="3"/>
      <c r="DO259" s="3"/>
      <c r="DP259" s="3"/>
      <c r="DQ259" s="3"/>
      <c r="DR259" s="3"/>
      <c r="DS259" s="3"/>
      <c r="DT259" s="3"/>
      <c r="DU259" s="3"/>
      <c r="DV259" s="3"/>
      <c r="DW259" s="130"/>
      <c r="DX259" s="130"/>
      <c r="DY259" s="130"/>
      <c r="DZ259" s="130"/>
      <c r="EA259" s="130"/>
      <c r="EB259" s="130"/>
      <c r="EC259" s="130"/>
      <c r="ED259" s="130"/>
      <c r="EE259" s="3"/>
      <c r="EF259" s="3"/>
      <c r="EG259" s="3"/>
      <c r="EH259" s="3"/>
      <c r="EI259" s="3"/>
      <c r="EJ259" s="3"/>
      <c r="EK259" s="3"/>
      <c r="EL259" s="3"/>
      <c r="EM259" s="3"/>
      <c r="EN259" s="3"/>
      <c r="EO259" s="3"/>
      <c r="EP259" s="3"/>
      <c r="EQ259" s="3"/>
      <c r="ER259" s="3"/>
      <c r="ES259" s="3"/>
      <c r="ET259" s="3"/>
      <c r="EU259" s="130"/>
      <c r="EV259" s="130"/>
      <c r="EW259" s="130"/>
      <c r="EX259" s="130"/>
      <c r="EY259" s="130"/>
      <c r="EZ259" s="130"/>
      <c r="FA259" s="130"/>
      <c r="FB259" s="130"/>
      <c r="FC259" s="3"/>
      <c r="FD259" s="3"/>
      <c r="FE259" s="3"/>
      <c r="FF259" s="3"/>
      <c r="FG259" s="3"/>
      <c r="FH259" s="3"/>
      <c r="FI259" s="3"/>
      <c r="FJ259" s="3"/>
      <c r="FK259" s="3"/>
      <c r="FL259" s="3"/>
      <c r="FM259" s="3"/>
      <c r="FN259" s="3"/>
      <c r="FO259" s="3"/>
      <c r="FP259" s="3"/>
      <c r="FQ259" s="3"/>
      <c r="FR259" s="3"/>
      <c r="FS259" s="130"/>
      <c r="FT259" s="130"/>
      <c r="FU259" s="130"/>
      <c r="FV259" s="130"/>
      <c r="FW259" s="130"/>
      <c r="FX259" s="130"/>
      <c r="FY259" s="130"/>
      <c r="FZ259" s="130"/>
      <c r="GA259" s="3"/>
      <c r="GB259" s="3"/>
      <c r="GC259" s="3"/>
      <c r="GD259" s="3"/>
      <c r="GE259" s="3"/>
      <c r="GF259" s="3"/>
    </row>
    <row r="260" spans="1:188" s="125" customFormat="1">
      <c r="A260" s="16">
        <v>92</v>
      </c>
      <c r="B260" s="29">
        <v>43083</v>
      </c>
      <c r="C260" s="18"/>
      <c r="D260" s="19" t="s">
        <v>1189</v>
      </c>
      <c r="E260" s="20" t="s">
        <v>447</v>
      </c>
      <c r="F260" s="82" t="s">
        <v>449</v>
      </c>
      <c r="G260" s="58">
        <v>1710</v>
      </c>
      <c r="H260" s="121">
        <v>1626200</v>
      </c>
      <c r="I260" s="24">
        <v>1548762</v>
      </c>
      <c r="J260" s="24"/>
      <c r="K260" s="24">
        <f t="shared" si="19"/>
        <v>1548762</v>
      </c>
      <c r="L260" s="123"/>
      <c r="M260" s="24">
        <f t="shared" si="20"/>
        <v>0</v>
      </c>
      <c r="N260" s="129">
        <f t="shared" si="21"/>
        <v>1548762</v>
      </c>
      <c r="O260" s="85"/>
      <c r="AE260" s="167"/>
      <c r="AF260" s="167"/>
      <c r="AG260" s="167"/>
      <c r="AH260" s="167"/>
      <c r="AI260" s="167"/>
      <c r="AJ260" s="167"/>
      <c r="AK260" s="167"/>
      <c r="AL260" s="167"/>
      <c r="BC260" s="167"/>
      <c r="BD260" s="167"/>
      <c r="BE260" s="167"/>
      <c r="BF260" s="167"/>
      <c r="BG260" s="167"/>
      <c r="BH260" s="167"/>
      <c r="BI260" s="167"/>
      <c r="BJ260" s="167"/>
      <c r="CA260" s="167"/>
      <c r="CB260" s="167"/>
      <c r="CC260" s="167"/>
      <c r="CD260" s="167"/>
      <c r="CE260" s="167"/>
      <c r="CF260" s="167"/>
      <c r="CG260" s="167"/>
      <c r="CH260" s="167"/>
      <c r="CY260" s="167"/>
      <c r="CZ260" s="167"/>
      <c r="DA260" s="167"/>
      <c r="DB260" s="167"/>
      <c r="DC260" s="167"/>
      <c r="DD260" s="167"/>
      <c r="DE260" s="167"/>
      <c r="DF260" s="167"/>
      <c r="DW260" s="167"/>
      <c r="DX260" s="167"/>
      <c r="DY260" s="167"/>
      <c r="DZ260" s="167"/>
      <c r="EA260" s="167"/>
      <c r="EB260" s="167"/>
      <c r="EC260" s="167"/>
      <c r="ED260" s="167"/>
      <c r="EU260" s="167"/>
      <c r="EV260" s="167"/>
      <c r="EW260" s="167"/>
      <c r="EX260" s="167"/>
      <c r="EY260" s="167"/>
      <c r="EZ260" s="167"/>
      <c r="FA260" s="167"/>
      <c r="FB260" s="167"/>
      <c r="FS260" s="167"/>
      <c r="FT260" s="167"/>
      <c r="FU260" s="167"/>
      <c r="FV260" s="167"/>
      <c r="FW260" s="167"/>
      <c r="FX260" s="167"/>
      <c r="FY260" s="167"/>
      <c r="FZ260" s="167"/>
    </row>
    <row r="261" spans="1:188" s="125" customFormat="1">
      <c r="A261" s="16">
        <v>93</v>
      </c>
      <c r="B261" s="17">
        <v>43129</v>
      </c>
      <c r="C261" s="18"/>
      <c r="D261" s="19" t="s">
        <v>1189</v>
      </c>
      <c r="E261" s="20" t="s">
        <v>447</v>
      </c>
      <c r="F261" s="168" t="s">
        <v>1190</v>
      </c>
      <c r="G261" s="63">
        <v>1710</v>
      </c>
      <c r="H261" s="121">
        <v>1626200</v>
      </c>
      <c r="I261" s="24"/>
      <c r="J261" s="24">
        <f t="shared" ref="J261:J269" si="22">H261/1.05</f>
        <v>1548761.9047619046</v>
      </c>
      <c r="K261" s="24">
        <f t="shared" si="19"/>
        <v>1548761.9047619046</v>
      </c>
      <c r="L261" s="123"/>
      <c r="M261" s="24">
        <f t="shared" si="20"/>
        <v>0</v>
      </c>
      <c r="N261" s="129">
        <f t="shared" si="21"/>
        <v>1548761.9047619046</v>
      </c>
      <c r="O261" s="107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130"/>
      <c r="AF261" s="130"/>
      <c r="AG261" s="130"/>
      <c r="AH261" s="130"/>
      <c r="AI261" s="130"/>
      <c r="AJ261" s="130"/>
      <c r="AK261" s="130"/>
      <c r="AL261" s="130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130"/>
      <c r="BD261" s="130"/>
      <c r="BE261" s="130"/>
      <c r="BF261" s="130"/>
      <c r="BG261" s="130"/>
      <c r="BH261" s="130"/>
      <c r="BI261" s="130"/>
      <c r="BJ261" s="130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130"/>
      <c r="CB261" s="130"/>
      <c r="CC261" s="130"/>
      <c r="CD261" s="130"/>
      <c r="CE261" s="130"/>
      <c r="CF261" s="130"/>
      <c r="CG261" s="130"/>
      <c r="CH261" s="130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  <c r="CX261" s="3"/>
      <c r="CY261" s="130"/>
      <c r="CZ261" s="130"/>
      <c r="DA261" s="130"/>
      <c r="DB261" s="130"/>
      <c r="DC261" s="130"/>
      <c r="DD261" s="130"/>
      <c r="DE261" s="130"/>
      <c r="DF261" s="130"/>
      <c r="DG261" s="3"/>
      <c r="DH261" s="3"/>
      <c r="DI261" s="3"/>
      <c r="DJ261" s="3"/>
      <c r="DK261" s="3"/>
      <c r="DL261" s="3"/>
      <c r="DM261" s="3"/>
      <c r="DN261" s="3"/>
      <c r="DO261" s="3"/>
      <c r="DP261" s="3"/>
      <c r="DQ261" s="3"/>
      <c r="DR261" s="3"/>
      <c r="DS261" s="3"/>
      <c r="DT261" s="3"/>
      <c r="DU261" s="3"/>
      <c r="DV261" s="3"/>
      <c r="DW261" s="130"/>
      <c r="DX261" s="130"/>
      <c r="DY261" s="130"/>
      <c r="DZ261" s="130"/>
      <c r="EA261" s="130"/>
      <c r="EB261" s="130"/>
      <c r="EC261" s="130"/>
      <c r="ED261" s="130"/>
      <c r="EE261" s="3"/>
      <c r="EF261" s="3"/>
      <c r="EG261" s="3"/>
      <c r="EH261" s="3"/>
      <c r="EI261" s="3"/>
      <c r="EJ261" s="3"/>
      <c r="EK261" s="3"/>
      <c r="EL261" s="3"/>
      <c r="EM261" s="3"/>
      <c r="EN261" s="3"/>
      <c r="EO261" s="3"/>
      <c r="EP261" s="3"/>
      <c r="EQ261" s="3"/>
      <c r="ER261" s="3"/>
      <c r="ES261" s="3"/>
      <c r="ET261" s="3"/>
      <c r="EU261" s="130"/>
      <c r="EV261" s="130"/>
      <c r="EW261" s="130"/>
      <c r="EX261" s="130"/>
      <c r="EY261" s="130"/>
      <c r="EZ261" s="130"/>
      <c r="FA261" s="130"/>
      <c r="FB261" s="130"/>
      <c r="FC261" s="3"/>
      <c r="FD261" s="3"/>
      <c r="FE261" s="3"/>
      <c r="FF261" s="3"/>
      <c r="FG261" s="3"/>
      <c r="FH261" s="3"/>
      <c r="FI261" s="3"/>
      <c r="FJ261" s="3"/>
      <c r="FK261" s="3"/>
      <c r="FL261" s="3"/>
      <c r="FM261" s="3"/>
      <c r="FN261" s="3"/>
      <c r="FO261" s="3"/>
      <c r="FP261" s="3"/>
      <c r="FQ261" s="3"/>
      <c r="FR261" s="3"/>
      <c r="FS261" s="130"/>
      <c r="FT261" s="130"/>
      <c r="FU261" s="130"/>
      <c r="FV261" s="130"/>
      <c r="FW261" s="130"/>
      <c r="FX261" s="130"/>
      <c r="FY261" s="130"/>
      <c r="FZ261" s="130"/>
      <c r="GA261" s="3"/>
      <c r="GB261" s="3"/>
      <c r="GC261" s="3"/>
      <c r="GD261" s="3"/>
      <c r="GE261" s="3"/>
      <c r="GF261" s="3"/>
    </row>
    <row r="262" spans="1:188" s="125" customFormat="1">
      <c r="A262" s="16">
        <v>94</v>
      </c>
      <c r="B262" s="29">
        <v>43129</v>
      </c>
      <c r="C262" s="18"/>
      <c r="D262" s="198" t="s">
        <v>1189</v>
      </c>
      <c r="E262" s="20" t="s">
        <v>447</v>
      </c>
      <c r="F262" s="82" t="s">
        <v>1191</v>
      </c>
      <c r="G262" s="63">
        <v>1710</v>
      </c>
      <c r="H262" s="121">
        <v>1626200</v>
      </c>
      <c r="I262" s="24"/>
      <c r="J262" s="24">
        <f t="shared" si="22"/>
        <v>1548761.9047619046</v>
      </c>
      <c r="K262" s="24">
        <f t="shared" si="19"/>
        <v>1548761.9047619046</v>
      </c>
      <c r="L262" s="123"/>
      <c r="M262" s="24">
        <f t="shared" si="20"/>
        <v>0</v>
      </c>
      <c r="N262" s="129">
        <f t="shared" si="21"/>
        <v>1548761.9047619046</v>
      </c>
      <c r="O262" s="107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130"/>
      <c r="AF262" s="130"/>
      <c r="AG262" s="130"/>
      <c r="AH262" s="130"/>
      <c r="AI262" s="130"/>
      <c r="AJ262" s="130"/>
      <c r="AK262" s="130"/>
      <c r="AL262" s="130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130"/>
      <c r="BD262" s="130"/>
      <c r="BE262" s="130"/>
      <c r="BF262" s="130"/>
      <c r="BG262" s="130"/>
      <c r="BH262" s="130"/>
      <c r="BI262" s="130"/>
      <c r="BJ262" s="130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130"/>
      <c r="CB262" s="130"/>
      <c r="CC262" s="130"/>
      <c r="CD262" s="130"/>
      <c r="CE262" s="130"/>
      <c r="CF262" s="130"/>
      <c r="CG262" s="130"/>
      <c r="CH262" s="130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  <c r="CX262" s="3"/>
      <c r="CY262" s="130"/>
      <c r="CZ262" s="130"/>
      <c r="DA262" s="130"/>
      <c r="DB262" s="130"/>
      <c r="DC262" s="130"/>
      <c r="DD262" s="130"/>
      <c r="DE262" s="130"/>
      <c r="DF262" s="130"/>
      <c r="DG262" s="3"/>
      <c r="DH262" s="3"/>
      <c r="DI262" s="3"/>
      <c r="DJ262" s="3"/>
      <c r="DK262" s="3"/>
      <c r="DL262" s="3"/>
      <c r="DM262" s="3"/>
      <c r="DN262" s="3"/>
      <c r="DO262" s="3"/>
      <c r="DP262" s="3"/>
      <c r="DQ262" s="3"/>
      <c r="DR262" s="3"/>
      <c r="DS262" s="3"/>
      <c r="DT262" s="3"/>
      <c r="DU262" s="3"/>
      <c r="DV262" s="3"/>
      <c r="DW262" s="130"/>
      <c r="DX262" s="130"/>
      <c r="DY262" s="130"/>
      <c r="DZ262" s="130"/>
      <c r="EA262" s="130"/>
      <c r="EB262" s="130"/>
      <c r="EC262" s="130"/>
      <c r="ED262" s="130"/>
      <c r="EE262" s="3"/>
      <c r="EF262" s="3"/>
      <c r="EG262" s="3"/>
      <c r="EH262" s="3"/>
      <c r="EI262" s="3"/>
      <c r="EJ262" s="3"/>
      <c r="EK262" s="3"/>
      <c r="EL262" s="3"/>
      <c r="EM262" s="3"/>
      <c r="EN262" s="3"/>
      <c r="EO262" s="3"/>
      <c r="EP262" s="3"/>
      <c r="EQ262" s="3"/>
      <c r="ER262" s="3"/>
      <c r="ES262" s="3"/>
      <c r="ET262" s="3"/>
      <c r="EU262" s="130"/>
      <c r="EV262" s="130"/>
      <c r="EW262" s="130"/>
      <c r="EX262" s="130"/>
      <c r="EY262" s="130"/>
      <c r="EZ262" s="130"/>
      <c r="FA262" s="130"/>
      <c r="FB262" s="130"/>
      <c r="FC262" s="3"/>
      <c r="FD262" s="3"/>
      <c r="FE262" s="3"/>
      <c r="FF262" s="3"/>
      <c r="FG262" s="3"/>
      <c r="FH262" s="3"/>
      <c r="FI262" s="3"/>
      <c r="FJ262" s="3"/>
      <c r="FK262" s="3"/>
      <c r="FL262" s="3"/>
      <c r="FM262" s="3"/>
      <c r="FN262" s="3"/>
      <c r="FO262" s="3"/>
      <c r="FP262" s="3"/>
      <c r="FQ262" s="3"/>
      <c r="FR262" s="3"/>
      <c r="FS262" s="130"/>
      <c r="FT262" s="130"/>
      <c r="FU262" s="130"/>
      <c r="FV262" s="130"/>
      <c r="FW262" s="130"/>
      <c r="FX262" s="130"/>
      <c r="FY262" s="130"/>
      <c r="FZ262" s="130"/>
      <c r="GA262" s="3"/>
      <c r="GB262" s="3"/>
      <c r="GC262" s="3"/>
      <c r="GD262" s="3"/>
      <c r="GE262" s="3"/>
      <c r="GF262" s="3"/>
    </row>
    <row r="263" spans="1:188" s="125" customFormat="1">
      <c r="A263" s="16">
        <v>95</v>
      </c>
      <c r="B263" s="17">
        <v>43130</v>
      </c>
      <c r="C263" s="18"/>
      <c r="D263" s="19" t="s">
        <v>1189</v>
      </c>
      <c r="E263" s="20" t="s">
        <v>447</v>
      </c>
      <c r="F263" s="168" t="s">
        <v>1192</v>
      </c>
      <c r="G263" s="63">
        <v>1710</v>
      </c>
      <c r="H263" s="121">
        <v>1626200</v>
      </c>
      <c r="I263" s="24"/>
      <c r="J263" s="24">
        <f t="shared" si="22"/>
        <v>1548761.9047619046</v>
      </c>
      <c r="K263" s="24">
        <f t="shared" si="19"/>
        <v>1548761.9047619046</v>
      </c>
      <c r="L263" s="123"/>
      <c r="M263" s="24">
        <f t="shared" si="20"/>
        <v>0</v>
      </c>
      <c r="N263" s="129">
        <f t="shared" si="21"/>
        <v>1548761.9047619046</v>
      </c>
      <c r="O263" s="107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130"/>
      <c r="AF263" s="130"/>
      <c r="AG263" s="130"/>
      <c r="AH263" s="130"/>
      <c r="AI263" s="130"/>
      <c r="AJ263" s="130"/>
      <c r="AK263" s="130"/>
      <c r="AL263" s="130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130"/>
      <c r="BD263" s="130"/>
      <c r="BE263" s="130"/>
      <c r="BF263" s="130"/>
      <c r="BG263" s="130"/>
      <c r="BH263" s="130"/>
      <c r="BI263" s="130"/>
      <c r="BJ263" s="130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130"/>
      <c r="CB263" s="130"/>
      <c r="CC263" s="130"/>
      <c r="CD263" s="130"/>
      <c r="CE263" s="130"/>
      <c r="CF263" s="130"/>
      <c r="CG263" s="130"/>
      <c r="CH263" s="130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  <c r="CX263" s="3"/>
      <c r="CY263" s="130"/>
      <c r="CZ263" s="130"/>
      <c r="DA263" s="130"/>
      <c r="DB263" s="130"/>
      <c r="DC263" s="130"/>
      <c r="DD263" s="130"/>
      <c r="DE263" s="130"/>
      <c r="DF263" s="130"/>
      <c r="DG263" s="3"/>
      <c r="DH263" s="3"/>
      <c r="DI263" s="3"/>
      <c r="DJ263" s="3"/>
      <c r="DK263" s="3"/>
      <c r="DL263" s="3"/>
      <c r="DM263" s="3"/>
      <c r="DN263" s="3"/>
      <c r="DO263" s="3"/>
      <c r="DP263" s="3"/>
      <c r="DQ263" s="3"/>
      <c r="DR263" s="3"/>
      <c r="DS263" s="3"/>
      <c r="DT263" s="3"/>
      <c r="DU263" s="3"/>
      <c r="DV263" s="3"/>
      <c r="DW263" s="130"/>
      <c r="DX263" s="130"/>
      <c r="DY263" s="130"/>
      <c r="DZ263" s="130"/>
      <c r="EA263" s="130"/>
      <c r="EB263" s="130"/>
      <c r="EC263" s="130"/>
      <c r="ED263" s="130"/>
      <c r="EE263" s="3"/>
      <c r="EF263" s="3"/>
      <c r="EG263" s="3"/>
      <c r="EH263" s="3"/>
      <c r="EI263" s="3"/>
      <c r="EJ263" s="3"/>
      <c r="EK263" s="3"/>
      <c r="EL263" s="3"/>
      <c r="EM263" s="3"/>
      <c r="EN263" s="3"/>
      <c r="EO263" s="3"/>
      <c r="EP263" s="3"/>
      <c r="EQ263" s="3"/>
      <c r="ER263" s="3"/>
      <c r="ES263" s="3"/>
      <c r="ET263" s="3"/>
      <c r="EU263" s="130"/>
      <c r="EV263" s="130"/>
      <c r="EW263" s="130"/>
      <c r="EX263" s="130"/>
      <c r="EY263" s="130"/>
      <c r="EZ263" s="130"/>
      <c r="FA263" s="130"/>
      <c r="FB263" s="130"/>
      <c r="FC263" s="3"/>
      <c r="FD263" s="3"/>
      <c r="FE263" s="3"/>
      <c r="FF263" s="3"/>
      <c r="FG263" s="3"/>
      <c r="FH263" s="3"/>
      <c r="FI263" s="3"/>
      <c r="FJ263" s="3"/>
      <c r="FK263" s="3"/>
      <c r="FL263" s="3"/>
      <c r="FM263" s="3"/>
      <c r="FN263" s="3"/>
      <c r="FO263" s="3"/>
      <c r="FP263" s="3"/>
      <c r="FQ263" s="3"/>
      <c r="FR263" s="3"/>
      <c r="FS263" s="130"/>
      <c r="FT263" s="130"/>
      <c r="FU263" s="130"/>
      <c r="FV263" s="130"/>
      <c r="FW263" s="130"/>
      <c r="FX263" s="130"/>
      <c r="FY263" s="130"/>
      <c r="FZ263" s="130"/>
      <c r="GA263" s="3"/>
      <c r="GB263" s="3"/>
      <c r="GC263" s="3"/>
      <c r="GD263" s="3"/>
      <c r="GE263" s="3"/>
      <c r="GF263" s="3"/>
    </row>
    <row r="264" spans="1:188" s="125" customFormat="1">
      <c r="A264" s="16">
        <v>96</v>
      </c>
      <c r="B264" s="17">
        <v>43130</v>
      </c>
      <c r="C264" s="18"/>
      <c r="D264" s="19" t="s">
        <v>1189</v>
      </c>
      <c r="E264" s="20" t="s">
        <v>447</v>
      </c>
      <c r="F264" s="57" t="s">
        <v>1193</v>
      </c>
      <c r="G264" s="58">
        <v>1710</v>
      </c>
      <c r="H264" s="121">
        <v>1626200</v>
      </c>
      <c r="I264" s="24"/>
      <c r="J264" s="24">
        <f t="shared" si="22"/>
        <v>1548761.9047619046</v>
      </c>
      <c r="K264" s="24">
        <f t="shared" si="19"/>
        <v>1548761.9047619046</v>
      </c>
      <c r="L264" s="123"/>
      <c r="M264" s="24">
        <f t="shared" si="20"/>
        <v>0</v>
      </c>
      <c r="N264" s="129">
        <f t="shared" si="21"/>
        <v>1548761.9047619046</v>
      </c>
      <c r="O264" s="85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130"/>
      <c r="AF264" s="130"/>
      <c r="AG264" s="130"/>
      <c r="AH264" s="130"/>
      <c r="AI264" s="130"/>
      <c r="AJ264" s="130"/>
      <c r="AK264" s="130"/>
      <c r="AL264" s="130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130"/>
      <c r="BD264" s="130"/>
      <c r="BE264" s="130"/>
      <c r="BF264" s="130"/>
      <c r="BG264" s="130"/>
      <c r="BH264" s="130"/>
      <c r="BI264" s="130"/>
      <c r="BJ264" s="130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130"/>
      <c r="CB264" s="130"/>
      <c r="CC264" s="130"/>
      <c r="CD264" s="130"/>
      <c r="CE264" s="130"/>
      <c r="CF264" s="130"/>
      <c r="CG264" s="130"/>
      <c r="CH264" s="130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  <c r="CX264" s="3"/>
      <c r="CY264" s="130"/>
      <c r="CZ264" s="130"/>
      <c r="DA264" s="130"/>
      <c r="DB264" s="130"/>
      <c r="DC264" s="130"/>
      <c r="DD264" s="130"/>
      <c r="DE264" s="130"/>
      <c r="DF264" s="130"/>
      <c r="DG264" s="3"/>
      <c r="DH264" s="3"/>
      <c r="DI264" s="3"/>
      <c r="DJ264" s="3"/>
      <c r="DK264" s="3"/>
      <c r="DL264" s="3"/>
      <c r="DM264" s="3"/>
      <c r="DN264" s="3"/>
      <c r="DO264" s="3"/>
      <c r="DP264" s="3"/>
      <c r="DQ264" s="3"/>
      <c r="DR264" s="3"/>
      <c r="DS264" s="3"/>
      <c r="DT264" s="3"/>
      <c r="DU264" s="3"/>
      <c r="DV264" s="3"/>
      <c r="DW264" s="130"/>
      <c r="DX264" s="130"/>
      <c r="DY264" s="130"/>
      <c r="DZ264" s="130"/>
      <c r="EA264" s="130"/>
      <c r="EB264" s="130"/>
      <c r="EC264" s="130"/>
      <c r="ED264" s="130"/>
      <c r="EE264" s="3"/>
      <c r="EF264" s="3"/>
      <c r="EG264" s="3"/>
      <c r="EH264" s="3"/>
      <c r="EI264" s="3"/>
      <c r="EJ264" s="3"/>
      <c r="EK264" s="3"/>
      <c r="EL264" s="3"/>
      <c r="EM264" s="3"/>
      <c r="EN264" s="3"/>
      <c r="EO264" s="3"/>
      <c r="EP264" s="3"/>
      <c r="EQ264" s="3"/>
      <c r="ER264" s="3"/>
      <c r="ES264" s="3"/>
      <c r="ET264" s="3"/>
      <c r="EU264" s="130"/>
      <c r="EV264" s="130"/>
      <c r="EW264" s="130"/>
      <c r="EX264" s="130"/>
      <c r="EY264" s="130"/>
      <c r="EZ264" s="130"/>
      <c r="FA264" s="130"/>
      <c r="FB264" s="130"/>
      <c r="FC264" s="3"/>
      <c r="FD264" s="3"/>
      <c r="FE264" s="3"/>
      <c r="FF264" s="3"/>
      <c r="FG264" s="3"/>
      <c r="FH264" s="3"/>
      <c r="FI264" s="3"/>
      <c r="FJ264" s="3"/>
      <c r="FK264" s="3"/>
      <c r="FL264" s="3"/>
      <c r="FM264" s="3"/>
      <c r="FN264" s="3"/>
      <c r="FO264" s="3"/>
      <c r="FP264" s="3"/>
      <c r="FQ264" s="3"/>
      <c r="FR264" s="3"/>
      <c r="FS264" s="130"/>
      <c r="FT264" s="130"/>
      <c r="FU264" s="130"/>
      <c r="FV264" s="130"/>
      <c r="FW264" s="130"/>
      <c r="FX264" s="130"/>
      <c r="FY264" s="130"/>
      <c r="FZ264" s="130"/>
      <c r="GA264" s="3"/>
      <c r="GB264" s="3"/>
      <c r="GC264" s="3"/>
      <c r="GD264" s="3"/>
      <c r="GE264" s="3"/>
      <c r="GF264" s="3"/>
    </row>
    <row r="265" spans="1:188" s="125" customFormat="1">
      <c r="A265" s="16">
        <v>97</v>
      </c>
      <c r="B265" s="17">
        <v>43131</v>
      </c>
      <c r="C265" s="18"/>
      <c r="D265" s="19" t="s">
        <v>1189</v>
      </c>
      <c r="E265" s="20" t="s">
        <v>447</v>
      </c>
      <c r="F265" s="168" t="s">
        <v>1194</v>
      </c>
      <c r="G265" s="63">
        <v>1710</v>
      </c>
      <c r="H265" s="121">
        <v>1626200</v>
      </c>
      <c r="I265" s="24"/>
      <c r="J265" s="24">
        <f t="shared" si="22"/>
        <v>1548761.9047619046</v>
      </c>
      <c r="K265" s="24">
        <f t="shared" si="19"/>
        <v>1548761.9047619046</v>
      </c>
      <c r="L265" s="123"/>
      <c r="M265" s="24">
        <f t="shared" si="20"/>
        <v>0</v>
      </c>
      <c r="N265" s="129">
        <f t="shared" si="21"/>
        <v>1548761.9047619046</v>
      </c>
      <c r="O265" s="85"/>
      <c r="AE265" s="167"/>
      <c r="AF265" s="167"/>
      <c r="AG265" s="167"/>
      <c r="AH265" s="167"/>
      <c r="AI265" s="167"/>
      <c r="AJ265" s="167"/>
      <c r="AK265" s="167"/>
      <c r="AL265" s="167"/>
      <c r="BC265" s="167"/>
      <c r="BD265" s="167"/>
      <c r="BE265" s="167"/>
      <c r="BF265" s="167"/>
      <c r="BG265" s="167"/>
      <c r="BH265" s="167"/>
      <c r="BI265" s="167"/>
      <c r="BJ265" s="167"/>
      <c r="CA265" s="167"/>
      <c r="CB265" s="167"/>
      <c r="CC265" s="167"/>
      <c r="CD265" s="167"/>
      <c r="CE265" s="167"/>
      <c r="CF265" s="167"/>
      <c r="CG265" s="167"/>
      <c r="CH265" s="167"/>
      <c r="CY265" s="167"/>
      <c r="CZ265" s="167"/>
      <c r="DA265" s="167"/>
      <c r="DB265" s="167"/>
      <c r="DC265" s="167"/>
      <c r="DD265" s="167"/>
      <c r="DE265" s="167"/>
      <c r="DF265" s="167"/>
      <c r="DW265" s="167"/>
      <c r="DX265" s="167"/>
      <c r="DY265" s="167"/>
      <c r="DZ265" s="167"/>
      <c r="EA265" s="167"/>
      <c r="EB265" s="167"/>
      <c r="EC265" s="167"/>
      <c r="ED265" s="167"/>
      <c r="EU265" s="167"/>
      <c r="EV265" s="167"/>
      <c r="EW265" s="167"/>
      <c r="EX265" s="167"/>
      <c r="EY265" s="167"/>
      <c r="EZ265" s="167"/>
      <c r="FA265" s="167"/>
      <c r="FB265" s="167"/>
      <c r="FS265" s="167"/>
      <c r="FT265" s="167"/>
      <c r="FU265" s="167"/>
      <c r="FV265" s="167"/>
      <c r="FW265" s="167"/>
      <c r="FX265" s="167"/>
      <c r="FY265" s="167"/>
      <c r="FZ265" s="167"/>
    </row>
    <row r="266" spans="1:188" s="125" customFormat="1">
      <c r="A266" s="16">
        <v>98</v>
      </c>
      <c r="B266" s="29">
        <v>43104</v>
      </c>
      <c r="C266" s="18"/>
      <c r="D266" s="19" t="s">
        <v>1189</v>
      </c>
      <c r="E266" s="20" t="s">
        <v>447</v>
      </c>
      <c r="F266" s="62" t="s">
        <v>1195</v>
      </c>
      <c r="G266" s="63">
        <v>1710</v>
      </c>
      <c r="H266" s="121">
        <v>1626200</v>
      </c>
      <c r="I266" s="24"/>
      <c r="J266" s="24">
        <f t="shared" si="22"/>
        <v>1548761.9047619046</v>
      </c>
      <c r="K266" s="24">
        <f t="shared" si="19"/>
        <v>1548761.9047619046</v>
      </c>
      <c r="L266" s="123"/>
      <c r="M266" s="24">
        <f t="shared" si="20"/>
        <v>0</v>
      </c>
      <c r="N266" s="129">
        <f t="shared" si="21"/>
        <v>1548761.9047619046</v>
      </c>
      <c r="O266" s="107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130"/>
      <c r="AF266" s="130"/>
      <c r="AG266" s="130"/>
      <c r="AH266" s="130"/>
      <c r="AI266" s="130"/>
      <c r="AJ266" s="130"/>
      <c r="AK266" s="130"/>
      <c r="AL266" s="130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130"/>
      <c r="BD266" s="130"/>
      <c r="BE266" s="130"/>
      <c r="BF266" s="130"/>
      <c r="BG266" s="130"/>
      <c r="BH266" s="130"/>
      <c r="BI266" s="130"/>
      <c r="BJ266" s="130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130"/>
      <c r="CB266" s="130"/>
      <c r="CC266" s="130"/>
      <c r="CD266" s="130"/>
      <c r="CE266" s="130"/>
      <c r="CF266" s="130"/>
      <c r="CG266" s="130"/>
      <c r="CH266" s="130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  <c r="CX266" s="3"/>
      <c r="CY266" s="130"/>
      <c r="CZ266" s="130"/>
      <c r="DA266" s="130"/>
      <c r="DB266" s="130"/>
      <c r="DC266" s="130"/>
      <c r="DD266" s="130"/>
      <c r="DE266" s="130"/>
      <c r="DF266" s="130"/>
      <c r="DG266" s="3"/>
      <c r="DH266" s="3"/>
      <c r="DI266" s="3"/>
      <c r="DJ266" s="3"/>
      <c r="DK266" s="3"/>
      <c r="DL266" s="3"/>
      <c r="DM266" s="3"/>
      <c r="DN266" s="3"/>
      <c r="DO266" s="3"/>
      <c r="DP266" s="3"/>
      <c r="DQ266" s="3"/>
      <c r="DR266" s="3"/>
      <c r="DS266" s="3"/>
      <c r="DT266" s="3"/>
      <c r="DU266" s="3"/>
      <c r="DV266" s="3"/>
      <c r="DW266" s="130"/>
      <c r="DX266" s="130"/>
      <c r="DY266" s="130"/>
      <c r="DZ266" s="130"/>
      <c r="EA266" s="130"/>
      <c r="EB266" s="130"/>
      <c r="EC266" s="130"/>
      <c r="ED266" s="130"/>
      <c r="EE266" s="3"/>
      <c r="EF266" s="3"/>
      <c r="EG266" s="3"/>
      <c r="EH266" s="3"/>
      <c r="EI266" s="3"/>
      <c r="EJ266" s="3"/>
      <c r="EK266" s="3"/>
      <c r="EL266" s="3"/>
      <c r="EM266" s="3"/>
      <c r="EN266" s="3"/>
      <c r="EO266" s="3"/>
      <c r="EP266" s="3"/>
      <c r="EQ266" s="3"/>
      <c r="ER266" s="3"/>
      <c r="ES266" s="3"/>
      <c r="ET266" s="3"/>
      <c r="EU266" s="130"/>
      <c r="EV266" s="130"/>
      <c r="EW266" s="130"/>
      <c r="EX266" s="130"/>
      <c r="EY266" s="130"/>
      <c r="EZ266" s="130"/>
      <c r="FA266" s="130"/>
      <c r="FB266" s="130"/>
      <c r="FC266" s="3"/>
      <c r="FD266" s="3"/>
      <c r="FE266" s="3"/>
      <c r="FF266" s="3"/>
      <c r="FG266" s="3"/>
      <c r="FH266" s="3"/>
      <c r="FI266" s="3"/>
      <c r="FJ266" s="3"/>
      <c r="FK266" s="3"/>
      <c r="FL266" s="3"/>
      <c r="FM266" s="3"/>
      <c r="FN266" s="3"/>
      <c r="FO266" s="3"/>
      <c r="FP266" s="3"/>
      <c r="FQ266" s="3"/>
      <c r="FR266" s="3"/>
      <c r="FS266" s="130"/>
      <c r="FT266" s="130"/>
      <c r="FU266" s="130"/>
      <c r="FV266" s="130"/>
      <c r="FW266" s="130"/>
      <c r="FX266" s="130"/>
      <c r="FY266" s="130"/>
      <c r="FZ266" s="130"/>
      <c r="GA266" s="3"/>
      <c r="GB266" s="3"/>
      <c r="GC266" s="3"/>
      <c r="GD266" s="3"/>
      <c r="GE266" s="3"/>
      <c r="GF266" s="3"/>
    </row>
    <row r="267" spans="1:188" s="125" customFormat="1">
      <c r="A267" s="16">
        <v>99</v>
      </c>
      <c r="B267" s="29">
        <v>43130</v>
      </c>
      <c r="C267" s="18"/>
      <c r="D267" s="19" t="s">
        <v>1189</v>
      </c>
      <c r="E267" s="20" t="s">
        <v>447</v>
      </c>
      <c r="F267" s="82" t="s">
        <v>1196</v>
      </c>
      <c r="G267" s="58">
        <v>1710</v>
      </c>
      <c r="H267" s="121">
        <v>1626200</v>
      </c>
      <c r="I267" s="24"/>
      <c r="J267" s="24">
        <f t="shared" si="22"/>
        <v>1548761.9047619046</v>
      </c>
      <c r="K267" s="24">
        <f t="shared" si="19"/>
        <v>1548761.9047619046</v>
      </c>
      <c r="L267" s="123"/>
      <c r="M267" s="24">
        <f t="shared" si="20"/>
        <v>0</v>
      </c>
      <c r="N267" s="129">
        <f t="shared" si="21"/>
        <v>1548761.9047619046</v>
      </c>
      <c r="O267" s="85"/>
      <c r="AE267" s="167"/>
      <c r="AF267" s="167"/>
      <c r="AG267" s="167"/>
      <c r="AH267" s="167"/>
      <c r="AI267" s="167"/>
      <c r="AJ267" s="167"/>
      <c r="AK267" s="167"/>
      <c r="AL267" s="167"/>
      <c r="BC267" s="167"/>
      <c r="BD267" s="167"/>
      <c r="BE267" s="167"/>
      <c r="BF267" s="167"/>
      <c r="BG267" s="167"/>
      <c r="BH267" s="167"/>
      <c r="BI267" s="167"/>
      <c r="BJ267" s="167"/>
      <c r="CA267" s="167"/>
      <c r="CB267" s="167"/>
      <c r="CC267" s="167"/>
      <c r="CD267" s="167"/>
      <c r="CE267" s="167"/>
      <c r="CF267" s="167"/>
      <c r="CG267" s="167"/>
      <c r="CH267" s="167"/>
      <c r="CY267" s="167"/>
      <c r="CZ267" s="167"/>
      <c r="DA267" s="167"/>
      <c r="DB267" s="167"/>
      <c r="DC267" s="167"/>
      <c r="DD267" s="167"/>
      <c r="DE267" s="167"/>
      <c r="DF267" s="167"/>
      <c r="DW267" s="167"/>
      <c r="DX267" s="167"/>
      <c r="DY267" s="167"/>
      <c r="DZ267" s="167"/>
      <c r="EA267" s="167"/>
      <c r="EB267" s="167"/>
      <c r="EC267" s="167"/>
      <c r="ED267" s="167"/>
      <c r="EU267" s="167"/>
      <c r="EV267" s="167"/>
      <c r="EW267" s="167"/>
      <c r="EX267" s="167"/>
      <c r="EY267" s="167"/>
      <c r="EZ267" s="167"/>
      <c r="FA267" s="167"/>
      <c r="FB267" s="167"/>
      <c r="FS267" s="167"/>
      <c r="FT267" s="167"/>
      <c r="FU267" s="167"/>
      <c r="FV267" s="167"/>
      <c r="FW267" s="167"/>
      <c r="FX267" s="167"/>
      <c r="FY267" s="167"/>
      <c r="FZ267" s="167"/>
    </row>
    <row r="268" spans="1:188" s="125" customFormat="1">
      <c r="A268" s="16">
        <v>100</v>
      </c>
      <c r="B268" s="29">
        <v>43104</v>
      </c>
      <c r="C268" s="18"/>
      <c r="D268" s="19" t="s">
        <v>1189</v>
      </c>
      <c r="E268" s="20" t="s">
        <v>447</v>
      </c>
      <c r="F268" s="82" t="s">
        <v>1197</v>
      </c>
      <c r="G268" s="58">
        <v>1710</v>
      </c>
      <c r="H268" s="121">
        <v>1626200</v>
      </c>
      <c r="I268" s="24"/>
      <c r="J268" s="24">
        <f t="shared" si="22"/>
        <v>1548761.9047619046</v>
      </c>
      <c r="K268" s="24">
        <f t="shared" si="19"/>
        <v>1548761.9047619046</v>
      </c>
      <c r="L268" s="123"/>
      <c r="M268" s="24">
        <f t="shared" si="20"/>
        <v>0</v>
      </c>
      <c r="N268" s="129">
        <f t="shared" si="21"/>
        <v>1548761.9047619046</v>
      </c>
      <c r="O268" s="107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130"/>
      <c r="AF268" s="130"/>
      <c r="AG268" s="130"/>
      <c r="AH268" s="130"/>
      <c r="AI268" s="130"/>
      <c r="AJ268" s="130"/>
      <c r="AK268" s="130"/>
      <c r="AL268" s="130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130"/>
      <c r="BD268" s="130"/>
      <c r="BE268" s="130"/>
      <c r="BF268" s="130"/>
      <c r="BG268" s="130"/>
      <c r="BH268" s="130"/>
      <c r="BI268" s="130"/>
      <c r="BJ268" s="130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130"/>
      <c r="CB268" s="130"/>
      <c r="CC268" s="130"/>
      <c r="CD268" s="130"/>
      <c r="CE268" s="130"/>
      <c r="CF268" s="130"/>
      <c r="CG268" s="130"/>
      <c r="CH268" s="130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  <c r="CX268" s="3"/>
      <c r="CY268" s="130"/>
      <c r="CZ268" s="130"/>
      <c r="DA268" s="130"/>
      <c r="DB268" s="130"/>
      <c r="DC268" s="130"/>
      <c r="DD268" s="130"/>
      <c r="DE268" s="130"/>
      <c r="DF268" s="130"/>
      <c r="DG268" s="3"/>
      <c r="DH268" s="3"/>
      <c r="DI268" s="3"/>
      <c r="DJ268" s="3"/>
      <c r="DK268" s="3"/>
      <c r="DL268" s="3"/>
      <c r="DM268" s="3"/>
      <c r="DN268" s="3"/>
      <c r="DO268" s="3"/>
      <c r="DP268" s="3"/>
      <c r="DQ268" s="3"/>
      <c r="DR268" s="3"/>
      <c r="DS268" s="3"/>
      <c r="DT268" s="3"/>
      <c r="DU268" s="3"/>
      <c r="DV268" s="3"/>
      <c r="DW268" s="130"/>
      <c r="DX268" s="130"/>
      <c r="DY268" s="130"/>
      <c r="DZ268" s="130"/>
      <c r="EA268" s="130"/>
      <c r="EB268" s="130"/>
      <c r="EC268" s="130"/>
      <c r="ED268" s="130"/>
      <c r="EE268" s="3"/>
      <c r="EF268" s="3"/>
      <c r="EG268" s="3"/>
      <c r="EH268" s="3"/>
      <c r="EI268" s="3"/>
      <c r="EJ268" s="3"/>
      <c r="EK268" s="3"/>
      <c r="EL268" s="3"/>
      <c r="EM268" s="3"/>
      <c r="EN268" s="3"/>
      <c r="EO268" s="3"/>
      <c r="EP268" s="3"/>
      <c r="EQ268" s="3"/>
      <c r="ER268" s="3"/>
      <c r="ES268" s="3"/>
      <c r="ET268" s="3"/>
      <c r="EU268" s="130"/>
      <c r="EV268" s="130"/>
      <c r="EW268" s="130"/>
      <c r="EX268" s="130"/>
      <c r="EY268" s="130"/>
      <c r="EZ268" s="130"/>
      <c r="FA268" s="130"/>
      <c r="FB268" s="130"/>
      <c r="FC268" s="3"/>
      <c r="FD268" s="3"/>
      <c r="FE268" s="3"/>
      <c r="FF268" s="3"/>
      <c r="FG268" s="3"/>
      <c r="FH268" s="3"/>
      <c r="FI268" s="3"/>
      <c r="FJ268" s="3"/>
      <c r="FK268" s="3"/>
      <c r="FL268" s="3"/>
      <c r="FM268" s="3"/>
      <c r="FN268" s="3"/>
      <c r="FO268" s="3"/>
      <c r="FP268" s="3"/>
      <c r="FQ268" s="3"/>
      <c r="FR268" s="3"/>
      <c r="FS268" s="130"/>
      <c r="FT268" s="130"/>
      <c r="FU268" s="130"/>
      <c r="FV268" s="130"/>
      <c r="FW268" s="130"/>
      <c r="FX268" s="130"/>
      <c r="FY268" s="130"/>
      <c r="FZ268" s="130"/>
      <c r="GA268" s="3"/>
      <c r="GB268" s="3"/>
      <c r="GC268" s="3"/>
      <c r="GD268" s="3"/>
      <c r="GE268" s="3"/>
      <c r="GF268" s="3"/>
    </row>
    <row r="269" spans="1:188" s="125" customFormat="1">
      <c r="A269" s="16">
        <v>101</v>
      </c>
      <c r="B269" s="128">
        <v>43104</v>
      </c>
      <c r="C269" s="18"/>
      <c r="D269" s="19" t="s">
        <v>1189</v>
      </c>
      <c r="E269" s="20" t="s">
        <v>447</v>
      </c>
      <c r="F269" s="62" t="s">
        <v>1198</v>
      </c>
      <c r="G269" s="63">
        <v>1710</v>
      </c>
      <c r="H269" s="121">
        <v>1626200</v>
      </c>
      <c r="I269" s="24"/>
      <c r="J269" s="24">
        <f t="shared" si="22"/>
        <v>1548761.9047619046</v>
      </c>
      <c r="K269" s="24">
        <f t="shared" si="19"/>
        <v>1548761.9047619046</v>
      </c>
      <c r="L269" s="123"/>
      <c r="M269" s="24">
        <f t="shared" si="20"/>
        <v>0</v>
      </c>
      <c r="N269" s="129">
        <f t="shared" si="21"/>
        <v>1548761.9047619046</v>
      </c>
      <c r="O269" s="107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130"/>
      <c r="AF269" s="130"/>
      <c r="AG269" s="130"/>
      <c r="AH269" s="130"/>
      <c r="AI269" s="130"/>
      <c r="AJ269" s="130"/>
      <c r="AK269" s="130"/>
      <c r="AL269" s="130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130"/>
      <c r="BD269" s="130"/>
      <c r="BE269" s="130"/>
      <c r="BF269" s="130"/>
      <c r="BG269" s="130"/>
      <c r="BH269" s="130"/>
      <c r="BI269" s="130"/>
      <c r="BJ269" s="130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130"/>
      <c r="CB269" s="130"/>
      <c r="CC269" s="130"/>
      <c r="CD269" s="130"/>
      <c r="CE269" s="130"/>
      <c r="CF269" s="130"/>
      <c r="CG269" s="130"/>
      <c r="CH269" s="130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  <c r="CX269" s="3"/>
      <c r="CY269" s="130"/>
      <c r="CZ269" s="130"/>
      <c r="DA269" s="130"/>
      <c r="DB269" s="130"/>
      <c r="DC269" s="130"/>
      <c r="DD269" s="130"/>
      <c r="DE269" s="130"/>
      <c r="DF269" s="130"/>
      <c r="DG269" s="3"/>
      <c r="DH269" s="3"/>
      <c r="DI269" s="3"/>
      <c r="DJ269" s="3"/>
      <c r="DK269" s="3"/>
      <c r="DL269" s="3"/>
      <c r="DM269" s="3"/>
      <c r="DN269" s="3"/>
      <c r="DO269" s="3"/>
      <c r="DP269" s="3"/>
      <c r="DQ269" s="3"/>
      <c r="DR269" s="3"/>
      <c r="DS269" s="3"/>
      <c r="DT269" s="3"/>
      <c r="DU269" s="3"/>
      <c r="DV269" s="3"/>
      <c r="DW269" s="130"/>
      <c r="DX269" s="130"/>
      <c r="DY269" s="130"/>
      <c r="DZ269" s="130"/>
      <c r="EA269" s="130"/>
      <c r="EB269" s="130"/>
      <c r="EC269" s="130"/>
      <c r="ED269" s="130"/>
      <c r="EE269" s="3"/>
      <c r="EF269" s="3"/>
      <c r="EG269" s="3"/>
      <c r="EH269" s="3"/>
      <c r="EI269" s="3"/>
      <c r="EJ269" s="3"/>
      <c r="EK269" s="3"/>
      <c r="EL269" s="3"/>
      <c r="EM269" s="3"/>
      <c r="EN269" s="3"/>
      <c r="EO269" s="3"/>
      <c r="EP269" s="3"/>
      <c r="EQ269" s="3"/>
      <c r="ER269" s="3"/>
      <c r="ES269" s="3"/>
      <c r="ET269" s="3"/>
      <c r="EU269" s="130"/>
      <c r="EV269" s="130"/>
      <c r="EW269" s="130"/>
      <c r="EX269" s="130"/>
      <c r="EY269" s="130"/>
      <c r="EZ269" s="130"/>
      <c r="FA269" s="130"/>
      <c r="FB269" s="130"/>
      <c r="FC269" s="3"/>
      <c r="FD269" s="3"/>
      <c r="FE269" s="3"/>
      <c r="FF269" s="3"/>
      <c r="FG269" s="3"/>
      <c r="FH269" s="3"/>
      <c r="FI269" s="3"/>
      <c r="FJ269" s="3"/>
      <c r="FK269" s="3"/>
      <c r="FL269" s="3"/>
      <c r="FM269" s="3"/>
      <c r="FN269" s="3"/>
      <c r="FO269" s="3"/>
      <c r="FP269" s="3"/>
      <c r="FQ269" s="3"/>
      <c r="FR269" s="3"/>
      <c r="FS269" s="130"/>
      <c r="FT269" s="130"/>
      <c r="FU269" s="130"/>
      <c r="FV269" s="130"/>
      <c r="FW269" s="130"/>
      <c r="FX269" s="130"/>
      <c r="FY269" s="130"/>
      <c r="FZ269" s="130"/>
      <c r="GA269" s="3"/>
      <c r="GB269" s="3"/>
      <c r="GC269" s="3"/>
      <c r="GD269" s="3"/>
      <c r="GE269" s="3"/>
      <c r="GF269" s="3"/>
    </row>
    <row r="270" spans="1:188" s="125" customFormat="1">
      <c r="A270" s="16">
        <v>102</v>
      </c>
      <c r="B270" s="29">
        <v>43083</v>
      </c>
      <c r="C270" s="18"/>
      <c r="D270" s="19" t="s">
        <v>1189</v>
      </c>
      <c r="E270" s="20" t="s">
        <v>454</v>
      </c>
      <c r="F270" s="82" t="s">
        <v>455</v>
      </c>
      <c r="G270" s="58">
        <v>1707</v>
      </c>
      <c r="H270" s="121">
        <f>160000+1823600-30000</f>
        <v>1953600</v>
      </c>
      <c r="I270" s="24">
        <v>1860571</v>
      </c>
      <c r="J270" s="24"/>
      <c r="K270" s="24">
        <f t="shared" si="19"/>
        <v>1860571</v>
      </c>
      <c r="L270" s="123"/>
      <c r="M270" s="24">
        <f t="shared" si="20"/>
        <v>0</v>
      </c>
      <c r="N270" s="129">
        <f t="shared" si="21"/>
        <v>1860571</v>
      </c>
      <c r="O270" s="85"/>
      <c r="AE270" s="167"/>
      <c r="AF270" s="167"/>
      <c r="AG270" s="167"/>
      <c r="AH270" s="167"/>
      <c r="AI270" s="167"/>
      <c r="AJ270" s="167"/>
      <c r="AK270" s="167"/>
      <c r="AL270" s="167"/>
      <c r="BC270" s="167"/>
      <c r="BD270" s="167"/>
      <c r="BE270" s="167"/>
      <c r="BF270" s="167"/>
      <c r="BG270" s="167"/>
      <c r="BH270" s="167"/>
      <c r="BI270" s="167"/>
      <c r="BJ270" s="167"/>
      <c r="CA270" s="167"/>
      <c r="CB270" s="167"/>
      <c r="CC270" s="167"/>
      <c r="CD270" s="167"/>
      <c r="CE270" s="167"/>
      <c r="CF270" s="167"/>
      <c r="CG270" s="167"/>
      <c r="CH270" s="167"/>
      <c r="CY270" s="167"/>
      <c r="CZ270" s="167"/>
      <c r="DA270" s="167"/>
      <c r="DB270" s="167"/>
      <c r="DC270" s="167"/>
      <c r="DD270" s="167"/>
      <c r="DE270" s="167"/>
      <c r="DF270" s="167"/>
      <c r="DW270" s="167"/>
      <c r="DX270" s="167"/>
      <c r="DY270" s="167"/>
      <c r="DZ270" s="167"/>
      <c r="EA270" s="167"/>
      <c r="EB270" s="167"/>
      <c r="EC270" s="167"/>
      <c r="ED270" s="167"/>
      <c r="EU270" s="167"/>
      <c r="EV270" s="167"/>
      <c r="EW270" s="167"/>
      <c r="EX270" s="167"/>
      <c r="EY270" s="167"/>
      <c r="EZ270" s="167"/>
      <c r="FA270" s="167"/>
      <c r="FB270" s="167"/>
      <c r="FS270" s="167"/>
      <c r="FT270" s="167"/>
      <c r="FU270" s="167"/>
      <c r="FV270" s="167"/>
      <c r="FW270" s="167"/>
      <c r="FX270" s="167"/>
      <c r="FY270" s="167"/>
      <c r="FZ270" s="167"/>
    </row>
    <row r="271" spans="1:188" s="125" customFormat="1">
      <c r="A271" s="16">
        <v>103</v>
      </c>
      <c r="B271" s="29">
        <v>43131</v>
      </c>
      <c r="C271" s="18"/>
      <c r="D271" s="19" t="s">
        <v>1189</v>
      </c>
      <c r="E271" s="20" t="s">
        <v>454</v>
      </c>
      <c r="F271" s="82" t="s">
        <v>1199</v>
      </c>
      <c r="G271" s="63">
        <v>1710</v>
      </c>
      <c r="H271" s="121">
        <v>1823600</v>
      </c>
      <c r="I271" s="24"/>
      <c r="J271" s="24">
        <f>H271/1.05</f>
        <v>1736761.9047619046</v>
      </c>
      <c r="K271" s="24">
        <f t="shared" si="19"/>
        <v>1736761.9047619046</v>
      </c>
      <c r="L271" s="123"/>
      <c r="M271" s="24">
        <f t="shared" si="20"/>
        <v>0</v>
      </c>
      <c r="N271" s="129">
        <f t="shared" si="21"/>
        <v>1736761.9047619046</v>
      </c>
      <c r="O271" s="85"/>
      <c r="AE271" s="167"/>
      <c r="AF271" s="167"/>
      <c r="AG271" s="167"/>
      <c r="AH271" s="167"/>
      <c r="AI271" s="167"/>
      <c r="AJ271" s="167"/>
      <c r="AK271" s="167"/>
      <c r="AL271" s="167"/>
      <c r="BC271" s="167"/>
      <c r="BD271" s="167"/>
      <c r="BE271" s="167"/>
      <c r="BF271" s="167"/>
      <c r="BG271" s="167"/>
      <c r="BH271" s="167"/>
      <c r="BI271" s="167"/>
      <c r="BJ271" s="167"/>
      <c r="CA271" s="167"/>
      <c r="CB271" s="167"/>
      <c r="CC271" s="167"/>
      <c r="CD271" s="167"/>
      <c r="CE271" s="167"/>
      <c r="CF271" s="167"/>
      <c r="CG271" s="167"/>
      <c r="CH271" s="167"/>
      <c r="CY271" s="167"/>
      <c r="CZ271" s="167"/>
      <c r="DA271" s="167"/>
      <c r="DB271" s="167"/>
      <c r="DC271" s="167"/>
      <c r="DD271" s="167"/>
      <c r="DE271" s="167"/>
      <c r="DF271" s="167"/>
      <c r="DW271" s="167"/>
      <c r="DX271" s="167"/>
      <c r="DY271" s="167"/>
      <c r="DZ271" s="167"/>
      <c r="EA271" s="167"/>
      <c r="EB271" s="167"/>
      <c r="EC271" s="167"/>
      <c r="ED271" s="167"/>
      <c r="EU271" s="167"/>
      <c r="EV271" s="167"/>
      <c r="EW271" s="167"/>
      <c r="EX271" s="167"/>
      <c r="EY271" s="167"/>
      <c r="EZ271" s="167"/>
      <c r="FA271" s="167"/>
      <c r="FB271" s="167"/>
      <c r="FS271" s="167"/>
      <c r="FT271" s="167"/>
      <c r="FU271" s="167"/>
      <c r="FV271" s="167"/>
      <c r="FW271" s="167"/>
      <c r="FX271" s="167"/>
      <c r="FY271" s="167"/>
      <c r="FZ271" s="167"/>
    </row>
    <row r="272" spans="1:188" s="125" customFormat="1">
      <c r="A272" s="16">
        <v>104</v>
      </c>
      <c r="B272" s="29">
        <v>43131</v>
      </c>
      <c r="C272" s="18"/>
      <c r="D272" s="19" t="s">
        <v>1189</v>
      </c>
      <c r="E272" s="20" t="s">
        <v>454</v>
      </c>
      <c r="F272" s="62" t="s">
        <v>1200</v>
      </c>
      <c r="G272" s="63">
        <v>1710</v>
      </c>
      <c r="H272" s="121">
        <v>1823600</v>
      </c>
      <c r="I272" s="24"/>
      <c r="J272" s="24">
        <f>H272/1.05</f>
        <v>1736761.9047619046</v>
      </c>
      <c r="K272" s="24">
        <f t="shared" si="19"/>
        <v>1736761.9047619046</v>
      </c>
      <c r="L272" s="123"/>
      <c r="M272" s="24">
        <f t="shared" si="20"/>
        <v>0</v>
      </c>
      <c r="N272" s="129">
        <f t="shared" si="21"/>
        <v>1736761.9047619046</v>
      </c>
      <c r="O272" s="85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130"/>
      <c r="AF272" s="130"/>
      <c r="AG272" s="130"/>
      <c r="AH272" s="130"/>
      <c r="AI272" s="130"/>
      <c r="AJ272" s="130"/>
      <c r="AK272" s="130"/>
      <c r="AL272" s="130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130"/>
      <c r="BD272" s="130"/>
      <c r="BE272" s="130"/>
      <c r="BF272" s="130"/>
      <c r="BG272" s="130"/>
      <c r="BH272" s="130"/>
      <c r="BI272" s="130"/>
      <c r="BJ272" s="130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130"/>
      <c r="CB272" s="130"/>
      <c r="CC272" s="130"/>
      <c r="CD272" s="130"/>
      <c r="CE272" s="130"/>
      <c r="CF272" s="130"/>
      <c r="CG272" s="130"/>
      <c r="CH272" s="130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130"/>
      <c r="CZ272" s="130"/>
      <c r="DA272" s="130"/>
      <c r="DB272" s="130"/>
      <c r="DC272" s="130"/>
      <c r="DD272" s="130"/>
      <c r="DE272" s="130"/>
      <c r="DF272" s="130"/>
      <c r="DG272" s="3"/>
      <c r="DH272" s="3"/>
      <c r="DI272" s="3"/>
      <c r="DJ272" s="3"/>
      <c r="DK272" s="3"/>
      <c r="DL272" s="3"/>
      <c r="DM272" s="3"/>
      <c r="DN272" s="3"/>
      <c r="DO272" s="3"/>
      <c r="DP272" s="3"/>
      <c r="DQ272" s="3"/>
      <c r="DR272" s="3"/>
      <c r="DS272" s="3"/>
      <c r="DT272" s="3"/>
      <c r="DU272" s="3"/>
      <c r="DV272" s="3"/>
      <c r="DW272" s="130"/>
      <c r="DX272" s="130"/>
      <c r="DY272" s="130"/>
      <c r="DZ272" s="130"/>
      <c r="EA272" s="130"/>
      <c r="EB272" s="130"/>
      <c r="EC272" s="130"/>
      <c r="ED272" s="130"/>
      <c r="EE272" s="3"/>
      <c r="EF272" s="3"/>
      <c r="EG272" s="3"/>
      <c r="EH272" s="3"/>
      <c r="EI272" s="3"/>
      <c r="EJ272" s="3"/>
      <c r="EK272" s="3"/>
      <c r="EL272" s="3"/>
      <c r="EM272" s="3"/>
      <c r="EN272" s="3"/>
      <c r="EO272" s="3"/>
      <c r="EP272" s="3"/>
      <c r="EQ272" s="3"/>
      <c r="ER272" s="3"/>
      <c r="ES272" s="3"/>
      <c r="ET272" s="3"/>
      <c r="EU272" s="130"/>
      <c r="EV272" s="130"/>
      <c r="EW272" s="130"/>
      <c r="EX272" s="130"/>
      <c r="EY272" s="130"/>
      <c r="EZ272" s="130"/>
      <c r="FA272" s="130"/>
      <c r="FB272" s="130"/>
      <c r="FC272" s="3"/>
      <c r="FD272" s="3"/>
      <c r="FE272" s="3"/>
      <c r="FF272" s="3"/>
      <c r="FG272" s="3"/>
      <c r="FH272" s="3"/>
      <c r="FI272" s="3"/>
      <c r="FJ272" s="3"/>
      <c r="FK272" s="3"/>
      <c r="FL272" s="3"/>
      <c r="FM272" s="3"/>
      <c r="FN272" s="3"/>
      <c r="FO272" s="3"/>
      <c r="FP272" s="3"/>
      <c r="FQ272" s="3"/>
      <c r="FR272" s="3"/>
      <c r="FS272" s="130"/>
      <c r="FT272" s="130"/>
      <c r="FU272" s="130"/>
      <c r="FV272" s="130"/>
      <c r="FW272" s="130"/>
      <c r="FX272" s="130"/>
      <c r="FY272" s="130"/>
      <c r="FZ272" s="130"/>
      <c r="GA272" s="3"/>
      <c r="GB272" s="3"/>
      <c r="GC272" s="3"/>
      <c r="GD272" s="3"/>
      <c r="GE272" s="3"/>
      <c r="GF272" s="3"/>
    </row>
    <row r="273" spans="1:188" s="125" customFormat="1">
      <c r="A273" s="16">
        <v>105</v>
      </c>
      <c r="B273" s="17">
        <v>43116</v>
      </c>
      <c r="C273" s="18"/>
      <c r="D273" s="19" t="s">
        <v>1189</v>
      </c>
      <c r="E273" s="20" t="s">
        <v>454</v>
      </c>
      <c r="F273" s="82" t="s">
        <v>1201</v>
      </c>
      <c r="G273" s="58">
        <v>1710</v>
      </c>
      <c r="H273" s="121">
        <f>160000+1823600</f>
        <v>1983600</v>
      </c>
      <c r="I273" s="24"/>
      <c r="J273" s="24">
        <f>H273/1.05</f>
        <v>1889142.857142857</v>
      </c>
      <c r="K273" s="24">
        <f t="shared" si="19"/>
        <v>1889142.857142857</v>
      </c>
      <c r="L273" s="123"/>
      <c r="M273" s="24">
        <f t="shared" si="20"/>
        <v>0</v>
      </c>
      <c r="N273" s="129">
        <f t="shared" si="21"/>
        <v>1889142.857142857</v>
      </c>
      <c r="O273" s="107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130"/>
      <c r="AF273" s="130"/>
      <c r="AG273" s="130"/>
      <c r="AH273" s="130"/>
      <c r="AI273" s="130"/>
      <c r="AJ273" s="130"/>
      <c r="AK273" s="130"/>
      <c r="AL273" s="130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130"/>
      <c r="BD273" s="130"/>
      <c r="BE273" s="130"/>
      <c r="BF273" s="130"/>
      <c r="BG273" s="130"/>
      <c r="BH273" s="130"/>
      <c r="BI273" s="130"/>
      <c r="BJ273" s="130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130"/>
      <c r="CB273" s="130"/>
      <c r="CC273" s="130"/>
      <c r="CD273" s="130"/>
      <c r="CE273" s="130"/>
      <c r="CF273" s="130"/>
      <c r="CG273" s="130"/>
      <c r="CH273" s="130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130"/>
      <c r="CZ273" s="130"/>
      <c r="DA273" s="130"/>
      <c r="DB273" s="130"/>
      <c r="DC273" s="130"/>
      <c r="DD273" s="130"/>
      <c r="DE273" s="130"/>
      <c r="DF273" s="130"/>
      <c r="DG273" s="3"/>
      <c r="DH273" s="3"/>
      <c r="DI273" s="3"/>
      <c r="DJ273" s="3"/>
      <c r="DK273" s="3"/>
      <c r="DL273" s="3"/>
      <c r="DM273" s="3"/>
      <c r="DN273" s="3"/>
      <c r="DO273" s="3"/>
      <c r="DP273" s="3"/>
      <c r="DQ273" s="3"/>
      <c r="DR273" s="3"/>
      <c r="DS273" s="3"/>
      <c r="DT273" s="3"/>
      <c r="DU273" s="3"/>
      <c r="DV273" s="3"/>
      <c r="DW273" s="130"/>
      <c r="DX273" s="130"/>
      <c r="DY273" s="130"/>
      <c r="DZ273" s="130"/>
      <c r="EA273" s="130"/>
      <c r="EB273" s="130"/>
      <c r="EC273" s="130"/>
      <c r="ED273" s="130"/>
      <c r="EE273" s="3"/>
      <c r="EF273" s="3"/>
      <c r="EG273" s="3"/>
      <c r="EH273" s="3"/>
      <c r="EI273" s="3"/>
      <c r="EJ273" s="3"/>
      <c r="EK273" s="3"/>
      <c r="EL273" s="3"/>
      <c r="EM273" s="3"/>
      <c r="EN273" s="3"/>
      <c r="EO273" s="3"/>
      <c r="EP273" s="3"/>
      <c r="EQ273" s="3"/>
      <c r="ER273" s="3"/>
      <c r="ES273" s="3"/>
      <c r="ET273" s="3"/>
      <c r="EU273" s="130"/>
      <c r="EV273" s="130"/>
      <c r="EW273" s="130"/>
      <c r="EX273" s="130"/>
      <c r="EY273" s="130"/>
      <c r="EZ273" s="130"/>
      <c r="FA273" s="130"/>
      <c r="FB273" s="130"/>
      <c r="FC273" s="3"/>
      <c r="FD273" s="3"/>
      <c r="FE273" s="3"/>
      <c r="FF273" s="3"/>
      <c r="FG273" s="3"/>
      <c r="FH273" s="3"/>
      <c r="FI273" s="3"/>
      <c r="FJ273" s="3"/>
      <c r="FK273" s="3"/>
      <c r="FL273" s="3"/>
      <c r="FM273" s="3"/>
      <c r="FN273" s="3"/>
      <c r="FO273" s="3"/>
      <c r="FP273" s="3"/>
      <c r="FQ273" s="3"/>
      <c r="FR273" s="3"/>
      <c r="FS273" s="130"/>
      <c r="FT273" s="130"/>
      <c r="FU273" s="130"/>
      <c r="FV273" s="130"/>
      <c r="FW273" s="130"/>
      <c r="FX273" s="130"/>
      <c r="FY273" s="130"/>
      <c r="FZ273" s="130"/>
      <c r="GA273" s="3"/>
      <c r="GB273" s="3"/>
      <c r="GC273" s="3"/>
      <c r="GD273" s="3"/>
      <c r="GE273" s="3"/>
      <c r="GF273" s="3"/>
    </row>
    <row r="274" spans="1:188" s="125" customFormat="1">
      <c r="A274" s="76">
        <v>106</v>
      </c>
      <c r="B274" s="29">
        <v>43122</v>
      </c>
      <c r="C274" s="18"/>
      <c r="D274" s="19" t="s">
        <v>1189</v>
      </c>
      <c r="E274" s="20" t="s">
        <v>454</v>
      </c>
      <c r="F274" s="62" t="s">
        <v>1202</v>
      </c>
      <c r="G274" s="63">
        <v>1710</v>
      </c>
      <c r="H274" s="121">
        <v>1823600</v>
      </c>
      <c r="I274" s="24"/>
      <c r="J274" s="24">
        <f>H274/1.05</f>
        <v>1736761.9047619046</v>
      </c>
      <c r="K274" s="24">
        <f t="shared" si="19"/>
        <v>1736761.9047619046</v>
      </c>
      <c r="L274" s="123"/>
      <c r="M274" s="24">
        <f t="shared" si="20"/>
        <v>0</v>
      </c>
      <c r="N274" s="129">
        <f t="shared" si="21"/>
        <v>1736761.9047619046</v>
      </c>
      <c r="O274" s="107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130"/>
      <c r="AF274" s="130"/>
      <c r="AG274" s="130"/>
      <c r="AH274" s="130"/>
      <c r="AI274" s="130"/>
      <c r="AJ274" s="130"/>
      <c r="AK274" s="130"/>
      <c r="AL274" s="130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130"/>
      <c r="BD274" s="130"/>
      <c r="BE274" s="130"/>
      <c r="BF274" s="130"/>
      <c r="BG274" s="130"/>
      <c r="BH274" s="130"/>
      <c r="BI274" s="130"/>
      <c r="BJ274" s="130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130"/>
      <c r="CB274" s="130"/>
      <c r="CC274" s="130"/>
      <c r="CD274" s="130"/>
      <c r="CE274" s="130"/>
      <c r="CF274" s="130"/>
      <c r="CG274" s="130"/>
      <c r="CH274" s="130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130"/>
      <c r="CZ274" s="130"/>
      <c r="DA274" s="130"/>
      <c r="DB274" s="130"/>
      <c r="DC274" s="130"/>
      <c r="DD274" s="130"/>
      <c r="DE274" s="130"/>
      <c r="DF274" s="130"/>
      <c r="DG274" s="3"/>
      <c r="DH274" s="3"/>
      <c r="DI274" s="3"/>
      <c r="DJ274" s="3"/>
      <c r="DK274" s="3"/>
      <c r="DL274" s="3"/>
      <c r="DM274" s="3"/>
      <c r="DN274" s="3"/>
      <c r="DO274" s="3"/>
      <c r="DP274" s="3"/>
      <c r="DQ274" s="3"/>
      <c r="DR274" s="3"/>
      <c r="DS274" s="3"/>
      <c r="DT274" s="3"/>
      <c r="DU274" s="3"/>
      <c r="DV274" s="3"/>
      <c r="DW274" s="130"/>
      <c r="DX274" s="130"/>
      <c r="DY274" s="130"/>
      <c r="DZ274" s="130"/>
      <c r="EA274" s="130"/>
      <c r="EB274" s="130"/>
      <c r="EC274" s="130"/>
      <c r="ED274" s="130"/>
      <c r="EE274" s="3"/>
      <c r="EF274" s="3"/>
      <c r="EG274" s="3"/>
      <c r="EH274" s="3"/>
      <c r="EI274" s="3"/>
      <c r="EJ274" s="3"/>
      <c r="EK274" s="3"/>
      <c r="EL274" s="3"/>
      <c r="EM274" s="3"/>
      <c r="EN274" s="3"/>
      <c r="EO274" s="3"/>
      <c r="EP274" s="3"/>
      <c r="EQ274" s="3"/>
      <c r="ER274" s="3"/>
      <c r="ES274" s="3"/>
      <c r="ET274" s="3"/>
      <c r="EU274" s="130"/>
      <c r="EV274" s="130"/>
      <c r="EW274" s="130"/>
      <c r="EX274" s="130"/>
      <c r="EY274" s="130"/>
      <c r="EZ274" s="130"/>
      <c r="FA274" s="130"/>
      <c r="FB274" s="130"/>
      <c r="FC274" s="3"/>
      <c r="FD274" s="3"/>
      <c r="FE274" s="3"/>
      <c r="FF274" s="3"/>
      <c r="FG274" s="3"/>
      <c r="FH274" s="3"/>
      <c r="FI274" s="3"/>
      <c r="FJ274" s="3"/>
      <c r="FK274" s="3"/>
      <c r="FL274" s="3"/>
      <c r="FM274" s="3"/>
      <c r="FN274" s="3"/>
      <c r="FO274" s="3"/>
      <c r="FP274" s="3"/>
      <c r="FQ274" s="3"/>
      <c r="FR274" s="3"/>
      <c r="FS274" s="130"/>
      <c r="FT274" s="130"/>
      <c r="FU274" s="130"/>
      <c r="FV274" s="130"/>
      <c r="FW274" s="130"/>
      <c r="FX274" s="130"/>
      <c r="FY274" s="130"/>
      <c r="FZ274" s="130"/>
      <c r="GA274" s="3"/>
      <c r="GB274" s="3"/>
      <c r="GC274" s="3"/>
      <c r="GD274" s="3"/>
      <c r="GE274" s="3"/>
      <c r="GF274" s="3"/>
    </row>
    <row r="275" spans="1:188" s="125" customFormat="1">
      <c r="A275" s="16">
        <v>107</v>
      </c>
      <c r="B275" s="29">
        <v>43126</v>
      </c>
      <c r="C275" s="18"/>
      <c r="D275" s="19" t="s">
        <v>1203</v>
      </c>
      <c r="E275" s="20" t="s">
        <v>467</v>
      </c>
      <c r="F275" s="82" t="s">
        <v>1204</v>
      </c>
      <c r="G275" s="58">
        <v>1710</v>
      </c>
      <c r="H275" s="121">
        <v>2648100</v>
      </c>
      <c r="I275" s="24"/>
      <c r="J275" s="24">
        <f>H275/1.05</f>
        <v>2522000</v>
      </c>
      <c r="K275" s="24">
        <f t="shared" si="19"/>
        <v>2522000</v>
      </c>
      <c r="L275" s="123"/>
      <c r="M275" s="24">
        <f t="shared" si="20"/>
        <v>0</v>
      </c>
      <c r="N275" s="129">
        <f t="shared" si="21"/>
        <v>2522000</v>
      </c>
      <c r="O275" s="107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130"/>
      <c r="AF275" s="130"/>
      <c r="AG275" s="130"/>
      <c r="AH275" s="130"/>
      <c r="AI275" s="130"/>
      <c r="AJ275" s="130"/>
      <c r="AK275" s="130"/>
      <c r="AL275" s="130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130"/>
      <c r="BD275" s="130"/>
      <c r="BE275" s="130"/>
      <c r="BF275" s="130"/>
      <c r="BG275" s="130"/>
      <c r="BH275" s="130"/>
      <c r="BI275" s="130"/>
      <c r="BJ275" s="130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130"/>
      <c r="CB275" s="130"/>
      <c r="CC275" s="130"/>
      <c r="CD275" s="130"/>
      <c r="CE275" s="130"/>
      <c r="CF275" s="130"/>
      <c r="CG275" s="130"/>
      <c r="CH275" s="130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130"/>
      <c r="CZ275" s="130"/>
      <c r="DA275" s="130"/>
      <c r="DB275" s="130"/>
      <c r="DC275" s="130"/>
      <c r="DD275" s="130"/>
      <c r="DE275" s="130"/>
      <c r="DF275" s="130"/>
      <c r="DG275" s="3"/>
      <c r="DH275" s="3"/>
      <c r="DI275" s="3"/>
      <c r="DJ275" s="3"/>
      <c r="DK275" s="3"/>
      <c r="DL275" s="3"/>
      <c r="DM275" s="3"/>
      <c r="DN275" s="3"/>
      <c r="DO275" s="3"/>
      <c r="DP275" s="3"/>
      <c r="DQ275" s="3"/>
      <c r="DR275" s="3"/>
      <c r="DS275" s="3"/>
      <c r="DT275" s="3"/>
      <c r="DU275" s="3"/>
      <c r="DV275" s="3"/>
      <c r="DW275" s="130"/>
      <c r="DX275" s="130"/>
      <c r="DY275" s="130"/>
      <c r="DZ275" s="130"/>
      <c r="EA275" s="130"/>
      <c r="EB275" s="130"/>
      <c r="EC275" s="130"/>
      <c r="ED275" s="130"/>
      <c r="EE275" s="3"/>
      <c r="EF275" s="3"/>
      <c r="EG275" s="3"/>
      <c r="EH275" s="3"/>
      <c r="EI275" s="3"/>
      <c r="EJ275" s="3"/>
      <c r="EK275" s="3"/>
      <c r="EL275" s="3"/>
      <c r="EM275" s="3"/>
      <c r="EN275" s="3"/>
      <c r="EO275" s="3"/>
      <c r="EP275" s="3"/>
      <c r="EQ275" s="3"/>
      <c r="ER275" s="3"/>
      <c r="ES275" s="3"/>
      <c r="ET275" s="3"/>
      <c r="EU275" s="130"/>
      <c r="EV275" s="130"/>
      <c r="EW275" s="130"/>
      <c r="EX275" s="130"/>
      <c r="EY275" s="130"/>
      <c r="EZ275" s="130"/>
      <c r="FA275" s="130"/>
      <c r="FB275" s="130"/>
      <c r="FC275" s="3"/>
      <c r="FD275" s="3"/>
      <c r="FE275" s="3"/>
      <c r="FF275" s="3"/>
      <c r="FG275" s="3"/>
      <c r="FH275" s="3"/>
      <c r="FI275" s="3"/>
      <c r="FJ275" s="3"/>
      <c r="FK275" s="3"/>
      <c r="FL275" s="3"/>
      <c r="FM275" s="3"/>
      <c r="FN275" s="3"/>
      <c r="FO275" s="3"/>
      <c r="FP275" s="3"/>
      <c r="FQ275" s="3"/>
      <c r="FR275" s="3"/>
      <c r="FS275" s="130"/>
      <c r="FT275" s="130"/>
      <c r="FU275" s="130"/>
      <c r="FV275" s="130"/>
      <c r="FW275" s="130"/>
      <c r="FX275" s="130"/>
      <c r="FY275" s="130"/>
      <c r="FZ275" s="130"/>
      <c r="GA275" s="3"/>
      <c r="GB275" s="3"/>
      <c r="GC275" s="3"/>
      <c r="GD275" s="3"/>
      <c r="GE275" s="3"/>
      <c r="GF275" s="3"/>
    </row>
    <row r="276" spans="1:188" s="125" customFormat="1">
      <c r="A276" s="16">
        <v>108</v>
      </c>
      <c r="B276" s="17">
        <v>43090</v>
      </c>
      <c r="C276" s="18"/>
      <c r="D276" s="19" t="s">
        <v>1205</v>
      </c>
      <c r="E276" s="20" t="s">
        <v>475</v>
      </c>
      <c r="F276" s="168" t="s">
        <v>476</v>
      </c>
      <c r="G276" s="63">
        <v>1709</v>
      </c>
      <c r="H276" s="121">
        <v>2368800</v>
      </c>
      <c r="I276" s="24">
        <v>2256000</v>
      </c>
      <c r="J276" s="24"/>
      <c r="K276" s="24">
        <f t="shared" si="19"/>
        <v>2256000</v>
      </c>
      <c r="L276" s="123"/>
      <c r="M276" s="24">
        <f t="shared" si="20"/>
        <v>0</v>
      </c>
      <c r="N276" s="129">
        <f t="shared" si="21"/>
        <v>2256000</v>
      </c>
      <c r="O276" s="196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130"/>
      <c r="AF276" s="130"/>
      <c r="AG276" s="130"/>
      <c r="AH276" s="130"/>
      <c r="AI276" s="130"/>
      <c r="AJ276" s="130"/>
      <c r="AK276" s="130"/>
      <c r="AL276" s="130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130"/>
      <c r="BD276" s="130"/>
      <c r="BE276" s="130"/>
      <c r="BF276" s="130"/>
      <c r="BG276" s="130"/>
      <c r="BH276" s="130"/>
      <c r="BI276" s="130"/>
      <c r="BJ276" s="130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130"/>
      <c r="CB276" s="130"/>
      <c r="CC276" s="130"/>
      <c r="CD276" s="130"/>
      <c r="CE276" s="130"/>
      <c r="CF276" s="130"/>
      <c r="CG276" s="130"/>
      <c r="CH276" s="130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  <c r="CX276" s="3"/>
      <c r="CY276" s="130"/>
      <c r="CZ276" s="130"/>
      <c r="DA276" s="130"/>
      <c r="DB276" s="130"/>
      <c r="DC276" s="130"/>
      <c r="DD276" s="130"/>
      <c r="DE276" s="130"/>
      <c r="DF276" s="130"/>
      <c r="DG276" s="3"/>
      <c r="DH276" s="3"/>
      <c r="DI276" s="3"/>
      <c r="DJ276" s="3"/>
      <c r="DK276" s="3"/>
      <c r="DL276" s="3"/>
      <c r="DM276" s="3"/>
      <c r="DN276" s="3"/>
      <c r="DO276" s="3"/>
      <c r="DP276" s="3"/>
      <c r="DQ276" s="3"/>
      <c r="DR276" s="3"/>
      <c r="DS276" s="3"/>
      <c r="DT276" s="3"/>
      <c r="DU276" s="3"/>
      <c r="DV276" s="3"/>
      <c r="DW276" s="130"/>
      <c r="DX276" s="130"/>
      <c r="DY276" s="130"/>
      <c r="DZ276" s="130"/>
      <c r="EA276" s="130"/>
      <c r="EB276" s="130"/>
      <c r="EC276" s="130"/>
      <c r="ED276" s="130"/>
      <c r="EE276" s="3"/>
      <c r="EF276" s="3"/>
      <c r="EG276" s="3"/>
      <c r="EH276" s="3"/>
      <c r="EI276" s="3"/>
      <c r="EJ276" s="3"/>
      <c r="EK276" s="3"/>
      <c r="EL276" s="3"/>
      <c r="EM276" s="3"/>
      <c r="EN276" s="3"/>
      <c r="EO276" s="3"/>
      <c r="EP276" s="3"/>
      <c r="EQ276" s="3"/>
      <c r="ER276" s="3"/>
      <c r="ES276" s="3"/>
      <c r="ET276" s="3"/>
      <c r="EU276" s="130"/>
      <c r="EV276" s="130"/>
      <c r="EW276" s="130"/>
      <c r="EX276" s="130"/>
      <c r="EY276" s="130"/>
      <c r="EZ276" s="130"/>
      <c r="FA276" s="130"/>
      <c r="FB276" s="130"/>
      <c r="FC276" s="3"/>
      <c r="FD276" s="3"/>
      <c r="FE276" s="3"/>
      <c r="FF276" s="3"/>
      <c r="FG276" s="3"/>
      <c r="FH276" s="3"/>
      <c r="FI276" s="3"/>
      <c r="FJ276" s="3"/>
      <c r="FK276" s="3"/>
      <c r="FL276" s="3"/>
      <c r="FM276" s="3"/>
      <c r="FN276" s="3"/>
      <c r="FO276" s="3"/>
      <c r="FP276" s="3"/>
      <c r="FQ276" s="3"/>
      <c r="FR276" s="3"/>
      <c r="FS276" s="130"/>
      <c r="FT276" s="130"/>
      <c r="FU276" s="130"/>
      <c r="FV276" s="130"/>
      <c r="FW276" s="130"/>
      <c r="FX276" s="130"/>
      <c r="FY276" s="130"/>
      <c r="FZ276" s="130"/>
      <c r="GA276" s="3"/>
      <c r="GB276" s="3"/>
      <c r="GC276" s="3"/>
      <c r="GD276" s="3"/>
      <c r="GE276" s="3"/>
      <c r="GF276" s="3"/>
    </row>
    <row r="277" spans="1:188" s="125" customFormat="1">
      <c r="A277" s="16">
        <v>109</v>
      </c>
      <c r="B277" s="17">
        <v>43067</v>
      </c>
      <c r="C277" s="18"/>
      <c r="D277" s="19" t="s">
        <v>1205</v>
      </c>
      <c r="E277" s="20" t="s">
        <v>477</v>
      </c>
      <c r="F277" s="120" t="s">
        <v>478</v>
      </c>
      <c r="G277" s="63">
        <v>1708</v>
      </c>
      <c r="H277" s="121">
        <v>2368800</v>
      </c>
      <c r="I277" s="24">
        <v>2256000</v>
      </c>
      <c r="J277" s="24"/>
      <c r="K277" s="24">
        <f t="shared" si="19"/>
        <v>2256000</v>
      </c>
      <c r="L277" s="123"/>
      <c r="M277" s="24">
        <f t="shared" si="20"/>
        <v>0</v>
      </c>
      <c r="N277" s="129">
        <f t="shared" si="21"/>
        <v>2256000</v>
      </c>
      <c r="O277" s="126"/>
      <c r="AE277" s="167"/>
      <c r="AF277" s="167"/>
      <c r="AG277" s="167"/>
      <c r="AH277" s="167"/>
      <c r="AI277" s="167"/>
      <c r="AJ277" s="167"/>
      <c r="AK277" s="167"/>
      <c r="AL277" s="167"/>
      <c r="BC277" s="167"/>
      <c r="BD277" s="167"/>
      <c r="BE277" s="167"/>
      <c r="BF277" s="167"/>
      <c r="BG277" s="167"/>
      <c r="BH277" s="167"/>
      <c r="BI277" s="167"/>
      <c r="BJ277" s="167"/>
      <c r="CA277" s="167"/>
      <c r="CB277" s="167"/>
      <c r="CC277" s="167"/>
      <c r="CD277" s="167"/>
      <c r="CE277" s="167"/>
      <c r="CF277" s="167"/>
      <c r="CG277" s="167"/>
      <c r="CH277" s="167"/>
      <c r="CY277" s="167"/>
      <c r="CZ277" s="167"/>
      <c r="DA277" s="167"/>
      <c r="DB277" s="167"/>
      <c r="DC277" s="167"/>
      <c r="DD277" s="167"/>
      <c r="DE277" s="167"/>
      <c r="DF277" s="167"/>
      <c r="DW277" s="167"/>
      <c r="DX277" s="167"/>
      <c r="DY277" s="167"/>
      <c r="DZ277" s="167"/>
      <c r="EA277" s="167"/>
      <c r="EB277" s="167"/>
      <c r="EC277" s="167"/>
      <c r="ED277" s="167"/>
      <c r="EU277" s="167"/>
      <c r="EV277" s="167"/>
      <c r="EW277" s="167"/>
      <c r="EX277" s="167"/>
      <c r="EY277" s="167"/>
      <c r="EZ277" s="167"/>
      <c r="FA277" s="167"/>
      <c r="FB277" s="167"/>
      <c r="FS277" s="167"/>
      <c r="FT277" s="167"/>
      <c r="FU277" s="167"/>
      <c r="FV277" s="167"/>
      <c r="FW277" s="167"/>
      <c r="FX277" s="167"/>
      <c r="FY277" s="167"/>
      <c r="FZ277" s="167"/>
    </row>
    <row r="278" spans="1:188" s="125" customFormat="1">
      <c r="A278" s="16">
        <v>110</v>
      </c>
      <c r="B278" s="29">
        <v>43110</v>
      </c>
      <c r="C278" s="18"/>
      <c r="D278" s="19" t="s">
        <v>1206</v>
      </c>
      <c r="E278" s="20" t="s">
        <v>480</v>
      </c>
      <c r="F278" s="62" t="s">
        <v>1207</v>
      </c>
      <c r="G278" s="63">
        <v>1708</v>
      </c>
      <c r="H278" s="121">
        <v>2570000</v>
      </c>
      <c r="I278" s="24"/>
      <c r="J278" s="24">
        <f>H278/1.05</f>
        <v>2447619.0476190476</v>
      </c>
      <c r="K278" s="199">
        <f t="shared" si="19"/>
        <v>2447619.0476190476</v>
      </c>
      <c r="L278" s="123"/>
      <c r="M278" s="24">
        <f t="shared" si="20"/>
        <v>0</v>
      </c>
      <c r="N278" s="129">
        <f t="shared" si="21"/>
        <v>2447619.0476190476</v>
      </c>
      <c r="O278" s="107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130"/>
      <c r="AF278" s="130"/>
      <c r="AG278" s="130"/>
      <c r="AH278" s="130"/>
      <c r="AI278" s="130"/>
      <c r="AJ278" s="130"/>
      <c r="AK278" s="130"/>
      <c r="AL278" s="130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130"/>
      <c r="BD278" s="130"/>
      <c r="BE278" s="130"/>
      <c r="BF278" s="130"/>
      <c r="BG278" s="130"/>
      <c r="BH278" s="130"/>
      <c r="BI278" s="130"/>
      <c r="BJ278" s="130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130"/>
      <c r="CB278" s="130"/>
      <c r="CC278" s="130"/>
      <c r="CD278" s="130"/>
      <c r="CE278" s="130"/>
      <c r="CF278" s="130"/>
      <c r="CG278" s="130"/>
      <c r="CH278" s="130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  <c r="CX278" s="3"/>
      <c r="CY278" s="130"/>
      <c r="CZ278" s="130"/>
      <c r="DA278" s="130"/>
      <c r="DB278" s="130"/>
      <c r="DC278" s="130"/>
      <c r="DD278" s="130"/>
      <c r="DE278" s="130"/>
      <c r="DF278" s="130"/>
      <c r="DG278" s="3"/>
      <c r="DH278" s="3"/>
      <c r="DI278" s="3"/>
      <c r="DJ278" s="3"/>
      <c r="DK278" s="3"/>
      <c r="DL278" s="3"/>
      <c r="DM278" s="3"/>
      <c r="DN278" s="3"/>
      <c r="DO278" s="3"/>
      <c r="DP278" s="3"/>
      <c r="DQ278" s="3"/>
      <c r="DR278" s="3"/>
      <c r="DS278" s="3"/>
      <c r="DT278" s="3"/>
      <c r="DU278" s="3"/>
      <c r="DV278" s="3"/>
      <c r="DW278" s="130"/>
      <c r="DX278" s="130"/>
      <c r="DY278" s="130"/>
      <c r="DZ278" s="130"/>
      <c r="EA278" s="130"/>
      <c r="EB278" s="130"/>
      <c r="EC278" s="130"/>
      <c r="ED278" s="130"/>
      <c r="EE278" s="3"/>
      <c r="EF278" s="3"/>
      <c r="EG278" s="3"/>
      <c r="EH278" s="3"/>
      <c r="EI278" s="3"/>
      <c r="EJ278" s="3"/>
      <c r="EK278" s="3"/>
      <c r="EL278" s="3"/>
      <c r="EM278" s="3"/>
      <c r="EN278" s="3"/>
      <c r="EO278" s="3"/>
      <c r="EP278" s="3"/>
      <c r="EQ278" s="3"/>
      <c r="ER278" s="3"/>
      <c r="ES278" s="3"/>
      <c r="ET278" s="3"/>
      <c r="EU278" s="130"/>
      <c r="EV278" s="130"/>
      <c r="EW278" s="130"/>
      <c r="EX278" s="130"/>
      <c r="EY278" s="130"/>
      <c r="EZ278" s="130"/>
      <c r="FA278" s="130"/>
      <c r="FB278" s="130"/>
      <c r="FC278" s="3"/>
      <c r="FD278" s="3"/>
      <c r="FE278" s="3"/>
      <c r="FF278" s="3"/>
      <c r="FG278" s="3"/>
      <c r="FH278" s="3"/>
      <c r="FI278" s="3"/>
      <c r="FJ278" s="3"/>
      <c r="FK278" s="3"/>
      <c r="FL278" s="3"/>
      <c r="FM278" s="3"/>
      <c r="FN278" s="3"/>
      <c r="FO278" s="3"/>
      <c r="FP278" s="3"/>
      <c r="FQ278" s="3"/>
      <c r="FR278" s="3"/>
      <c r="FS278" s="130"/>
      <c r="FT278" s="130"/>
      <c r="FU278" s="130"/>
      <c r="FV278" s="130"/>
      <c r="FW278" s="130"/>
      <c r="FX278" s="130"/>
      <c r="FY278" s="130"/>
      <c r="FZ278" s="130"/>
      <c r="GA278" s="3"/>
      <c r="GB278" s="3"/>
      <c r="GC278" s="3"/>
      <c r="GD278" s="3"/>
      <c r="GE278" s="3"/>
      <c r="GF278" s="3"/>
    </row>
    <row r="279" spans="1:188" s="3" customFormat="1">
      <c r="A279" s="16">
        <v>111</v>
      </c>
      <c r="B279" s="17">
        <v>43130</v>
      </c>
      <c r="C279" s="18"/>
      <c r="D279" s="19" t="s">
        <v>1206</v>
      </c>
      <c r="E279" s="20" t="s">
        <v>480</v>
      </c>
      <c r="F279" s="82" t="s">
        <v>1208</v>
      </c>
      <c r="G279" s="63">
        <v>1709</v>
      </c>
      <c r="H279" s="121">
        <v>2570000</v>
      </c>
      <c r="I279" s="24"/>
      <c r="J279" s="24">
        <f>H279/1.05</f>
        <v>2447619.0476190476</v>
      </c>
      <c r="K279" s="24">
        <f t="shared" si="19"/>
        <v>2447619.0476190476</v>
      </c>
      <c r="L279" s="26"/>
      <c r="M279" s="24">
        <f t="shared" si="20"/>
        <v>0</v>
      </c>
      <c r="N279" s="129">
        <f t="shared" si="21"/>
        <v>2447619.0476190476</v>
      </c>
      <c r="O279" s="107"/>
      <c r="AE279" s="130"/>
      <c r="AF279" s="130"/>
      <c r="AG279" s="130"/>
      <c r="AH279" s="130"/>
      <c r="AI279" s="130"/>
      <c r="AJ279" s="130"/>
      <c r="AK279" s="130"/>
      <c r="AL279" s="130"/>
      <c r="BC279" s="130"/>
      <c r="BD279" s="130"/>
      <c r="BE279" s="130"/>
      <c r="BF279" s="130"/>
      <c r="BG279" s="130"/>
      <c r="BH279" s="130"/>
      <c r="BI279" s="130"/>
      <c r="BJ279" s="130"/>
      <c r="CA279" s="130"/>
      <c r="CB279" s="130"/>
      <c r="CC279" s="130"/>
      <c r="CD279" s="130"/>
      <c r="CE279" s="130"/>
      <c r="CF279" s="130"/>
      <c r="CG279" s="130"/>
      <c r="CH279" s="130"/>
      <c r="CY279" s="130"/>
      <c r="CZ279" s="130"/>
      <c r="DA279" s="130"/>
      <c r="DB279" s="130"/>
      <c r="DC279" s="130"/>
      <c r="DD279" s="130"/>
      <c r="DE279" s="130"/>
      <c r="DF279" s="130"/>
      <c r="DW279" s="130"/>
      <c r="DX279" s="130"/>
      <c r="DY279" s="130"/>
      <c r="DZ279" s="130"/>
      <c r="EA279" s="130"/>
      <c r="EB279" s="130"/>
      <c r="EC279" s="130"/>
      <c r="ED279" s="130"/>
      <c r="EU279" s="130"/>
      <c r="EV279" s="130"/>
      <c r="EW279" s="130"/>
      <c r="EX279" s="130"/>
      <c r="EY279" s="130"/>
      <c r="EZ279" s="130"/>
      <c r="FA279" s="130"/>
      <c r="FB279" s="130"/>
      <c r="FS279" s="130"/>
      <c r="FT279" s="130"/>
      <c r="FU279" s="130"/>
      <c r="FV279" s="130"/>
      <c r="FW279" s="130"/>
      <c r="FX279" s="130"/>
      <c r="FY279" s="130"/>
      <c r="FZ279" s="130"/>
    </row>
    <row r="280" spans="1:188" s="3" customFormat="1">
      <c r="A280" s="16">
        <v>112</v>
      </c>
      <c r="B280" s="29">
        <v>43131</v>
      </c>
      <c r="C280" s="18"/>
      <c r="D280" s="19" t="s">
        <v>1206</v>
      </c>
      <c r="E280" s="20" t="s">
        <v>480</v>
      </c>
      <c r="F280" s="62" t="s">
        <v>1209</v>
      </c>
      <c r="G280" s="63">
        <v>1709</v>
      </c>
      <c r="H280" s="121">
        <v>2570000</v>
      </c>
      <c r="I280" s="24"/>
      <c r="J280" s="24">
        <f>H280/1.05</f>
        <v>2447619.0476190476</v>
      </c>
      <c r="K280" s="24">
        <f t="shared" si="19"/>
        <v>2447619.0476190476</v>
      </c>
      <c r="L280" s="123"/>
      <c r="M280" s="24">
        <f t="shared" si="20"/>
        <v>0</v>
      </c>
      <c r="N280" s="129">
        <f t="shared" si="21"/>
        <v>2447619.0476190476</v>
      </c>
      <c r="O280" s="85"/>
      <c r="AE280" s="130"/>
      <c r="AF280" s="130"/>
      <c r="AG280" s="130"/>
      <c r="AH280" s="130"/>
      <c r="AI280" s="130"/>
      <c r="AJ280" s="130"/>
      <c r="AK280" s="130"/>
      <c r="AL280" s="130"/>
      <c r="BC280" s="130"/>
      <c r="BD280" s="130"/>
      <c r="BE280" s="130"/>
      <c r="BF280" s="130"/>
      <c r="BG280" s="130"/>
      <c r="BH280" s="130"/>
      <c r="BI280" s="130"/>
      <c r="BJ280" s="130"/>
      <c r="CA280" s="130"/>
      <c r="CB280" s="130"/>
      <c r="CC280" s="130"/>
      <c r="CD280" s="130"/>
      <c r="CE280" s="130"/>
      <c r="CF280" s="130"/>
      <c r="CG280" s="130"/>
      <c r="CH280" s="130"/>
      <c r="CY280" s="130"/>
      <c r="CZ280" s="130"/>
      <c r="DA280" s="130"/>
      <c r="DB280" s="130"/>
      <c r="DC280" s="130"/>
      <c r="DD280" s="130"/>
      <c r="DE280" s="130"/>
      <c r="DF280" s="130"/>
      <c r="DW280" s="130"/>
      <c r="DX280" s="130"/>
      <c r="DY280" s="130"/>
      <c r="DZ280" s="130"/>
      <c r="EA280" s="130"/>
      <c r="EB280" s="130"/>
      <c r="EC280" s="130"/>
      <c r="ED280" s="130"/>
      <c r="EU280" s="130"/>
      <c r="EV280" s="130"/>
      <c r="EW280" s="130"/>
      <c r="EX280" s="130"/>
      <c r="EY280" s="130"/>
      <c r="EZ280" s="130"/>
      <c r="FA280" s="130"/>
      <c r="FB280" s="130"/>
      <c r="FS280" s="130"/>
      <c r="FT280" s="130"/>
      <c r="FU280" s="130"/>
      <c r="FV280" s="130"/>
      <c r="FW280" s="130"/>
      <c r="FX280" s="130"/>
      <c r="FY280" s="130"/>
      <c r="FZ280" s="130"/>
    </row>
    <row r="281" spans="1:188" s="3" customFormat="1">
      <c r="A281" s="16">
        <v>113</v>
      </c>
      <c r="B281" s="29">
        <v>43130</v>
      </c>
      <c r="C281" s="18"/>
      <c r="D281" s="19" t="s">
        <v>1206</v>
      </c>
      <c r="E281" s="20" t="s">
        <v>480</v>
      </c>
      <c r="F281" s="62" t="s">
        <v>1210</v>
      </c>
      <c r="G281" s="63">
        <v>1709</v>
      </c>
      <c r="H281" s="121">
        <v>2570000</v>
      </c>
      <c r="I281" s="24"/>
      <c r="J281" s="24">
        <f>H281/1.05</f>
        <v>2447619.0476190476</v>
      </c>
      <c r="K281" s="24">
        <f t="shared" si="19"/>
        <v>2447619.0476190476</v>
      </c>
      <c r="L281" s="123"/>
      <c r="M281" s="24">
        <f t="shared" si="20"/>
        <v>0</v>
      </c>
      <c r="N281" s="129">
        <f t="shared" si="21"/>
        <v>2447619.0476190476</v>
      </c>
      <c r="O281" s="107"/>
      <c r="P281" s="125"/>
      <c r="Q281" s="125"/>
      <c r="R281" s="125"/>
      <c r="S281" s="125"/>
      <c r="T281" s="125"/>
      <c r="U281" s="125"/>
      <c r="V281" s="125"/>
      <c r="W281" s="125"/>
      <c r="X281" s="125"/>
      <c r="Y281" s="125"/>
      <c r="Z281" s="125"/>
      <c r="AA281" s="125"/>
      <c r="AB281" s="125"/>
      <c r="AC281" s="125"/>
      <c r="AD281" s="125"/>
      <c r="AE281" s="167"/>
      <c r="AF281" s="167"/>
      <c r="AG281" s="167"/>
      <c r="AH281" s="167"/>
      <c r="AI281" s="167"/>
      <c r="AJ281" s="167"/>
      <c r="AK281" s="167"/>
      <c r="AL281" s="167"/>
      <c r="AM281" s="125"/>
      <c r="AN281" s="125"/>
      <c r="AO281" s="125"/>
      <c r="AP281" s="125"/>
      <c r="AQ281" s="125"/>
      <c r="AR281" s="125"/>
      <c r="AS281" s="125"/>
      <c r="AT281" s="125"/>
      <c r="AU281" s="125"/>
      <c r="AV281" s="125"/>
      <c r="AW281" s="125"/>
      <c r="AX281" s="125"/>
      <c r="AY281" s="125"/>
      <c r="AZ281" s="125"/>
      <c r="BA281" s="125"/>
      <c r="BB281" s="125"/>
      <c r="BC281" s="167"/>
      <c r="BD281" s="167"/>
      <c r="BE281" s="167"/>
      <c r="BF281" s="167"/>
      <c r="BG281" s="167"/>
      <c r="BH281" s="167"/>
      <c r="BI281" s="167"/>
      <c r="BJ281" s="167"/>
      <c r="BK281" s="125"/>
      <c r="BL281" s="125"/>
      <c r="BM281" s="125"/>
      <c r="BN281" s="125"/>
      <c r="BO281" s="125"/>
      <c r="BP281" s="125"/>
      <c r="BQ281" s="125"/>
      <c r="BR281" s="125"/>
      <c r="BS281" s="125"/>
      <c r="BT281" s="125"/>
      <c r="BU281" s="125"/>
      <c r="BV281" s="125"/>
      <c r="BW281" s="125"/>
      <c r="BX281" s="125"/>
      <c r="BY281" s="125"/>
      <c r="BZ281" s="125"/>
      <c r="CA281" s="167"/>
      <c r="CB281" s="167"/>
      <c r="CC281" s="167"/>
      <c r="CD281" s="167"/>
      <c r="CE281" s="167"/>
      <c r="CF281" s="167"/>
      <c r="CG281" s="167"/>
      <c r="CH281" s="167"/>
      <c r="CI281" s="125"/>
      <c r="CJ281" s="125"/>
      <c r="CK281" s="125"/>
      <c r="CL281" s="125"/>
      <c r="CM281" s="125"/>
      <c r="CN281" s="125"/>
      <c r="CO281" s="125"/>
      <c r="CP281" s="125"/>
      <c r="CQ281" s="125"/>
      <c r="CR281" s="125"/>
      <c r="CS281" s="125"/>
      <c r="CT281" s="125"/>
      <c r="CU281" s="125"/>
      <c r="CV281" s="125"/>
      <c r="CW281" s="125"/>
      <c r="CX281" s="125"/>
      <c r="CY281" s="167"/>
      <c r="CZ281" s="167"/>
      <c r="DA281" s="167"/>
      <c r="DB281" s="167"/>
      <c r="DC281" s="167"/>
      <c r="DD281" s="167"/>
      <c r="DE281" s="167"/>
      <c r="DF281" s="167"/>
      <c r="DG281" s="125"/>
      <c r="DH281" s="125"/>
      <c r="DI281" s="125"/>
      <c r="DJ281" s="125"/>
      <c r="DK281" s="125"/>
      <c r="DL281" s="125"/>
      <c r="DM281" s="125"/>
      <c r="DN281" s="125"/>
      <c r="DO281" s="125"/>
      <c r="DP281" s="125"/>
      <c r="DQ281" s="125"/>
      <c r="DR281" s="125"/>
      <c r="DS281" s="125"/>
      <c r="DT281" s="125"/>
      <c r="DU281" s="125"/>
      <c r="DV281" s="125"/>
      <c r="DW281" s="167"/>
      <c r="DX281" s="167"/>
      <c r="DY281" s="167"/>
      <c r="DZ281" s="167"/>
      <c r="EA281" s="167"/>
      <c r="EB281" s="167"/>
      <c r="EC281" s="167"/>
      <c r="ED281" s="167"/>
      <c r="EE281" s="125"/>
      <c r="EF281" s="125"/>
      <c r="EG281" s="125"/>
      <c r="EH281" s="125"/>
      <c r="EI281" s="125"/>
      <c r="EJ281" s="125"/>
      <c r="EK281" s="125"/>
      <c r="EL281" s="125"/>
      <c r="EM281" s="125"/>
      <c r="EN281" s="125"/>
      <c r="EO281" s="125"/>
      <c r="EP281" s="125"/>
      <c r="EQ281" s="125"/>
      <c r="ER281" s="125"/>
      <c r="ES281" s="125"/>
      <c r="ET281" s="125"/>
      <c r="EU281" s="167"/>
      <c r="EV281" s="167"/>
      <c r="EW281" s="167"/>
      <c r="EX281" s="167"/>
      <c r="EY281" s="167"/>
      <c r="EZ281" s="167"/>
      <c r="FA281" s="167"/>
      <c r="FB281" s="167"/>
      <c r="FC281" s="125"/>
      <c r="FD281" s="125"/>
      <c r="FE281" s="125"/>
      <c r="FF281" s="125"/>
      <c r="FG281" s="125"/>
      <c r="FH281" s="125"/>
      <c r="FI281" s="125"/>
      <c r="FJ281" s="125"/>
      <c r="FK281" s="125"/>
      <c r="FL281" s="125"/>
      <c r="FM281" s="125"/>
      <c r="FN281" s="125"/>
      <c r="FO281" s="125"/>
      <c r="FP281" s="125"/>
      <c r="FQ281" s="125"/>
      <c r="FR281" s="125"/>
      <c r="FS281" s="167"/>
      <c r="FT281" s="167"/>
      <c r="FU281" s="167"/>
      <c r="FV281" s="167"/>
      <c r="FW281" s="167"/>
      <c r="FX281" s="167"/>
      <c r="FY281" s="167"/>
      <c r="FZ281" s="167"/>
      <c r="GA281" s="125"/>
      <c r="GB281" s="125"/>
      <c r="GC281" s="125"/>
      <c r="GD281" s="125"/>
      <c r="GE281" s="125"/>
      <c r="GF281" s="125"/>
    </row>
    <row r="282" spans="1:188" s="3" customFormat="1">
      <c r="A282" s="16">
        <v>114</v>
      </c>
      <c r="B282" s="29">
        <v>43131</v>
      </c>
      <c r="C282" s="18"/>
      <c r="D282" s="19" t="s">
        <v>1206</v>
      </c>
      <c r="E282" s="20" t="s">
        <v>480</v>
      </c>
      <c r="F282" s="62" t="s">
        <v>1211</v>
      </c>
      <c r="G282" s="63">
        <v>1710</v>
      </c>
      <c r="H282" s="121">
        <v>2570000</v>
      </c>
      <c r="I282" s="24"/>
      <c r="J282" s="24">
        <f>H282/1.05</f>
        <v>2447619.0476190476</v>
      </c>
      <c r="K282" s="24">
        <f t="shared" si="19"/>
        <v>2447619.0476190476</v>
      </c>
      <c r="L282" s="123"/>
      <c r="M282" s="24">
        <f t="shared" si="20"/>
        <v>0</v>
      </c>
      <c r="N282" s="129">
        <f t="shared" si="21"/>
        <v>2447619.0476190476</v>
      </c>
      <c r="O282" s="85"/>
      <c r="P282" s="125"/>
      <c r="Q282" s="125"/>
      <c r="R282" s="125"/>
      <c r="S282" s="125"/>
      <c r="T282" s="125"/>
      <c r="U282" s="125"/>
      <c r="V282" s="125"/>
      <c r="W282" s="125"/>
      <c r="X282" s="125"/>
      <c r="Y282" s="125"/>
      <c r="Z282" s="125"/>
      <c r="AA282" s="125"/>
      <c r="AB282" s="125"/>
      <c r="AC282" s="125"/>
      <c r="AD282" s="125"/>
      <c r="AE282" s="179"/>
      <c r="AF282" s="177"/>
      <c r="AG282" s="177"/>
      <c r="AH282" s="177"/>
      <c r="AI282" s="177"/>
      <c r="AJ282" s="177"/>
      <c r="AK282" s="177"/>
      <c r="AL282" s="178"/>
      <c r="AM282" s="125"/>
      <c r="AN282" s="125"/>
      <c r="AO282" s="125"/>
      <c r="AP282" s="125"/>
      <c r="AQ282" s="125"/>
      <c r="AR282" s="125"/>
      <c r="AS282" s="125"/>
      <c r="AT282" s="125"/>
      <c r="AU282" s="125"/>
      <c r="AV282" s="125"/>
      <c r="AW282" s="125"/>
      <c r="AX282" s="125"/>
      <c r="AY282" s="125"/>
      <c r="AZ282" s="125"/>
      <c r="BA282" s="125"/>
      <c r="BB282" s="125"/>
      <c r="BC282" s="179"/>
      <c r="BD282" s="177"/>
      <c r="BE282" s="177"/>
      <c r="BF282" s="177"/>
      <c r="BG282" s="177"/>
      <c r="BH282" s="177"/>
      <c r="BI282" s="177"/>
      <c r="BJ282" s="178"/>
      <c r="BK282" s="125"/>
      <c r="BL282" s="125"/>
      <c r="BM282" s="125"/>
      <c r="BN282" s="125"/>
      <c r="BO282" s="125"/>
      <c r="BP282" s="125"/>
      <c r="BQ282" s="125"/>
      <c r="BR282" s="125"/>
      <c r="BS282" s="125"/>
      <c r="BT282" s="125"/>
      <c r="BU282" s="125"/>
      <c r="BV282" s="125"/>
      <c r="BW282" s="125"/>
      <c r="BX282" s="125"/>
      <c r="BY282" s="125"/>
      <c r="BZ282" s="125"/>
      <c r="CA282" s="179"/>
      <c r="CB282" s="177"/>
      <c r="CC282" s="177"/>
      <c r="CD282" s="177"/>
      <c r="CE282" s="177"/>
      <c r="CF282" s="177"/>
      <c r="CG282" s="177"/>
      <c r="CH282" s="178"/>
      <c r="CI282" s="125"/>
      <c r="CJ282" s="125"/>
      <c r="CK282" s="125"/>
      <c r="CL282" s="125"/>
      <c r="CM282" s="125"/>
      <c r="CN282" s="125"/>
      <c r="CO282" s="125"/>
      <c r="CP282" s="125"/>
      <c r="CQ282" s="125"/>
      <c r="CR282" s="125"/>
      <c r="CS282" s="125"/>
      <c r="CT282" s="125"/>
      <c r="CU282" s="125"/>
      <c r="CV282" s="125"/>
      <c r="CW282" s="125"/>
      <c r="CX282" s="125"/>
      <c r="CY282" s="179"/>
      <c r="CZ282" s="177"/>
      <c r="DA282" s="177"/>
      <c r="DB282" s="177"/>
      <c r="DC282" s="177"/>
      <c r="DD282" s="177"/>
      <c r="DE282" s="177"/>
      <c r="DF282" s="178"/>
      <c r="DG282" s="125"/>
      <c r="DH282" s="125"/>
      <c r="DI282" s="125"/>
      <c r="DJ282" s="125"/>
      <c r="DK282" s="125"/>
      <c r="DL282" s="125"/>
      <c r="DM282" s="125"/>
      <c r="DN282" s="125"/>
      <c r="DO282" s="125"/>
      <c r="DP282" s="125"/>
      <c r="DQ282" s="125"/>
      <c r="DR282" s="125"/>
      <c r="DS282" s="125"/>
      <c r="DT282" s="125"/>
      <c r="DU282" s="125"/>
      <c r="DV282" s="125"/>
      <c r="DW282" s="179"/>
      <c r="DX282" s="177"/>
      <c r="DY282" s="177"/>
      <c r="DZ282" s="177"/>
      <c r="EA282" s="177"/>
      <c r="EB282" s="177"/>
      <c r="EC282" s="177"/>
      <c r="ED282" s="178"/>
      <c r="EE282" s="125"/>
      <c r="EF282" s="125"/>
      <c r="EG282" s="125"/>
      <c r="EH282" s="125"/>
      <c r="EI282" s="125"/>
      <c r="EJ282" s="125"/>
      <c r="EK282" s="125"/>
      <c r="EL282" s="125"/>
      <c r="EM282" s="125"/>
      <c r="EN282" s="125"/>
      <c r="EO282" s="125"/>
      <c r="EP282" s="125"/>
      <c r="EQ282" s="125"/>
      <c r="ER282" s="125"/>
      <c r="ES282" s="125"/>
      <c r="ET282" s="125"/>
      <c r="EU282" s="179"/>
      <c r="EV282" s="177"/>
      <c r="EW282" s="177"/>
      <c r="EX282" s="177"/>
      <c r="EY282" s="177"/>
      <c r="EZ282" s="177"/>
      <c r="FA282" s="177"/>
      <c r="FB282" s="178"/>
      <c r="FC282" s="125"/>
      <c r="FD282" s="125"/>
      <c r="FE282" s="125"/>
      <c r="FF282" s="125"/>
      <c r="FG282" s="125"/>
      <c r="FH282" s="125"/>
      <c r="FI282" s="125"/>
      <c r="FJ282" s="125"/>
      <c r="FK282" s="125"/>
      <c r="FL282" s="125"/>
      <c r="FM282" s="125"/>
      <c r="FN282" s="125"/>
      <c r="FO282" s="125"/>
      <c r="FP282" s="125"/>
      <c r="FQ282" s="125"/>
      <c r="FR282" s="125"/>
      <c r="FS282" s="179"/>
      <c r="FT282" s="177"/>
      <c r="FU282" s="177"/>
      <c r="FV282" s="177"/>
      <c r="FW282" s="177"/>
      <c r="FX282" s="177"/>
      <c r="FY282" s="177"/>
      <c r="FZ282" s="178"/>
      <c r="GA282" s="125"/>
      <c r="GB282" s="125"/>
      <c r="GC282" s="125"/>
      <c r="GD282" s="125"/>
      <c r="GE282" s="125"/>
      <c r="GF282" s="125"/>
    </row>
    <row r="283" spans="1:188" s="3" customFormat="1">
      <c r="A283" s="16">
        <v>115</v>
      </c>
      <c r="B283" s="17">
        <v>42986</v>
      </c>
      <c r="C283" s="18"/>
      <c r="D283" s="19" t="s">
        <v>1206</v>
      </c>
      <c r="E283" s="20" t="s">
        <v>483</v>
      </c>
      <c r="F283" s="120" t="s">
        <v>484</v>
      </c>
      <c r="G283" s="63">
        <v>1704</v>
      </c>
      <c r="H283" s="121">
        <v>3251000</v>
      </c>
      <c r="I283" s="24">
        <v>3096190</v>
      </c>
      <c r="J283" s="24"/>
      <c r="K283" s="199">
        <f t="shared" si="19"/>
        <v>3096190</v>
      </c>
      <c r="L283" s="123"/>
      <c r="M283" s="24">
        <f t="shared" si="20"/>
        <v>0</v>
      </c>
      <c r="N283" s="129">
        <f t="shared" si="21"/>
        <v>3096190</v>
      </c>
      <c r="O283" s="108"/>
      <c r="V283" s="131"/>
      <c r="W283" s="15"/>
      <c r="AC283" s="131"/>
      <c r="AD283" s="15"/>
      <c r="AE283" s="170"/>
      <c r="AF283" s="171"/>
      <c r="AG283" s="172"/>
      <c r="AH283" s="172"/>
      <c r="AI283" s="173"/>
      <c r="AJ283" s="174"/>
      <c r="AK283" s="175"/>
      <c r="AL283" s="176"/>
      <c r="AN283" s="138"/>
      <c r="AO283" s="2"/>
      <c r="AP283" s="139"/>
      <c r="BA283" s="131"/>
      <c r="BB283" s="15"/>
      <c r="BC283" s="170"/>
      <c r="BD283" s="171"/>
      <c r="BE283" s="172"/>
      <c r="BF283" s="172"/>
      <c r="BG283" s="173"/>
      <c r="BH283" s="174"/>
      <c r="BI283" s="175"/>
      <c r="BJ283" s="176"/>
      <c r="BL283" s="138"/>
      <c r="BM283" s="2"/>
      <c r="BN283" s="139"/>
      <c r="BY283" s="131"/>
      <c r="BZ283" s="15"/>
      <c r="CA283" s="170"/>
      <c r="CB283" s="171"/>
      <c r="CC283" s="172"/>
      <c r="CD283" s="172"/>
      <c r="CE283" s="173"/>
      <c r="CF283" s="174"/>
      <c r="CG283" s="175"/>
      <c r="CH283" s="176"/>
      <c r="CJ283" s="138"/>
      <c r="CK283" s="2"/>
      <c r="CL283" s="139"/>
      <c r="CW283" s="131"/>
      <c r="CX283" s="15"/>
      <c r="CY283" s="170"/>
      <c r="CZ283" s="171"/>
      <c r="DA283" s="172"/>
      <c r="DB283" s="172"/>
      <c r="DC283" s="173"/>
      <c r="DD283" s="174"/>
      <c r="DE283" s="175"/>
      <c r="DF283" s="176"/>
      <c r="DH283" s="138"/>
      <c r="DI283" s="2"/>
      <c r="DJ283" s="139"/>
      <c r="DU283" s="131"/>
      <c r="DV283" s="15"/>
      <c r="DW283" s="170"/>
      <c r="DX283" s="171"/>
      <c r="DY283" s="172"/>
      <c r="DZ283" s="172"/>
      <c r="EA283" s="173"/>
      <c r="EB283" s="174"/>
      <c r="EC283" s="175"/>
      <c r="ED283" s="176"/>
      <c r="EF283" s="138"/>
      <c r="EG283" s="2"/>
      <c r="EH283" s="139"/>
      <c r="ES283" s="131"/>
      <c r="ET283" s="15"/>
      <c r="EU283" s="170"/>
      <c r="EV283" s="171"/>
      <c r="EW283" s="172"/>
      <c r="EX283" s="172"/>
      <c r="EY283" s="173"/>
      <c r="EZ283" s="174"/>
      <c r="FA283" s="175"/>
      <c r="FB283" s="176"/>
      <c r="FD283" s="138"/>
      <c r="FE283" s="2"/>
      <c r="FF283" s="139"/>
      <c r="FQ283" s="131"/>
      <c r="FR283" s="15"/>
      <c r="FS283" s="170"/>
      <c r="FT283" s="171"/>
      <c r="FU283" s="172"/>
      <c r="FV283" s="172"/>
      <c r="FW283" s="173"/>
      <c r="FX283" s="174"/>
      <c r="FY283" s="175"/>
      <c r="FZ283" s="176"/>
      <c r="GB283" s="138"/>
      <c r="GC283" s="2"/>
      <c r="GD283" s="139"/>
    </row>
    <row r="284" spans="1:188" s="3" customFormat="1">
      <c r="A284" s="16">
        <v>116</v>
      </c>
      <c r="B284" s="17">
        <v>43096</v>
      </c>
      <c r="C284" s="18"/>
      <c r="D284" s="19" t="s">
        <v>1206</v>
      </c>
      <c r="E284" s="20" t="s">
        <v>483</v>
      </c>
      <c r="F284" s="168" t="s">
        <v>485</v>
      </c>
      <c r="G284" s="63">
        <v>1708</v>
      </c>
      <c r="H284" s="121">
        <v>3040000</v>
      </c>
      <c r="I284" s="24">
        <v>2895238</v>
      </c>
      <c r="J284" s="24"/>
      <c r="K284" s="24">
        <f t="shared" si="19"/>
        <v>2895238</v>
      </c>
      <c r="L284" s="123"/>
      <c r="M284" s="24">
        <f t="shared" si="20"/>
        <v>0</v>
      </c>
      <c r="N284" s="129">
        <f t="shared" si="21"/>
        <v>2895238</v>
      </c>
      <c r="O284" s="108"/>
      <c r="AE284" s="130"/>
      <c r="AF284" s="130"/>
      <c r="AG284" s="130"/>
      <c r="AH284" s="130"/>
      <c r="AI284" s="130"/>
      <c r="AJ284" s="130"/>
      <c r="AK284" s="130"/>
      <c r="AL284" s="130"/>
      <c r="BC284" s="130"/>
      <c r="BD284" s="130"/>
      <c r="BE284" s="130"/>
      <c r="BF284" s="130"/>
      <c r="BG284" s="130"/>
      <c r="BH284" s="130"/>
      <c r="BI284" s="130"/>
      <c r="BJ284" s="130"/>
      <c r="CA284" s="130"/>
      <c r="CB284" s="130"/>
      <c r="CC284" s="130"/>
      <c r="CD284" s="130"/>
      <c r="CE284" s="130"/>
      <c r="CF284" s="130"/>
      <c r="CG284" s="130"/>
      <c r="CH284" s="130"/>
      <c r="CY284" s="130"/>
      <c r="CZ284" s="130"/>
      <c r="DA284" s="130"/>
      <c r="DB284" s="130"/>
      <c r="DC284" s="130"/>
      <c r="DD284" s="130"/>
      <c r="DE284" s="130"/>
      <c r="DF284" s="130"/>
      <c r="DW284" s="130"/>
      <c r="DX284" s="130"/>
      <c r="DY284" s="130"/>
      <c r="DZ284" s="130"/>
      <c r="EA284" s="130"/>
      <c r="EB284" s="130"/>
      <c r="EC284" s="130"/>
      <c r="ED284" s="130"/>
      <c r="EU284" s="130"/>
      <c r="EV284" s="130"/>
      <c r="EW284" s="130"/>
      <c r="EX284" s="130"/>
      <c r="EY284" s="130"/>
      <c r="EZ284" s="130"/>
      <c r="FA284" s="130"/>
      <c r="FB284" s="130"/>
      <c r="FS284" s="130"/>
      <c r="FT284" s="130"/>
      <c r="FU284" s="130"/>
      <c r="FV284" s="130"/>
      <c r="FW284" s="130"/>
      <c r="FX284" s="130"/>
      <c r="FY284" s="130"/>
      <c r="FZ284" s="130"/>
    </row>
    <row r="285" spans="1:188" s="3" customFormat="1">
      <c r="A285" s="16">
        <v>117</v>
      </c>
      <c r="B285" s="17">
        <v>42964</v>
      </c>
      <c r="C285" s="18"/>
      <c r="D285" s="19" t="s">
        <v>486</v>
      </c>
      <c r="E285" s="20" t="s">
        <v>1212</v>
      </c>
      <c r="F285" s="57" t="s">
        <v>488</v>
      </c>
      <c r="G285" s="58">
        <v>1706</v>
      </c>
      <c r="H285" s="121">
        <v>3306000</v>
      </c>
      <c r="I285" s="24">
        <v>3148571</v>
      </c>
      <c r="J285" s="24"/>
      <c r="K285" s="24">
        <f t="shared" si="19"/>
        <v>3148571</v>
      </c>
      <c r="L285" s="123"/>
      <c r="M285" s="24">
        <f t="shared" si="20"/>
        <v>0</v>
      </c>
      <c r="N285" s="129">
        <f t="shared" si="21"/>
        <v>3148571</v>
      </c>
      <c r="O285" s="108"/>
      <c r="AE285" s="141"/>
      <c r="AF285" s="142"/>
      <c r="AG285" s="142"/>
      <c r="AH285" s="142"/>
      <c r="AI285" s="142"/>
      <c r="AJ285" s="142"/>
      <c r="AK285" s="142"/>
      <c r="AL285" s="143"/>
      <c r="BC285" s="141"/>
      <c r="BD285" s="142"/>
      <c r="BE285" s="142"/>
      <c r="BF285" s="142"/>
      <c r="BG285" s="142"/>
      <c r="BH285" s="142"/>
      <c r="BI285" s="142"/>
      <c r="BJ285" s="143"/>
      <c r="CA285" s="141"/>
      <c r="CB285" s="142"/>
      <c r="CC285" s="142"/>
      <c r="CD285" s="142"/>
      <c r="CE285" s="142"/>
      <c r="CF285" s="142"/>
      <c r="CG285" s="142"/>
      <c r="CH285" s="143"/>
      <c r="CY285" s="141"/>
      <c r="CZ285" s="142"/>
      <c r="DA285" s="142"/>
      <c r="DB285" s="142"/>
      <c r="DC285" s="142"/>
      <c r="DD285" s="142"/>
      <c r="DE285" s="142"/>
      <c r="DF285" s="143"/>
      <c r="DW285" s="141"/>
      <c r="DX285" s="142"/>
      <c r="DY285" s="142"/>
      <c r="DZ285" s="142"/>
      <c r="EA285" s="142"/>
      <c r="EB285" s="142"/>
      <c r="EC285" s="142"/>
      <c r="ED285" s="143"/>
      <c r="EU285" s="141"/>
      <c r="EV285" s="142"/>
      <c r="EW285" s="142"/>
      <c r="EX285" s="142"/>
      <c r="EY285" s="142"/>
      <c r="EZ285" s="142"/>
      <c r="FA285" s="142"/>
      <c r="FB285" s="143"/>
      <c r="FS285" s="141"/>
      <c r="FT285" s="142"/>
      <c r="FU285" s="142"/>
      <c r="FV285" s="142"/>
      <c r="FW285" s="142"/>
      <c r="FX285" s="142"/>
      <c r="FY285" s="142"/>
      <c r="FZ285" s="143"/>
    </row>
    <row r="286" spans="1:188" s="3" customFormat="1">
      <c r="A286" s="16">
        <v>118</v>
      </c>
      <c r="B286" s="17">
        <v>43096</v>
      </c>
      <c r="C286" s="18"/>
      <c r="D286" s="19" t="s">
        <v>1206</v>
      </c>
      <c r="E286" s="20" t="s">
        <v>489</v>
      </c>
      <c r="F286" s="62" t="s">
        <v>493</v>
      </c>
      <c r="G286" s="63">
        <v>1709</v>
      </c>
      <c r="H286" s="121">
        <v>3180000</v>
      </c>
      <c r="I286" s="24">
        <v>3028571</v>
      </c>
      <c r="J286" s="24"/>
      <c r="K286" s="24">
        <f t="shared" si="19"/>
        <v>3028571</v>
      </c>
      <c r="L286" s="123"/>
      <c r="M286" s="24">
        <f t="shared" si="20"/>
        <v>0</v>
      </c>
      <c r="N286" s="129">
        <f t="shared" si="21"/>
        <v>3028571</v>
      </c>
      <c r="O286" s="28"/>
      <c r="P286" s="125"/>
      <c r="Q286" s="125"/>
      <c r="R286" s="125"/>
      <c r="S286" s="125"/>
      <c r="T286" s="125"/>
      <c r="U286" s="125"/>
      <c r="V286" s="125"/>
      <c r="W286" s="125"/>
      <c r="X286" s="125"/>
      <c r="Y286" s="125"/>
      <c r="Z286" s="125"/>
      <c r="AA286" s="125"/>
      <c r="AB286" s="125"/>
      <c r="AC286" s="125"/>
      <c r="AD286" s="125"/>
      <c r="AE286" s="179"/>
      <c r="AF286" s="177"/>
      <c r="AG286" s="177"/>
      <c r="AH286" s="177"/>
      <c r="AI286" s="177"/>
      <c r="AJ286" s="177"/>
      <c r="AK286" s="177"/>
      <c r="AL286" s="178"/>
      <c r="AM286" s="125"/>
      <c r="AN286" s="125"/>
      <c r="AO286" s="125"/>
      <c r="AP286" s="125"/>
      <c r="AQ286" s="125"/>
      <c r="AR286" s="125"/>
      <c r="AS286" s="125"/>
      <c r="AT286" s="125"/>
      <c r="AU286" s="125"/>
      <c r="AV286" s="125"/>
      <c r="AW286" s="125"/>
      <c r="AX286" s="125"/>
      <c r="AY286" s="125"/>
      <c r="AZ286" s="125"/>
      <c r="BA286" s="125"/>
      <c r="BB286" s="125"/>
      <c r="BC286" s="179"/>
      <c r="BD286" s="177"/>
      <c r="BE286" s="177"/>
      <c r="BF286" s="177"/>
      <c r="BG286" s="177"/>
      <c r="BH286" s="177"/>
      <c r="BI286" s="177"/>
      <c r="BJ286" s="178"/>
      <c r="BK286" s="125"/>
      <c r="BL286" s="125"/>
      <c r="BM286" s="125"/>
      <c r="BN286" s="125"/>
      <c r="BO286" s="125"/>
      <c r="BP286" s="125"/>
      <c r="BQ286" s="125"/>
      <c r="BR286" s="125"/>
      <c r="BS286" s="125"/>
      <c r="BT286" s="125"/>
      <c r="BU286" s="125"/>
      <c r="BV286" s="125"/>
      <c r="BW286" s="125"/>
      <c r="BX286" s="125"/>
      <c r="BY286" s="125"/>
      <c r="BZ286" s="125"/>
      <c r="CA286" s="179"/>
      <c r="CB286" s="177"/>
      <c r="CC286" s="177"/>
      <c r="CD286" s="177"/>
      <c r="CE286" s="177"/>
      <c r="CF286" s="177"/>
      <c r="CG286" s="177"/>
      <c r="CH286" s="178"/>
      <c r="CI286" s="125"/>
      <c r="CJ286" s="125"/>
      <c r="CK286" s="125"/>
      <c r="CL286" s="125"/>
      <c r="CM286" s="125"/>
      <c r="CN286" s="125"/>
      <c r="CO286" s="125"/>
      <c r="CP286" s="125"/>
      <c r="CQ286" s="125"/>
      <c r="CR286" s="125"/>
      <c r="CS286" s="125"/>
      <c r="CT286" s="125"/>
      <c r="CU286" s="125"/>
      <c r="CV286" s="125"/>
      <c r="CW286" s="125"/>
      <c r="CX286" s="125"/>
      <c r="CY286" s="179"/>
      <c r="CZ286" s="177"/>
      <c r="DA286" s="177"/>
      <c r="DB286" s="177"/>
      <c r="DC286" s="177"/>
      <c r="DD286" s="177"/>
      <c r="DE286" s="177"/>
      <c r="DF286" s="178"/>
      <c r="DG286" s="125"/>
      <c r="DH286" s="125"/>
      <c r="DI286" s="125"/>
      <c r="DJ286" s="125"/>
      <c r="DK286" s="125"/>
      <c r="DL286" s="125"/>
      <c r="DM286" s="125"/>
      <c r="DN286" s="125"/>
      <c r="DO286" s="125"/>
      <c r="DP286" s="125"/>
      <c r="DQ286" s="125"/>
      <c r="DR286" s="125"/>
      <c r="DS286" s="125"/>
      <c r="DT286" s="125"/>
      <c r="DU286" s="125"/>
      <c r="DV286" s="125"/>
      <c r="DW286" s="179"/>
      <c r="DX286" s="177"/>
      <c r="DY286" s="177"/>
      <c r="DZ286" s="177"/>
      <c r="EA286" s="177"/>
      <c r="EB286" s="177"/>
      <c r="EC286" s="177"/>
      <c r="ED286" s="178"/>
      <c r="EE286" s="125"/>
      <c r="EF286" s="125"/>
      <c r="EG286" s="125"/>
      <c r="EH286" s="125"/>
      <c r="EI286" s="125"/>
      <c r="EJ286" s="125"/>
      <c r="EK286" s="125"/>
      <c r="EL286" s="125"/>
      <c r="EM286" s="125"/>
      <c r="EN286" s="125"/>
      <c r="EO286" s="125"/>
      <c r="EP286" s="125"/>
      <c r="EQ286" s="125"/>
      <c r="ER286" s="125"/>
      <c r="ES286" s="125"/>
      <c r="ET286" s="125"/>
      <c r="EU286" s="179"/>
      <c r="EV286" s="177"/>
      <c r="EW286" s="177"/>
      <c r="EX286" s="177"/>
      <c r="EY286" s="177"/>
      <c r="EZ286" s="177"/>
      <c r="FA286" s="177"/>
      <c r="FB286" s="178"/>
      <c r="FC286" s="125"/>
      <c r="FD286" s="125"/>
      <c r="FE286" s="125"/>
      <c r="FF286" s="125"/>
      <c r="FG286" s="125"/>
      <c r="FH286" s="125"/>
      <c r="FI286" s="125"/>
      <c r="FJ286" s="125"/>
      <c r="FK286" s="125"/>
      <c r="FL286" s="125"/>
      <c r="FM286" s="125"/>
      <c r="FN286" s="125"/>
      <c r="FO286" s="125"/>
      <c r="FP286" s="125"/>
      <c r="FQ286" s="125"/>
      <c r="FR286" s="125"/>
      <c r="FS286" s="179"/>
      <c r="FT286" s="177"/>
      <c r="FU286" s="177"/>
      <c r="FV286" s="177"/>
      <c r="FW286" s="177"/>
      <c r="FX286" s="177"/>
      <c r="FY286" s="177"/>
      <c r="FZ286" s="178"/>
      <c r="GA286" s="125"/>
      <c r="GB286" s="125"/>
      <c r="GC286" s="125"/>
      <c r="GD286" s="125"/>
      <c r="GE286" s="125"/>
      <c r="GF286" s="125"/>
    </row>
    <row r="287" spans="1:188" s="3" customFormat="1">
      <c r="A287" s="16">
        <v>119</v>
      </c>
      <c r="B287" s="29">
        <v>43122</v>
      </c>
      <c r="C287" s="18"/>
      <c r="D287" s="19" t="s">
        <v>1206</v>
      </c>
      <c r="E287" s="20" t="s">
        <v>489</v>
      </c>
      <c r="F287" s="62" t="s">
        <v>1213</v>
      </c>
      <c r="G287" s="63">
        <v>1709</v>
      </c>
      <c r="H287" s="121">
        <v>3180000</v>
      </c>
      <c r="I287" s="24"/>
      <c r="J287" s="24">
        <f>H287/1.05</f>
        <v>3028571.4285714286</v>
      </c>
      <c r="K287" s="24">
        <f t="shared" si="19"/>
        <v>3028571.4285714286</v>
      </c>
      <c r="L287" s="26"/>
      <c r="M287" s="24">
        <f t="shared" si="20"/>
        <v>0</v>
      </c>
      <c r="N287" s="129">
        <f t="shared" si="21"/>
        <v>3028571.4285714286</v>
      </c>
      <c r="O287" s="107"/>
      <c r="P287" s="125"/>
      <c r="Q287" s="125"/>
      <c r="R287" s="125"/>
      <c r="S287" s="125"/>
      <c r="T287" s="125"/>
      <c r="U287" s="125"/>
      <c r="V287" s="125"/>
      <c r="W287" s="125"/>
      <c r="X287" s="125"/>
      <c r="Y287" s="125"/>
      <c r="Z287" s="125"/>
      <c r="AA287" s="125"/>
      <c r="AB287" s="125"/>
      <c r="AC287" s="125"/>
      <c r="AD287" s="125"/>
      <c r="AE287" s="167"/>
      <c r="AF287" s="167"/>
      <c r="AG287" s="167"/>
      <c r="AH287" s="167"/>
      <c r="AI287" s="167"/>
      <c r="AJ287" s="167"/>
      <c r="AK287" s="167"/>
      <c r="AL287" s="167"/>
      <c r="AM287" s="125"/>
      <c r="AN287" s="125"/>
      <c r="AO287" s="125"/>
      <c r="AP287" s="125"/>
      <c r="AQ287" s="125"/>
      <c r="AR287" s="125"/>
      <c r="AS287" s="125"/>
      <c r="AT287" s="125"/>
      <c r="AU287" s="125"/>
      <c r="AV287" s="125"/>
      <c r="AW287" s="125"/>
      <c r="AX287" s="125"/>
      <c r="AY287" s="125"/>
      <c r="AZ287" s="125"/>
      <c r="BA287" s="125"/>
      <c r="BB287" s="125"/>
      <c r="BC287" s="167"/>
      <c r="BD287" s="167"/>
      <c r="BE287" s="167"/>
      <c r="BF287" s="167"/>
      <c r="BG287" s="167"/>
      <c r="BH287" s="167"/>
      <c r="BI287" s="167"/>
      <c r="BJ287" s="167"/>
      <c r="BK287" s="125"/>
      <c r="BL287" s="125"/>
      <c r="BM287" s="125"/>
      <c r="BN287" s="125"/>
      <c r="BO287" s="125"/>
      <c r="BP287" s="125"/>
      <c r="BQ287" s="125"/>
      <c r="BR287" s="125"/>
      <c r="BS287" s="125"/>
      <c r="BT287" s="125"/>
      <c r="BU287" s="125"/>
      <c r="BV287" s="125"/>
      <c r="BW287" s="125"/>
      <c r="BX287" s="125"/>
      <c r="BY287" s="125"/>
      <c r="BZ287" s="125"/>
      <c r="CA287" s="167"/>
      <c r="CB287" s="167"/>
      <c r="CC287" s="167"/>
      <c r="CD287" s="167"/>
      <c r="CE287" s="167"/>
      <c r="CF287" s="167"/>
      <c r="CG287" s="167"/>
      <c r="CH287" s="167"/>
      <c r="CI287" s="125"/>
      <c r="CJ287" s="125"/>
      <c r="CK287" s="125"/>
      <c r="CL287" s="125"/>
      <c r="CM287" s="125"/>
      <c r="CN287" s="125"/>
      <c r="CO287" s="125"/>
      <c r="CP287" s="125"/>
      <c r="CQ287" s="125"/>
      <c r="CR287" s="125"/>
      <c r="CS287" s="125"/>
      <c r="CT287" s="125"/>
      <c r="CU287" s="125"/>
      <c r="CV287" s="125"/>
      <c r="CW287" s="125"/>
      <c r="CX287" s="125"/>
      <c r="CY287" s="167"/>
      <c r="CZ287" s="167"/>
      <c r="DA287" s="167"/>
      <c r="DB287" s="167"/>
      <c r="DC287" s="167"/>
      <c r="DD287" s="167"/>
      <c r="DE287" s="167"/>
      <c r="DF287" s="167"/>
      <c r="DG287" s="125"/>
      <c r="DH287" s="125"/>
      <c r="DI287" s="125"/>
      <c r="DJ287" s="125"/>
      <c r="DK287" s="125"/>
      <c r="DL287" s="125"/>
      <c r="DM287" s="125"/>
      <c r="DN287" s="125"/>
      <c r="DO287" s="125"/>
      <c r="DP287" s="125"/>
      <c r="DQ287" s="125"/>
      <c r="DR287" s="125"/>
      <c r="DS287" s="125"/>
      <c r="DT287" s="125"/>
      <c r="DU287" s="125"/>
      <c r="DV287" s="125"/>
      <c r="DW287" s="167"/>
      <c r="DX287" s="167"/>
      <c r="DY287" s="167"/>
      <c r="DZ287" s="167"/>
      <c r="EA287" s="167"/>
      <c r="EB287" s="167"/>
      <c r="EC287" s="167"/>
      <c r="ED287" s="167"/>
      <c r="EE287" s="125"/>
      <c r="EF287" s="125"/>
      <c r="EG287" s="125"/>
      <c r="EH287" s="125"/>
      <c r="EI287" s="125"/>
      <c r="EJ287" s="125"/>
      <c r="EK287" s="125"/>
      <c r="EL287" s="125"/>
      <c r="EM287" s="125"/>
      <c r="EN287" s="125"/>
      <c r="EO287" s="125"/>
      <c r="EP287" s="125"/>
      <c r="EQ287" s="125"/>
      <c r="ER287" s="125"/>
      <c r="ES287" s="125"/>
      <c r="ET287" s="125"/>
      <c r="EU287" s="167"/>
      <c r="EV287" s="167"/>
      <c r="EW287" s="167"/>
      <c r="EX287" s="167"/>
      <c r="EY287" s="167"/>
      <c r="EZ287" s="167"/>
      <c r="FA287" s="167"/>
      <c r="FB287" s="167"/>
      <c r="FC287" s="125"/>
      <c r="FD287" s="125"/>
      <c r="FE287" s="125"/>
      <c r="FF287" s="125"/>
      <c r="FG287" s="125"/>
      <c r="FH287" s="125"/>
      <c r="FI287" s="125"/>
      <c r="FJ287" s="125"/>
      <c r="FK287" s="125"/>
      <c r="FL287" s="125"/>
      <c r="FM287" s="125"/>
      <c r="FN287" s="125"/>
      <c r="FO287" s="125"/>
      <c r="FP287" s="125"/>
      <c r="FQ287" s="125"/>
      <c r="FR287" s="125"/>
      <c r="FS287" s="167"/>
      <c r="FT287" s="167"/>
      <c r="FU287" s="167"/>
      <c r="FV287" s="167"/>
      <c r="FW287" s="167"/>
      <c r="FX287" s="167"/>
      <c r="FY287" s="167"/>
      <c r="FZ287" s="167"/>
      <c r="GA287" s="125"/>
      <c r="GB287" s="125"/>
      <c r="GC287" s="125"/>
      <c r="GD287" s="125"/>
      <c r="GE287" s="125"/>
      <c r="GF287" s="125"/>
    </row>
    <row r="288" spans="1:188" s="3" customFormat="1">
      <c r="A288" s="16">
        <v>120</v>
      </c>
      <c r="B288" s="17">
        <v>43081</v>
      </c>
      <c r="C288" s="18"/>
      <c r="D288" s="19" t="s">
        <v>1214</v>
      </c>
      <c r="E288" s="20" t="s">
        <v>495</v>
      </c>
      <c r="F288" s="120" t="s">
        <v>496</v>
      </c>
      <c r="G288" s="63">
        <v>1708</v>
      </c>
      <c r="H288" s="121">
        <v>3320100</v>
      </c>
      <c r="I288" s="24">
        <v>3162000</v>
      </c>
      <c r="J288" s="24"/>
      <c r="K288" s="24">
        <f t="shared" si="19"/>
        <v>3162000</v>
      </c>
      <c r="L288" s="123"/>
      <c r="M288" s="24">
        <f t="shared" si="20"/>
        <v>0</v>
      </c>
      <c r="N288" s="129">
        <f t="shared" si="21"/>
        <v>3162000</v>
      </c>
      <c r="O288" s="107"/>
      <c r="P288" s="125"/>
      <c r="Q288" s="125"/>
      <c r="R288" s="125"/>
      <c r="S288" s="125"/>
      <c r="T288" s="125"/>
      <c r="U288" s="125"/>
      <c r="V288" s="125"/>
      <c r="W288" s="125"/>
      <c r="X288" s="125"/>
      <c r="Y288" s="125"/>
      <c r="Z288" s="125"/>
      <c r="AA288" s="125"/>
      <c r="AB288" s="125"/>
      <c r="AC288" s="125"/>
      <c r="AD288" s="125"/>
      <c r="AE288" s="179"/>
      <c r="AF288" s="177"/>
      <c r="AG288" s="177"/>
      <c r="AH288" s="177"/>
      <c r="AI288" s="177"/>
      <c r="AJ288" s="177"/>
      <c r="AK288" s="177"/>
      <c r="AL288" s="178"/>
      <c r="AM288" s="125"/>
      <c r="AN288" s="125"/>
      <c r="AO288" s="125"/>
      <c r="AP288" s="125"/>
      <c r="AQ288" s="125"/>
      <c r="AR288" s="125"/>
      <c r="AS288" s="125"/>
      <c r="AT288" s="125"/>
      <c r="AU288" s="125"/>
      <c r="AV288" s="125"/>
      <c r="AW288" s="125"/>
      <c r="AX288" s="125"/>
      <c r="AY288" s="125"/>
      <c r="AZ288" s="125"/>
      <c r="BA288" s="125"/>
      <c r="BB288" s="125"/>
      <c r="BC288" s="179"/>
      <c r="BD288" s="177"/>
      <c r="BE288" s="177"/>
      <c r="BF288" s="177"/>
      <c r="BG288" s="177"/>
      <c r="BH288" s="177"/>
      <c r="BI288" s="177"/>
      <c r="BJ288" s="178"/>
      <c r="BK288" s="125"/>
      <c r="BL288" s="125"/>
      <c r="BM288" s="125"/>
      <c r="BN288" s="125"/>
      <c r="BO288" s="125"/>
      <c r="BP288" s="125"/>
      <c r="BQ288" s="125"/>
      <c r="BR288" s="125"/>
      <c r="BS288" s="125"/>
      <c r="BT288" s="125"/>
      <c r="BU288" s="125"/>
      <c r="BV288" s="125"/>
      <c r="BW288" s="125"/>
      <c r="BX288" s="125"/>
      <c r="BY288" s="125"/>
      <c r="BZ288" s="125"/>
      <c r="CA288" s="179"/>
      <c r="CB288" s="177"/>
      <c r="CC288" s="177"/>
      <c r="CD288" s="177"/>
      <c r="CE288" s="177"/>
      <c r="CF288" s="177"/>
      <c r="CG288" s="177"/>
      <c r="CH288" s="178"/>
      <c r="CI288" s="125"/>
      <c r="CJ288" s="125"/>
      <c r="CK288" s="125"/>
      <c r="CL288" s="125"/>
      <c r="CM288" s="125"/>
      <c r="CN288" s="125"/>
      <c r="CO288" s="125"/>
      <c r="CP288" s="125"/>
      <c r="CQ288" s="125"/>
      <c r="CR288" s="125"/>
      <c r="CS288" s="125"/>
      <c r="CT288" s="125"/>
      <c r="CU288" s="125"/>
      <c r="CV288" s="125"/>
      <c r="CW288" s="125"/>
      <c r="CX288" s="125"/>
      <c r="CY288" s="179"/>
      <c r="CZ288" s="177"/>
      <c r="DA288" s="177"/>
      <c r="DB288" s="177"/>
      <c r="DC288" s="177"/>
      <c r="DD288" s="177"/>
      <c r="DE288" s="177"/>
      <c r="DF288" s="178"/>
      <c r="DG288" s="125"/>
      <c r="DH288" s="125"/>
      <c r="DI288" s="125"/>
      <c r="DJ288" s="125"/>
      <c r="DK288" s="125"/>
      <c r="DL288" s="125"/>
      <c r="DM288" s="125"/>
      <c r="DN288" s="125"/>
      <c r="DO288" s="125"/>
      <c r="DP288" s="125"/>
      <c r="DQ288" s="125"/>
      <c r="DR288" s="125"/>
      <c r="DS288" s="125"/>
      <c r="DT288" s="125"/>
      <c r="DU288" s="125"/>
      <c r="DV288" s="125"/>
      <c r="DW288" s="179"/>
      <c r="DX288" s="177"/>
      <c r="DY288" s="177"/>
      <c r="DZ288" s="177"/>
      <c r="EA288" s="177"/>
      <c r="EB288" s="177"/>
      <c r="EC288" s="177"/>
      <c r="ED288" s="178"/>
      <c r="EE288" s="125"/>
      <c r="EF288" s="125"/>
      <c r="EG288" s="125"/>
      <c r="EH288" s="125"/>
      <c r="EI288" s="125"/>
      <c r="EJ288" s="125"/>
      <c r="EK288" s="125"/>
      <c r="EL288" s="125"/>
      <c r="EM288" s="125"/>
      <c r="EN288" s="125"/>
      <c r="EO288" s="125"/>
      <c r="EP288" s="125"/>
      <c r="EQ288" s="125"/>
      <c r="ER288" s="125"/>
      <c r="ES288" s="125"/>
      <c r="ET288" s="125"/>
      <c r="EU288" s="179"/>
      <c r="EV288" s="177"/>
      <c r="EW288" s="177"/>
      <c r="EX288" s="177"/>
      <c r="EY288" s="177"/>
      <c r="EZ288" s="177"/>
      <c r="FA288" s="177"/>
      <c r="FB288" s="178"/>
      <c r="FC288" s="125"/>
      <c r="FD288" s="125"/>
      <c r="FE288" s="125"/>
      <c r="FF288" s="125"/>
      <c r="FG288" s="125"/>
      <c r="FH288" s="125"/>
      <c r="FI288" s="125"/>
      <c r="FJ288" s="125"/>
      <c r="FK288" s="125"/>
      <c r="FL288" s="125"/>
      <c r="FM288" s="125"/>
      <c r="FN288" s="125"/>
      <c r="FO288" s="125"/>
      <c r="FP288" s="125"/>
      <c r="FQ288" s="125"/>
      <c r="FR288" s="125"/>
      <c r="FS288" s="179"/>
      <c r="FT288" s="177"/>
      <c r="FU288" s="177"/>
      <c r="FV288" s="177"/>
      <c r="FW288" s="177"/>
      <c r="FX288" s="177"/>
      <c r="FY288" s="177"/>
      <c r="FZ288" s="178"/>
      <c r="GA288" s="125"/>
      <c r="GB288" s="125"/>
      <c r="GC288" s="125"/>
      <c r="GD288" s="125"/>
      <c r="GE288" s="125"/>
      <c r="GF288" s="125"/>
    </row>
    <row r="289" spans="1:188" s="3" customFormat="1">
      <c r="A289" s="16">
        <v>121</v>
      </c>
      <c r="B289" s="17">
        <v>43115</v>
      </c>
      <c r="C289" s="18"/>
      <c r="D289" s="19" t="s">
        <v>1214</v>
      </c>
      <c r="E289" s="20" t="s">
        <v>495</v>
      </c>
      <c r="F289" s="168" t="s">
        <v>1215</v>
      </c>
      <c r="G289" s="63">
        <v>1708</v>
      </c>
      <c r="H289" s="121">
        <v>3353500</v>
      </c>
      <c r="I289" s="24"/>
      <c r="J289" s="24">
        <v>3208587</v>
      </c>
      <c r="K289" s="24">
        <f t="shared" si="19"/>
        <v>3208587</v>
      </c>
      <c r="L289" s="123"/>
      <c r="M289" s="24">
        <f t="shared" si="20"/>
        <v>0</v>
      </c>
      <c r="N289" s="129">
        <f t="shared" si="21"/>
        <v>3208587</v>
      </c>
      <c r="O289" s="107"/>
      <c r="P289" s="125"/>
      <c r="Q289" s="125"/>
      <c r="R289" s="125"/>
      <c r="S289" s="125"/>
      <c r="T289" s="125"/>
      <c r="U289" s="125"/>
      <c r="V289" s="125"/>
      <c r="W289" s="125"/>
      <c r="X289" s="125"/>
      <c r="Y289" s="125"/>
      <c r="Z289" s="125"/>
      <c r="AA289" s="125"/>
      <c r="AB289" s="125"/>
      <c r="AC289" s="125"/>
      <c r="AD289" s="125"/>
      <c r="AE289" s="167"/>
      <c r="AF289" s="167"/>
      <c r="AG289" s="167"/>
      <c r="AH289" s="167"/>
      <c r="AI289" s="167"/>
      <c r="AJ289" s="167"/>
      <c r="AK289" s="167"/>
      <c r="AL289" s="167"/>
      <c r="AM289" s="125"/>
      <c r="AN289" s="125"/>
      <c r="AO289" s="125"/>
      <c r="AP289" s="125"/>
      <c r="AQ289" s="125"/>
      <c r="AR289" s="125"/>
      <c r="AS289" s="125"/>
      <c r="AT289" s="125"/>
      <c r="AU289" s="125"/>
      <c r="AV289" s="125"/>
      <c r="AW289" s="125"/>
      <c r="AX289" s="125"/>
      <c r="AY289" s="125"/>
      <c r="AZ289" s="125"/>
      <c r="BA289" s="125"/>
      <c r="BB289" s="125"/>
      <c r="BC289" s="167"/>
      <c r="BD289" s="167"/>
      <c r="BE289" s="167"/>
      <c r="BF289" s="167"/>
      <c r="BG289" s="167"/>
      <c r="BH289" s="167"/>
      <c r="BI289" s="167"/>
      <c r="BJ289" s="167"/>
      <c r="BK289" s="125"/>
      <c r="BL289" s="125"/>
      <c r="BM289" s="125"/>
      <c r="BN289" s="125"/>
      <c r="BO289" s="125"/>
      <c r="BP289" s="125"/>
      <c r="BQ289" s="125"/>
      <c r="BR289" s="125"/>
      <c r="BS289" s="125"/>
      <c r="BT289" s="125"/>
      <c r="BU289" s="125"/>
      <c r="BV289" s="125"/>
      <c r="BW289" s="125"/>
      <c r="BX289" s="125"/>
      <c r="BY289" s="125"/>
      <c r="BZ289" s="125"/>
      <c r="CA289" s="167"/>
      <c r="CB289" s="167"/>
      <c r="CC289" s="167"/>
      <c r="CD289" s="167"/>
      <c r="CE289" s="167"/>
      <c r="CF289" s="167"/>
      <c r="CG289" s="167"/>
      <c r="CH289" s="167"/>
      <c r="CI289" s="125"/>
      <c r="CJ289" s="125"/>
      <c r="CK289" s="125"/>
      <c r="CL289" s="125"/>
      <c r="CM289" s="125"/>
      <c r="CN289" s="125"/>
      <c r="CO289" s="125"/>
      <c r="CP289" s="125"/>
      <c r="CQ289" s="125"/>
      <c r="CR289" s="125"/>
      <c r="CS289" s="125"/>
      <c r="CT289" s="125"/>
      <c r="CU289" s="125"/>
      <c r="CV289" s="125"/>
      <c r="CW289" s="125"/>
      <c r="CX289" s="125"/>
      <c r="CY289" s="167"/>
      <c r="CZ289" s="167"/>
      <c r="DA289" s="167"/>
      <c r="DB289" s="167"/>
      <c r="DC289" s="167"/>
      <c r="DD289" s="167"/>
      <c r="DE289" s="167"/>
      <c r="DF289" s="167"/>
      <c r="DG289" s="125"/>
      <c r="DH289" s="125"/>
      <c r="DI289" s="125"/>
      <c r="DJ289" s="125"/>
      <c r="DK289" s="125"/>
      <c r="DL289" s="125"/>
      <c r="DM289" s="125"/>
      <c r="DN289" s="125"/>
      <c r="DO289" s="125"/>
      <c r="DP289" s="125"/>
      <c r="DQ289" s="125"/>
      <c r="DR289" s="125"/>
      <c r="DS289" s="125"/>
      <c r="DT289" s="125"/>
      <c r="DU289" s="125"/>
      <c r="DV289" s="125"/>
      <c r="DW289" s="167"/>
      <c r="DX289" s="167"/>
      <c r="DY289" s="167"/>
      <c r="DZ289" s="167"/>
      <c r="EA289" s="167"/>
      <c r="EB289" s="167"/>
      <c r="EC289" s="167"/>
      <c r="ED289" s="167"/>
      <c r="EE289" s="125"/>
      <c r="EF289" s="125"/>
      <c r="EG289" s="125"/>
      <c r="EH289" s="125"/>
      <c r="EI289" s="125"/>
      <c r="EJ289" s="125"/>
      <c r="EK289" s="125"/>
      <c r="EL289" s="125"/>
      <c r="EM289" s="125"/>
      <c r="EN289" s="125"/>
      <c r="EO289" s="125"/>
      <c r="EP289" s="125"/>
      <c r="EQ289" s="125"/>
      <c r="ER289" s="125"/>
      <c r="ES289" s="125"/>
      <c r="ET289" s="125"/>
      <c r="EU289" s="167"/>
      <c r="EV289" s="167"/>
      <c r="EW289" s="167"/>
      <c r="EX289" s="167"/>
      <c r="EY289" s="167"/>
      <c r="EZ289" s="167"/>
      <c r="FA289" s="167"/>
      <c r="FB289" s="167"/>
      <c r="FC289" s="125"/>
      <c r="FD289" s="125"/>
      <c r="FE289" s="125"/>
      <c r="FF289" s="125"/>
      <c r="FG289" s="125"/>
      <c r="FH289" s="125"/>
      <c r="FI289" s="125"/>
      <c r="FJ289" s="125"/>
      <c r="FK289" s="125"/>
      <c r="FL289" s="125"/>
      <c r="FM289" s="125"/>
      <c r="FN289" s="125"/>
      <c r="FO289" s="125"/>
      <c r="FP289" s="125"/>
      <c r="FQ289" s="125"/>
      <c r="FR289" s="125"/>
      <c r="FS289" s="167"/>
      <c r="FT289" s="167"/>
      <c r="FU289" s="167"/>
      <c r="FV289" s="167"/>
      <c r="FW289" s="167"/>
      <c r="FX289" s="167"/>
      <c r="FY289" s="167"/>
      <c r="FZ289" s="167"/>
      <c r="GA289" s="125"/>
      <c r="GB289" s="125"/>
      <c r="GC289" s="125"/>
      <c r="GD289" s="125"/>
      <c r="GE289" s="125"/>
      <c r="GF289" s="125"/>
    </row>
    <row r="290" spans="1:188" s="3" customFormat="1">
      <c r="A290" s="80">
        <v>1</v>
      </c>
      <c r="B290" s="60">
        <v>43084</v>
      </c>
      <c r="C290" s="18"/>
      <c r="D290" s="19" t="s">
        <v>1124</v>
      </c>
      <c r="E290" s="20" t="s">
        <v>285</v>
      </c>
      <c r="F290" s="168" t="s">
        <v>290</v>
      </c>
      <c r="G290" s="63">
        <v>1709</v>
      </c>
      <c r="H290" s="121">
        <v>1406000</v>
      </c>
      <c r="I290" s="24">
        <v>1339048</v>
      </c>
      <c r="J290" s="24"/>
      <c r="K290" s="24">
        <f t="shared" si="19"/>
        <v>1339048</v>
      </c>
      <c r="L290" s="123">
        <v>1</v>
      </c>
      <c r="M290" s="24">
        <f t="shared" si="20"/>
        <v>1339048</v>
      </c>
      <c r="N290" s="124">
        <f t="shared" si="21"/>
        <v>0</v>
      </c>
      <c r="O290" s="107" t="s">
        <v>1216</v>
      </c>
      <c r="P290" s="125"/>
      <c r="Q290" s="125"/>
      <c r="R290" s="125"/>
      <c r="S290" s="125"/>
      <c r="T290" s="125"/>
      <c r="U290" s="125"/>
      <c r="V290" s="125"/>
      <c r="W290" s="125"/>
      <c r="X290" s="125"/>
      <c r="Y290" s="125"/>
      <c r="Z290" s="125"/>
      <c r="AA290" s="125"/>
      <c r="AB290" s="125"/>
      <c r="AC290" s="125"/>
      <c r="AD290" s="125"/>
      <c r="AE290" s="167"/>
      <c r="AF290" s="167"/>
      <c r="AG290" s="167"/>
      <c r="AH290" s="167"/>
      <c r="AI290" s="167"/>
      <c r="AJ290" s="167"/>
      <c r="AK290" s="167"/>
      <c r="AL290" s="167"/>
      <c r="AM290" s="125"/>
      <c r="AN290" s="125"/>
      <c r="AO290" s="125"/>
      <c r="AP290" s="125"/>
      <c r="AQ290" s="125"/>
      <c r="AR290" s="125"/>
      <c r="AS290" s="125"/>
      <c r="AT290" s="125"/>
      <c r="AU290" s="125"/>
      <c r="AV290" s="125"/>
      <c r="AW290" s="125"/>
      <c r="AX290" s="125"/>
      <c r="AY290" s="125"/>
      <c r="AZ290" s="125"/>
      <c r="BA290" s="125"/>
      <c r="BB290" s="125"/>
      <c r="BC290" s="167"/>
      <c r="BD290" s="167"/>
      <c r="BE290" s="167"/>
      <c r="BF290" s="167"/>
      <c r="BG290" s="167"/>
      <c r="BH290" s="167"/>
      <c r="BI290" s="167"/>
      <c r="BJ290" s="167"/>
      <c r="BK290" s="125"/>
      <c r="BL290" s="125"/>
      <c r="BM290" s="125"/>
      <c r="BN290" s="125"/>
      <c r="BO290" s="125"/>
      <c r="BP290" s="125"/>
      <c r="BQ290" s="125"/>
      <c r="BR290" s="125"/>
      <c r="BS290" s="125"/>
      <c r="BT290" s="125"/>
      <c r="BU290" s="125"/>
      <c r="BV290" s="125"/>
      <c r="BW290" s="125"/>
      <c r="BX290" s="125"/>
      <c r="BY290" s="125"/>
      <c r="BZ290" s="125"/>
      <c r="CA290" s="167"/>
      <c r="CB290" s="167"/>
      <c r="CC290" s="167"/>
      <c r="CD290" s="167"/>
      <c r="CE290" s="167"/>
      <c r="CF290" s="167"/>
      <c r="CG290" s="167"/>
      <c r="CH290" s="167"/>
      <c r="CI290" s="125"/>
      <c r="CJ290" s="125"/>
      <c r="CK290" s="125"/>
      <c r="CL290" s="125"/>
      <c r="CM290" s="125"/>
      <c r="CN290" s="125"/>
      <c r="CO290" s="125"/>
      <c r="CP290" s="125"/>
      <c r="CQ290" s="125"/>
      <c r="CR290" s="125"/>
      <c r="CS290" s="125"/>
      <c r="CT290" s="125"/>
      <c r="CU290" s="125"/>
      <c r="CV290" s="125"/>
      <c r="CW290" s="125"/>
      <c r="CX290" s="125"/>
      <c r="CY290" s="167"/>
      <c r="CZ290" s="167"/>
      <c r="DA290" s="167"/>
      <c r="DB290" s="167"/>
      <c r="DC290" s="167"/>
      <c r="DD290" s="167"/>
      <c r="DE290" s="167"/>
      <c r="DF290" s="167"/>
      <c r="DG290" s="125"/>
      <c r="DH290" s="125"/>
      <c r="DI290" s="125"/>
      <c r="DJ290" s="125"/>
      <c r="DK290" s="125"/>
      <c r="DL290" s="125"/>
      <c r="DM290" s="125"/>
      <c r="DN290" s="125"/>
      <c r="DO290" s="125"/>
      <c r="DP290" s="125"/>
      <c r="DQ290" s="125"/>
      <c r="DR290" s="125"/>
      <c r="DS290" s="125"/>
      <c r="DT290" s="125"/>
      <c r="DU290" s="125"/>
      <c r="DV290" s="125"/>
      <c r="DW290" s="167"/>
      <c r="DX290" s="167"/>
      <c r="DY290" s="167"/>
      <c r="DZ290" s="167"/>
      <c r="EA290" s="167"/>
      <c r="EB290" s="167"/>
      <c r="EC290" s="167"/>
      <c r="ED290" s="167"/>
      <c r="EE290" s="125"/>
      <c r="EF290" s="125"/>
      <c r="EG290" s="125"/>
      <c r="EH290" s="125"/>
      <c r="EI290" s="125"/>
      <c r="EJ290" s="125"/>
      <c r="EK290" s="125"/>
      <c r="EL290" s="125"/>
      <c r="EM290" s="125"/>
      <c r="EN290" s="125"/>
      <c r="EO290" s="125"/>
      <c r="EP290" s="125"/>
      <c r="EQ290" s="125"/>
      <c r="ER290" s="125"/>
      <c r="ES290" s="125"/>
      <c r="ET290" s="125"/>
      <c r="EU290" s="167"/>
      <c r="EV290" s="167"/>
      <c r="EW290" s="167"/>
      <c r="EX290" s="167"/>
      <c r="EY290" s="167"/>
      <c r="EZ290" s="167"/>
      <c r="FA290" s="167"/>
      <c r="FB290" s="167"/>
      <c r="FC290" s="125"/>
      <c r="FD290" s="125"/>
      <c r="FE290" s="125"/>
      <c r="FF290" s="125"/>
      <c r="FG290" s="125"/>
      <c r="FH290" s="125"/>
      <c r="FI290" s="125"/>
      <c r="FJ290" s="125"/>
      <c r="FK290" s="125"/>
      <c r="FL290" s="125"/>
      <c r="FM290" s="125"/>
      <c r="FN290" s="125"/>
      <c r="FO290" s="125"/>
      <c r="FP290" s="125"/>
      <c r="FQ290" s="125"/>
      <c r="FR290" s="125"/>
      <c r="FS290" s="167"/>
      <c r="FT290" s="167"/>
      <c r="FU290" s="167"/>
      <c r="FV290" s="167"/>
      <c r="FW290" s="167"/>
      <c r="FX290" s="167"/>
      <c r="FY290" s="167"/>
      <c r="FZ290" s="167"/>
      <c r="GA290" s="125"/>
      <c r="GB290" s="125"/>
      <c r="GC290" s="125"/>
      <c r="GD290" s="125"/>
      <c r="GE290" s="125"/>
      <c r="GF290" s="125"/>
    </row>
    <row r="291" spans="1:188" s="3" customFormat="1">
      <c r="A291" s="80">
        <v>2</v>
      </c>
      <c r="B291" s="60">
        <v>43104</v>
      </c>
      <c r="C291" s="18"/>
      <c r="D291" s="19" t="s">
        <v>1124</v>
      </c>
      <c r="E291" s="20" t="s">
        <v>285</v>
      </c>
      <c r="F291" s="168" t="s">
        <v>1217</v>
      </c>
      <c r="G291" s="63">
        <v>1711</v>
      </c>
      <c r="H291" s="121">
        <v>1406000</v>
      </c>
      <c r="I291" s="24"/>
      <c r="J291" s="24">
        <v>1339047</v>
      </c>
      <c r="K291" s="24">
        <f t="shared" si="19"/>
        <v>1339047</v>
      </c>
      <c r="L291" s="123">
        <v>1</v>
      </c>
      <c r="M291" s="24">
        <f t="shared" si="20"/>
        <v>1339047</v>
      </c>
      <c r="N291" s="124">
        <f t="shared" si="21"/>
        <v>0</v>
      </c>
      <c r="O291" s="107" t="s">
        <v>1216</v>
      </c>
      <c r="P291" s="125"/>
      <c r="Q291" s="125"/>
      <c r="R291" s="125"/>
      <c r="S291" s="125"/>
      <c r="T291" s="125"/>
      <c r="U291" s="125"/>
      <c r="V291" s="125"/>
      <c r="W291" s="125"/>
      <c r="X291" s="125"/>
      <c r="Y291" s="125"/>
      <c r="Z291" s="125"/>
      <c r="AA291" s="125"/>
      <c r="AB291" s="125"/>
      <c r="AC291" s="125"/>
      <c r="AD291" s="125"/>
      <c r="AE291" s="167"/>
      <c r="AF291" s="167"/>
      <c r="AG291" s="167"/>
      <c r="AH291" s="167"/>
      <c r="AI291" s="167"/>
      <c r="AJ291" s="167"/>
      <c r="AK291" s="167"/>
      <c r="AL291" s="167"/>
      <c r="AM291" s="125"/>
      <c r="AN291" s="125"/>
      <c r="AO291" s="125"/>
      <c r="AP291" s="125"/>
      <c r="AQ291" s="125"/>
      <c r="AR291" s="125"/>
      <c r="AS291" s="125"/>
      <c r="AT291" s="125"/>
      <c r="AU291" s="125"/>
      <c r="AV291" s="125"/>
      <c r="AW291" s="125"/>
      <c r="AX291" s="125"/>
      <c r="AY291" s="125"/>
      <c r="AZ291" s="125"/>
      <c r="BA291" s="125"/>
      <c r="BB291" s="125"/>
      <c r="BC291" s="167"/>
      <c r="BD291" s="167"/>
      <c r="BE291" s="167"/>
      <c r="BF291" s="167"/>
      <c r="BG291" s="167"/>
      <c r="BH291" s="167"/>
      <c r="BI291" s="167"/>
      <c r="BJ291" s="167"/>
      <c r="BK291" s="125"/>
      <c r="BL291" s="125"/>
      <c r="BM291" s="125"/>
      <c r="BN291" s="125"/>
      <c r="BO291" s="125"/>
      <c r="BP291" s="125"/>
      <c r="BQ291" s="125"/>
      <c r="BR291" s="125"/>
      <c r="BS291" s="125"/>
      <c r="BT291" s="125"/>
      <c r="BU291" s="125"/>
      <c r="BV291" s="125"/>
      <c r="BW291" s="125"/>
      <c r="BX291" s="125"/>
      <c r="BY291" s="125"/>
      <c r="BZ291" s="125"/>
      <c r="CA291" s="167"/>
      <c r="CB291" s="167"/>
      <c r="CC291" s="167"/>
      <c r="CD291" s="167"/>
      <c r="CE291" s="167"/>
      <c r="CF291" s="167"/>
      <c r="CG291" s="167"/>
      <c r="CH291" s="167"/>
      <c r="CI291" s="125"/>
      <c r="CJ291" s="125"/>
      <c r="CK291" s="125"/>
      <c r="CL291" s="125"/>
      <c r="CM291" s="125"/>
      <c r="CN291" s="125"/>
      <c r="CO291" s="125"/>
      <c r="CP291" s="125"/>
      <c r="CQ291" s="125"/>
      <c r="CR291" s="125"/>
      <c r="CS291" s="125"/>
      <c r="CT291" s="125"/>
      <c r="CU291" s="125"/>
      <c r="CV291" s="125"/>
      <c r="CW291" s="125"/>
      <c r="CX291" s="125"/>
      <c r="CY291" s="167"/>
      <c r="CZ291" s="167"/>
      <c r="DA291" s="167"/>
      <c r="DB291" s="167"/>
      <c r="DC291" s="167"/>
      <c r="DD291" s="167"/>
      <c r="DE291" s="167"/>
      <c r="DF291" s="167"/>
      <c r="DG291" s="125"/>
      <c r="DH291" s="125"/>
      <c r="DI291" s="125"/>
      <c r="DJ291" s="125"/>
      <c r="DK291" s="125"/>
      <c r="DL291" s="125"/>
      <c r="DM291" s="125"/>
      <c r="DN291" s="125"/>
      <c r="DO291" s="125"/>
      <c r="DP291" s="125"/>
      <c r="DQ291" s="125"/>
      <c r="DR291" s="125"/>
      <c r="DS291" s="125"/>
      <c r="DT291" s="125"/>
      <c r="DU291" s="125"/>
      <c r="DV291" s="125"/>
      <c r="DW291" s="167"/>
      <c r="DX291" s="167"/>
      <c r="DY291" s="167"/>
      <c r="DZ291" s="167"/>
      <c r="EA291" s="167"/>
      <c r="EB291" s="167"/>
      <c r="EC291" s="167"/>
      <c r="ED291" s="167"/>
      <c r="EE291" s="125"/>
      <c r="EF291" s="125"/>
      <c r="EG291" s="125"/>
      <c r="EH291" s="125"/>
      <c r="EI291" s="125"/>
      <c r="EJ291" s="125"/>
      <c r="EK291" s="125"/>
      <c r="EL291" s="125"/>
      <c r="EM291" s="125"/>
      <c r="EN291" s="125"/>
      <c r="EO291" s="125"/>
      <c r="EP291" s="125"/>
      <c r="EQ291" s="125"/>
      <c r="ER291" s="125"/>
      <c r="ES291" s="125"/>
      <c r="ET291" s="125"/>
      <c r="EU291" s="167"/>
      <c r="EV291" s="167"/>
      <c r="EW291" s="167"/>
      <c r="EX291" s="167"/>
      <c r="EY291" s="167"/>
      <c r="EZ291" s="167"/>
      <c r="FA291" s="167"/>
      <c r="FB291" s="167"/>
      <c r="FC291" s="125"/>
      <c r="FD291" s="125"/>
      <c r="FE291" s="125"/>
      <c r="FF291" s="125"/>
      <c r="FG291" s="125"/>
      <c r="FH291" s="125"/>
      <c r="FI291" s="125"/>
      <c r="FJ291" s="125"/>
      <c r="FK291" s="125"/>
      <c r="FL291" s="125"/>
      <c r="FM291" s="125"/>
      <c r="FN291" s="125"/>
      <c r="FO291" s="125"/>
      <c r="FP291" s="125"/>
      <c r="FQ291" s="125"/>
      <c r="FR291" s="125"/>
      <c r="FS291" s="167"/>
      <c r="FT291" s="167"/>
      <c r="FU291" s="167"/>
      <c r="FV291" s="167"/>
      <c r="FW291" s="167"/>
      <c r="FX291" s="167"/>
      <c r="FY291" s="167"/>
      <c r="FZ291" s="167"/>
      <c r="GA291" s="125"/>
      <c r="GB291" s="125"/>
      <c r="GC291" s="125"/>
      <c r="GD291" s="125"/>
      <c r="GE291" s="125"/>
      <c r="GF291" s="125"/>
    </row>
    <row r="292" spans="1:188" s="3" customFormat="1">
      <c r="A292" s="80">
        <v>3</v>
      </c>
      <c r="B292" s="60">
        <v>43126</v>
      </c>
      <c r="C292" s="18"/>
      <c r="D292" s="19" t="s">
        <v>1124</v>
      </c>
      <c r="E292" s="20" t="s">
        <v>285</v>
      </c>
      <c r="F292" s="168" t="s">
        <v>1218</v>
      </c>
      <c r="G292" s="63">
        <v>1711</v>
      </c>
      <c r="H292" s="121">
        <v>1406000</v>
      </c>
      <c r="I292" s="24"/>
      <c r="J292" s="24">
        <v>1339047</v>
      </c>
      <c r="K292" s="24">
        <f t="shared" si="19"/>
        <v>1339047</v>
      </c>
      <c r="L292" s="123">
        <v>1</v>
      </c>
      <c r="M292" s="24">
        <f t="shared" si="20"/>
        <v>1339047</v>
      </c>
      <c r="N292" s="124">
        <f t="shared" si="21"/>
        <v>0</v>
      </c>
      <c r="O292" s="107" t="s">
        <v>1216</v>
      </c>
      <c r="AE292" s="130"/>
      <c r="AF292" s="130"/>
      <c r="AG292" s="130"/>
      <c r="AH292" s="130"/>
      <c r="AI292" s="130"/>
      <c r="AJ292" s="130"/>
      <c r="AK292" s="130"/>
      <c r="AL292" s="130"/>
      <c r="BC292" s="130"/>
      <c r="BD292" s="130"/>
      <c r="BE292" s="130"/>
      <c r="BF292" s="130"/>
      <c r="BG292" s="130"/>
      <c r="BH292" s="130"/>
      <c r="BI292" s="130"/>
      <c r="BJ292" s="130"/>
      <c r="CA292" s="130"/>
      <c r="CB292" s="130"/>
      <c r="CC292" s="130"/>
      <c r="CD292" s="130"/>
      <c r="CE292" s="130"/>
      <c r="CF292" s="130"/>
      <c r="CG292" s="130"/>
      <c r="CH292" s="130"/>
      <c r="CY292" s="130"/>
      <c r="CZ292" s="130"/>
      <c r="DA292" s="130"/>
      <c r="DB292" s="130"/>
      <c r="DC292" s="130"/>
      <c r="DD292" s="130"/>
      <c r="DE292" s="130"/>
      <c r="DF292" s="130"/>
      <c r="DW292" s="130"/>
      <c r="DX292" s="130"/>
      <c r="DY292" s="130"/>
      <c r="DZ292" s="130"/>
      <c r="EA292" s="130"/>
      <c r="EB292" s="130"/>
      <c r="EC292" s="130"/>
      <c r="ED292" s="130"/>
      <c r="EU292" s="130"/>
      <c r="EV292" s="130"/>
      <c r="EW292" s="130"/>
      <c r="EX292" s="130"/>
      <c r="EY292" s="130"/>
      <c r="EZ292" s="130"/>
      <c r="FA292" s="130"/>
      <c r="FB292" s="130"/>
      <c r="FS292" s="130"/>
      <c r="FT292" s="130"/>
      <c r="FU292" s="130"/>
      <c r="FV292" s="130"/>
      <c r="FW292" s="130"/>
      <c r="FX292" s="130"/>
      <c r="FY292" s="130"/>
      <c r="FZ292" s="130"/>
    </row>
    <row r="293" spans="1:188" s="3" customFormat="1">
      <c r="A293" s="80">
        <v>4</v>
      </c>
      <c r="B293" s="60">
        <v>43096</v>
      </c>
      <c r="C293" s="18"/>
      <c r="D293" s="19" t="s">
        <v>1124</v>
      </c>
      <c r="E293" s="20" t="s">
        <v>291</v>
      </c>
      <c r="F293" s="168" t="s">
        <v>293</v>
      </c>
      <c r="G293" s="63">
        <v>1709</v>
      </c>
      <c r="H293" s="121">
        <v>1212600</v>
      </c>
      <c r="I293" s="24">
        <v>1154857</v>
      </c>
      <c r="J293" s="24"/>
      <c r="K293" s="24">
        <f t="shared" si="19"/>
        <v>1154857</v>
      </c>
      <c r="L293" s="123">
        <v>1</v>
      </c>
      <c r="M293" s="24">
        <f t="shared" si="20"/>
        <v>1154857</v>
      </c>
      <c r="N293" s="124">
        <f t="shared" si="21"/>
        <v>0</v>
      </c>
      <c r="O293" s="107" t="s">
        <v>1216</v>
      </c>
      <c r="P293" s="125"/>
      <c r="Q293" s="125"/>
      <c r="R293" s="125"/>
      <c r="S293" s="125"/>
      <c r="T293" s="125"/>
      <c r="U293" s="125"/>
      <c r="V293" s="125"/>
      <c r="W293" s="125"/>
      <c r="X293" s="125"/>
      <c r="Y293" s="125"/>
      <c r="Z293" s="125"/>
      <c r="AA293" s="125"/>
      <c r="AB293" s="125"/>
      <c r="AC293" s="125"/>
      <c r="AD293" s="125"/>
      <c r="AE293" s="167"/>
      <c r="AF293" s="167"/>
      <c r="AG293" s="167"/>
      <c r="AH293" s="167"/>
      <c r="AI293" s="167"/>
      <c r="AJ293" s="167"/>
      <c r="AK293" s="167"/>
      <c r="AL293" s="167"/>
      <c r="AM293" s="125"/>
      <c r="AN293" s="125"/>
      <c r="AO293" s="125"/>
      <c r="AP293" s="125"/>
      <c r="AQ293" s="125"/>
      <c r="AR293" s="125"/>
      <c r="AS293" s="125"/>
      <c r="AT293" s="125"/>
      <c r="AU293" s="125"/>
      <c r="AV293" s="125"/>
      <c r="AW293" s="125"/>
      <c r="AX293" s="125"/>
      <c r="AY293" s="125"/>
      <c r="AZ293" s="125"/>
      <c r="BA293" s="125"/>
      <c r="BB293" s="125"/>
      <c r="BC293" s="167"/>
      <c r="BD293" s="167"/>
      <c r="BE293" s="167"/>
      <c r="BF293" s="167"/>
      <c r="BG293" s="167"/>
      <c r="BH293" s="167"/>
      <c r="BI293" s="167"/>
      <c r="BJ293" s="167"/>
      <c r="BK293" s="125"/>
      <c r="BL293" s="125"/>
      <c r="BM293" s="125"/>
      <c r="BN293" s="125"/>
      <c r="BO293" s="125"/>
      <c r="BP293" s="125"/>
      <c r="BQ293" s="125"/>
      <c r="BR293" s="125"/>
      <c r="BS293" s="125"/>
      <c r="BT293" s="125"/>
      <c r="BU293" s="125"/>
      <c r="BV293" s="125"/>
      <c r="BW293" s="125"/>
      <c r="BX293" s="125"/>
      <c r="BY293" s="125"/>
      <c r="BZ293" s="125"/>
      <c r="CA293" s="167"/>
      <c r="CB293" s="167"/>
      <c r="CC293" s="167"/>
      <c r="CD293" s="167"/>
      <c r="CE293" s="167"/>
      <c r="CF293" s="167"/>
      <c r="CG293" s="167"/>
      <c r="CH293" s="167"/>
      <c r="CI293" s="125"/>
      <c r="CJ293" s="125"/>
      <c r="CK293" s="125"/>
      <c r="CL293" s="125"/>
      <c r="CM293" s="125"/>
      <c r="CN293" s="125"/>
      <c r="CO293" s="125"/>
      <c r="CP293" s="125"/>
      <c r="CQ293" s="125"/>
      <c r="CR293" s="125"/>
      <c r="CS293" s="125"/>
      <c r="CT293" s="125"/>
      <c r="CU293" s="125"/>
      <c r="CV293" s="125"/>
      <c r="CW293" s="125"/>
      <c r="CX293" s="125"/>
      <c r="CY293" s="167"/>
      <c r="CZ293" s="167"/>
      <c r="DA293" s="167"/>
      <c r="DB293" s="167"/>
      <c r="DC293" s="167"/>
      <c r="DD293" s="167"/>
      <c r="DE293" s="167"/>
      <c r="DF293" s="167"/>
      <c r="DG293" s="125"/>
      <c r="DH293" s="125"/>
      <c r="DI293" s="125"/>
      <c r="DJ293" s="125"/>
      <c r="DK293" s="125"/>
      <c r="DL293" s="125"/>
      <c r="DM293" s="125"/>
      <c r="DN293" s="125"/>
      <c r="DO293" s="125"/>
      <c r="DP293" s="125"/>
      <c r="DQ293" s="125"/>
      <c r="DR293" s="125"/>
      <c r="DS293" s="125"/>
      <c r="DT293" s="125"/>
      <c r="DU293" s="125"/>
      <c r="DV293" s="125"/>
      <c r="DW293" s="167"/>
      <c r="DX293" s="167"/>
      <c r="DY293" s="167"/>
      <c r="DZ293" s="167"/>
      <c r="EA293" s="167"/>
      <c r="EB293" s="167"/>
      <c r="EC293" s="167"/>
      <c r="ED293" s="167"/>
      <c r="EE293" s="125"/>
      <c r="EF293" s="125"/>
      <c r="EG293" s="125"/>
      <c r="EH293" s="125"/>
      <c r="EI293" s="125"/>
      <c r="EJ293" s="125"/>
      <c r="EK293" s="125"/>
      <c r="EL293" s="125"/>
      <c r="EM293" s="125"/>
      <c r="EN293" s="125"/>
      <c r="EO293" s="125"/>
      <c r="EP293" s="125"/>
      <c r="EQ293" s="125"/>
      <c r="ER293" s="125"/>
      <c r="ES293" s="125"/>
      <c r="ET293" s="125"/>
      <c r="EU293" s="167"/>
      <c r="EV293" s="167"/>
      <c r="EW293" s="167"/>
      <c r="EX293" s="167"/>
      <c r="EY293" s="167"/>
      <c r="EZ293" s="167"/>
      <c r="FA293" s="167"/>
      <c r="FB293" s="167"/>
      <c r="FC293" s="125"/>
      <c r="FD293" s="125"/>
      <c r="FE293" s="125"/>
      <c r="FF293" s="125"/>
      <c r="FG293" s="125"/>
      <c r="FH293" s="125"/>
      <c r="FI293" s="125"/>
      <c r="FJ293" s="125"/>
      <c r="FK293" s="125"/>
      <c r="FL293" s="125"/>
      <c r="FM293" s="125"/>
      <c r="FN293" s="125"/>
      <c r="FO293" s="125"/>
      <c r="FP293" s="125"/>
      <c r="FQ293" s="125"/>
      <c r="FR293" s="125"/>
      <c r="FS293" s="167"/>
      <c r="FT293" s="167"/>
      <c r="FU293" s="167"/>
      <c r="FV293" s="167"/>
      <c r="FW293" s="167"/>
      <c r="FX293" s="167"/>
      <c r="FY293" s="167"/>
      <c r="FZ293" s="167"/>
      <c r="GA293" s="125"/>
      <c r="GB293" s="125"/>
      <c r="GC293" s="125"/>
      <c r="GD293" s="125"/>
      <c r="GE293" s="125"/>
      <c r="GF293" s="125"/>
    </row>
    <row r="294" spans="1:188" s="3" customFormat="1">
      <c r="A294" s="80">
        <v>5</v>
      </c>
      <c r="B294" s="60">
        <v>43096</v>
      </c>
      <c r="C294" s="18"/>
      <c r="D294" s="19" t="s">
        <v>1124</v>
      </c>
      <c r="E294" s="20" t="s">
        <v>291</v>
      </c>
      <c r="F294" s="168" t="s">
        <v>294</v>
      </c>
      <c r="G294" s="63">
        <v>1709</v>
      </c>
      <c r="H294" s="121">
        <v>1212600</v>
      </c>
      <c r="I294" s="24">
        <v>1154857</v>
      </c>
      <c r="J294" s="24"/>
      <c r="K294" s="24">
        <f t="shared" si="19"/>
        <v>1154857</v>
      </c>
      <c r="L294" s="123">
        <v>1</v>
      </c>
      <c r="M294" s="24">
        <f t="shared" si="20"/>
        <v>1154857</v>
      </c>
      <c r="N294" s="124">
        <f t="shared" si="21"/>
        <v>0</v>
      </c>
      <c r="O294" s="107" t="s">
        <v>1216</v>
      </c>
      <c r="P294" s="125"/>
      <c r="Q294" s="125"/>
      <c r="R294" s="125"/>
      <c r="S294" s="125"/>
      <c r="T294" s="125"/>
      <c r="U294" s="125"/>
      <c r="V294" s="125"/>
      <c r="W294" s="125"/>
      <c r="X294" s="125"/>
      <c r="Y294" s="125"/>
      <c r="Z294" s="125"/>
      <c r="AA294" s="125"/>
      <c r="AB294" s="125"/>
      <c r="AC294" s="125"/>
      <c r="AD294" s="125"/>
      <c r="AE294" s="167"/>
      <c r="AF294" s="167"/>
      <c r="AG294" s="167"/>
      <c r="AH294" s="167"/>
      <c r="AI294" s="167"/>
      <c r="AJ294" s="167"/>
      <c r="AK294" s="167"/>
      <c r="AL294" s="167"/>
      <c r="AM294" s="125"/>
      <c r="AN294" s="125"/>
      <c r="AO294" s="125"/>
      <c r="AP294" s="125"/>
      <c r="AQ294" s="125"/>
      <c r="AR294" s="125"/>
      <c r="AS294" s="125"/>
      <c r="AT294" s="125"/>
      <c r="AU294" s="125"/>
      <c r="AV294" s="125"/>
      <c r="AW294" s="125"/>
      <c r="AX294" s="125"/>
      <c r="AY294" s="125"/>
      <c r="AZ294" s="125"/>
      <c r="BA294" s="125"/>
      <c r="BB294" s="125"/>
      <c r="BC294" s="167"/>
      <c r="BD294" s="167"/>
      <c r="BE294" s="167"/>
      <c r="BF294" s="167"/>
      <c r="BG294" s="167"/>
      <c r="BH294" s="167"/>
      <c r="BI294" s="167"/>
      <c r="BJ294" s="167"/>
      <c r="BK294" s="125"/>
      <c r="BL294" s="125"/>
      <c r="BM294" s="125"/>
      <c r="BN294" s="125"/>
      <c r="BO294" s="125"/>
      <c r="BP294" s="125"/>
      <c r="BQ294" s="125"/>
      <c r="BR294" s="125"/>
      <c r="BS294" s="125"/>
      <c r="BT294" s="125"/>
      <c r="BU294" s="125"/>
      <c r="BV294" s="125"/>
      <c r="BW294" s="125"/>
      <c r="BX294" s="125"/>
      <c r="BY294" s="125"/>
      <c r="BZ294" s="125"/>
      <c r="CA294" s="167"/>
      <c r="CB294" s="167"/>
      <c r="CC294" s="167"/>
      <c r="CD294" s="167"/>
      <c r="CE294" s="167"/>
      <c r="CF294" s="167"/>
      <c r="CG294" s="167"/>
      <c r="CH294" s="167"/>
      <c r="CI294" s="125"/>
      <c r="CJ294" s="125"/>
      <c r="CK294" s="125"/>
      <c r="CL294" s="125"/>
      <c r="CM294" s="125"/>
      <c r="CN294" s="125"/>
      <c r="CO294" s="125"/>
      <c r="CP294" s="125"/>
      <c r="CQ294" s="125"/>
      <c r="CR294" s="125"/>
      <c r="CS294" s="125"/>
      <c r="CT294" s="125"/>
      <c r="CU294" s="125"/>
      <c r="CV294" s="125"/>
      <c r="CW294" s="125"/>
      <c r="CX294" s="125"/>
      <c r="CY294" s="167"/>
      <c r="CZ294" s="167"/>
      <c r="DA294" s="167"/>
      <c r="DB294" s="167"/>
      <c r="DC294" s="167"/>
      <c r="DD294" s="167"/>
      <c r="DE294" s="167"/>
      <c r="DF294" s="167"/>
      <c r="DG294" s="125"/>
      <c r="DH294" s="125"/>
      <c r="DI294" s="125"/>
      <c r="DJ294" s="125"/>
      <c r="DK294" s="125"/>
      <c r="DL294" s="125"/>
      <c r="DM294" s="125"/>
      <c r="DN294" s="125"/>
      <c r="DO294" s="125"/>
      <c r="DP294" s="125"/>
      <c r="DQ294" s="125"/>
      <c r="DR294" s="125"/>
      <c r="DS294" s="125"/>
      <c r="DT294" s="125"/>
      <c r="DU294" s="125"/>
      <c r="DV294" s="125"/>
      <c r="DW294" s="167"/>
      <c r="DX294" s="167"/>
      <c r="DY294" s="167"/>
      <c r="DZ294" s="167"/>
      <c r="EA294" s="167"/>
      <c r="EB294" s="167"/>
      <c r="EC294" s="167"/>
      <c r="ED294" s="167"/>
      <c r="EE294" s="125"/>
      <c r="EF294" s="125"/>
      <c r="EG294" s="125"/>
      <c r="EH294" s="125"/>
      <c r="EI294" s="125"/>
      <c r="EJ294" s="125"/>
      <c r="EK294" s="125"/>
      <c r="EL294" s="125"/>
      <c r="EM294" s="125"/>
      <c r="EN294" s="125"/>
      <c r="EO294" s="125"/>
      <c r="EP294" s="125"/>
      <c r="EQ294" s="125"/>
      <c r="ER294" s="125"/>
      <c r="ES294" s="125"/>
      <c r="ET294" s="125"/>
      <c r="EU294" s="167"/>
      <c r="EV294" s="167"/>
      <c r="EW294" s="167"/>
      <c r="EX294" s="167"/>
      <c r="EY294" s="167"/>
      <c r="EZ294" s="167"/>
      <c r="FA294" s="167"/>
      <c r="FB294" s="167"/>
      <c r="FC294" s="125"/>
      <c r="FD294" s="125"/>
      <c r="FE294" s="125"/>
      <c r="FF294" s="125"/>
      <c r="FG294" s="125"/>
      <c r="FH294" s="125"/>
      <c r="FI294" s="125"/>
      <c r="FJ294" s="125"/>
      <c r="FK294" s="125"/>
      <c r="FL294" s="125"/>
      <c r="FM294" s="125"/>
      <c r="FN294" s="125"/>
      <c r="FO294" s="125"/>
      <c r="FP294" s="125"/>
      <c r="FQ294" s="125"/>
      <c r="FR294" s="125"/>
      <c r="FS294" s="167"/>
      <c r="FT294" s="167"/>
      <c r="FU294" s="167"/>
      <c r="FV294" s="167"/>
      <c r="FW294" s="167"/>
      <c r="FX294" s="167"/>
      <c r="FY294" s="167"/>
      <c r="FZ294" s="167"/>
      <c r="GA294" s="125"/>
      <c r="GB294" s="125"/>
      <c r="GC294" s="125"/>
      <c r="GD294" s="125"/>
      <c r="GE294" s="125"/>
      <c r="GF294" s="125"/>
    </row>
    <row r="295" spans="1:188" s="3" customFormat="1">
      <c r="A295" s="80">
        <v>6</v>
      </c>
      <c r="B295" s="56">
        <v>43108</v>
      </c>
      <c r="C295" s="18" t="s">
        <v>1088</v>
      </c>
      <c r="D295" s="198">
        <v>1</v>
      </c>
      <c r="E295" s="20" t="s">
        <v>1219</v>
      </c>
      <c r="F295" s="82" t="s">
        <v>1220</v>
      </c>
      <c r="G295" s="63">
        <v>1708</v>
      </c>
      <c r="H295" s="121">
        <f>50000+1567500+8250</f>
        <v>1625750</v>
      </c>
      <c r="I295" s="24"/>
      <c r="J295" s="24">
        <v>1548333</v>
      </c>
      <c r="K295" s="24">
        <f t="shared" si="19"/>
        <v>1548333</v>
      </c>
      <c r="L295" s="123">
        <v>1</v>
      </c>
      <c r="M295" s="24">
        <f t="shared" si="20"/>
        <v>1548333</v>
      </c>
      <c r="N295" s="124">
        <f t="shared" si="21"/>
        <v>0</v>
      </c>
      <c r="O295" s="107" t="s">
        <v>1216</v>
      </c>
      <c r="P295" s="125"/>
      <c r="Q295" s="125"/>
      <c r="R295" s="125"/>
      <c r="S295" s="125"/>
      <c r="T295" s="125"/>
      <c r="U295" s="125"/>
      <c r="V295" s="125"/>
      <c r="W295" s="125"/>
      <c r="X295" s="125"/>
      <c r="Y295" s="125"/>
      <c r="Z295" s="125"/>
      <c r="AA295" s="125"/>
      <c r="AB295" s="125"/>
      <c r="AC295" s="125"/>
      <c r="AD295" s="125"/>
      <c r="AE295" s="167"/>
      <c r="AF295" s="167"/>
      <c r="AG295" s="167"/>
      <c r="AH295" s="167"/>
      <c r="AI295" s="167"/>
      <c r="AJ295" s="167"/>
      <c r="AK295" s="167"/>
      <c r="AL295" s="167"/>
      <c r="AM295" s="125"/>
      <c r="AN295" s="125"/>
      <c r="AO295" s="125"/>
      <c r="AP295" s="125"/>
      <c r="AQ295" s="125"/>
      <c r="AR295" s="125"/>
      <c r="AS295" s="125"/>
      <c r="AT295" s="125"/>
      <c r="AU295" s="125"/>
      <c r="AV295" s="125"/>
      <c r="AW295" s="125"/>
      <c r="AX295" s="125"/>
      <c r="AY295" s="125"/>
      <c r="AZ295" s="125"/>
      <c r="BA295" s="125"/>
      <c r="BB295" s="125"/>
      <c r="BC295" s="167"/>
      <c r="BD295" s="167"/>
      <c r="BE295" s="167"/>
      <c r="BF295" s="167"/>
      <c r="BG295" s="167"/>
      <c r="BH295" s="167"/>
      <c r="BI295" s="167"/>
      <c r="BJ295" s="167"/>
      <c r="BK295" s="125"/>
      <c r="BL295" s="125"/>
      <c r="BM295" s="125"/>
      <c r="BN295" s="125"/>
      <c r="BO295" s="125"/>
      <c r="BP295" s="125"/>
      <c r="BQ295" s="125"/>
      <c r="BR295" s="125"/>
      <c r="BS295" s="125"/>
      <c r="BT295" s="125"/>
      <c r="BU295" s="125"/>
      <c r="BV295" s="125"/>
      <c r="BW295" s="125"/>
      <c r="BX295" s="125"/>
      <c r="BY295" s="125"/>
      <c r="BZ295" s="125"/>
      <c r="CA295" s="167"/>
      <c r="CB295" s="167"/>
      <c r="CC295" s="167"/>
      <c r="CD295" s="167"/>
      <c r="CE295" s="167"/>
      <c r="CF295" s="167"/>
      <c r="CG295" s="167"/>
      <c r="CH295" s="167"/>
      <c r="CI295" s="125"/>
      <c r="CJ295" s="125"/>
      <c r="CK295" s="125"/>
      <c r="CL295" s="125"/>
      <c r="CM295" s="125"/>
      <c r="CN295" s="125"/>
      <c r="CO295" s="125"/>
      <c r="CP295" s="125"/>
      <c r="CQ295" s="125"/>
      <c r="CR295" s="125"/>
      <c r="CS295" s="125"/>
      <c r="CT295" s="125"/>
      <c r="CU295" s="125"/>
      <c r="CV295" s="125"/>
      <c r="CW295" s="125"/>
      <c r="CX295" s="125"/>
      <c r="CY295" s="167"/>
      <c r="CZ295" s="167"/>
      <c r="DA295" s="167"/>
      <c r="DB295" s="167"/>
      <c r="DC295" s="167"/>
      <c r="DD295" s="167"/>
      <c r="DE295" s="167"/>
      <c r="DF295" s="167"/>
      <c r="DG295" s="125"/>
      <c r="DH295" s="125"/>
      <c r="DI295" s="125"/>
      <c r="DJ295" s="125"/>
      <c r="DK295" s="125"/>
      <c r="DL295" s="125"/>
      <c r="DM295" s="125"/>
      <c r="DN295" s="125"/>
      <c r="DO295" s="125"/>
      <c r="DP295" s="125"/>
      <c r="DQ295" s="125"/>
      <c r="DR295" s="125"/>
      <c r="DS295" s="125"/>
      <c r="DT295" s="125"/>
      <c r="DU295" s="125"/>
      <c r="DV295" s="125"/>
      <c r="DW295" s="167"/>
      <c r="DX295" s="167"/>
      <c r="DY295" s="167"/>
      <c r="DZ295" s="167"/>
      <c r="EA295" s="167"/>
      <c r="EB295" s="167"/>
      <c r="EC295" s="167"/>
      <c r="ED295" s="167"/>
      <c r="EE295" s="125"/>
      <c r="EF295" s="125"/>
      <c r="EG295" s="125"/>
      <c r="EH295" s="125"/>
      <c r="EI295" s="125"/>
      <c r="EJ295" s="125"/>
      <c r="EK295" s="125"/>
      <c r="EL295" s="125"/>
      <c r="EM295" s="125"/>
      <c r="EN295" s="125"/>
      <c r="EO295" s="125"/>
      <c r="EP295" s="125"/>
      <c r="EQ295" s="125"/>
      <c r="ER295" s="125"/>
      <c r="ES295" s="125"/>
      <c r="ET295" s="125"/>
      <c r="EU295" s="167"/>
      <c r="EV295" s="167"/>
      <c r="EW295" s="167"/>
      <c r="EX295" s="167"/>
      <c r="EY295" s="167"/>
      <c r="EZ295" s="167"/>
      <c r="FA295" s="167"/>
      <c r="FB295" s="167"/>
      <c r="FC295" s="125"/>
      <c r="FD295" s="125"/>
      <c r="FE295" s="125"/>
      <c r="FF295" s="125"/>
      <c r="FG295" s="125"/>
      <c r="FH295" s="125"/>
      <c r="FI295" s="125"/>
      <c r="FJ295" s="125"/>
      <c r="FK295" s="125"/>
      <c r="FL295" s="125"/>
      <c r="FM295" s="125"/>
      <c r="FN295" s="125"/>
      <c r="FO295" s="125"/>
      <c r="FP295" s="125"/>
      <c r="FQ295" s="125"/>
      <c r="FR295" s="125"/>
      <c r="FS295" s="167"/>
      <c r="FT295" s="167"/>
      <c r="FU295" s="167"/>
      <c r="FV295" s="167"/>
      <c r="FW295" s="167"/>
      <c r="FX295" s="167"/>
      <c r="FY295" s="167"/>
      <c r="FZ295" s="167"/>
      <c r="GA295" s="125"/>
      <c r="GB295" s="125"/>
      <c r="GC295" s="125"/>
      <c r="GD295" s="125"/>
      <c r="GE295" s="125"/>
      <c r="GF295" s="125"/>
    </row>
    <row r="296" spans="1:188" s="3" customFormat="1">
      <c r="A296" s="80">
        <v>7</v>
      </c>
      <c r="B296" s="56">
        <v>43097</v>
      </c>
      <c r="C296" s="18"/>
      <c r="D296" s="19" t="s">
        <v>1124</v>
      </c>
      <c r="E296" s="20" t="s">
        <v>298</v>
      </c>
      <c r="F296" s="62" t="s">
        <v>299</v>
      </c>
      <c r="G296" s="63">
        <v>1710</v>
      </c>
      <c r="H296" s="121">
        <v>1850700</v>
      </c>
      <c r="I296" s="24">
        <v>1762571</v>
      </c>
      <c r="J296" s="24"/>
      <c r="K296" s="24">
        <f t="shared" si="19"/>
        <v>1762571</v>
      </c>
      <c r="L296" s="123">
        <v>1</v>
      </c>
      <c r="M296" s="24">
        <f t="shared" si="20"/>
        <v>1762571</v>
      </c>
      <c r="N296" s="124">
        <f t="shared" si="21"/>
        <v>0</v>
      </c>
      <c r="O296" s="107" t="s">
        <v>1216</v>
      </c>
      <c r="P296" s="125"/>
      <c r="Q296" s="125"/>
      <c r="R296" s="125"/>
      <c r="S296" s="125"/>
      <c r="T296" s="125"/>
      <c r="U296" s="125"/>
      <c r="V296" s="125"/>
      <c r="W296" s="125"/>
      <c r="X296" s="125"/>
      <c r="Y296" s="125"/>
      <c r="Z296" s="125"/>
      <c r="AA296" s="125"/>
      <c r="AB296" s="125"/>
      <c r="AC296" s="125"/>
      <c r="AD296" s="125"/>
      <c r="AE296" s="167"/>
      <c r="AF296" s="167"/>
      <c r="AG296" s="167"/>
      <c r="AH296" s="167"/>
      <c r="AI296" s="167"/>
      <c r="AJ296" s="167"/>
      <c r="AK296" s="167"/>
      <c r="AL296" s="167"/>
      <c r="AM296" s="125"/>
      <c r="AN296" s="125"/>
      <c r="AO296" s="125"/>
      <c r="AP296" s="125"/>
      <c r="AQ296" s="125"/>
      <c r="AR296" s="125"/>
      <c r="AS296" s="125"/>
      <c r="AT296" s="125"/>
      <c r="AU296" s="125"/>
      <c r="AV296" s="125"/>
      <c r="AW296" s="125"/>
      <c r="AX296" s="125"/>
      <c r="AY296" s="125"/>
      <c r="AZ296" s="125"/>
      <c r="BA296" s="125"/>
      <c r="BB296" s="125"/>
      <c r="BC296" s="167"/>
      <c r="BD296" s="167"/>
      <c r="BE296" s="167"/>
      <c r="BF296" s="167"/>
      <c r="BG296" s="167"/>
      <c r="BH296" s="167"/>
      <c r="BI296" s="167"/>
      <c r="BJ296" s="167"/>
      <c r="BK296" s="125"/>
      <c r="BL296" s="125"/>
      <c r="BM296" s="125"/>
      <c r="BN296" s="125"/>
      <c r="BO296" s="125"/>
      <c r="BP296" s="125"/>
      <c r="BQ296" s="125"/>
      <c r="BR296" s="125"/>
      <c r="BS296" s="125"/>
      <c r="BT296" s="125"/>
      <c r="BU296" s="125"/>
      <c r="BV296" s="125"/>
      <c r="BW296" s="125"/>
      <c r="BX296" s="125"/>
      <c r="BY296" s="125"/>
      <c r="BZ296" s="125"/>
      <c r="CA296" s="167"/>
      <c r="CB296" s="167"/>
      <c r="CC296" s="167"/>
      <c r="CD296" s="167"/>
      <c r="CE296" s="167"/>
      <c r="CF296" s="167"/>
      <c r="CG296" s="167"/>
      <c r="CH296" s="167"/>
      <c r="CI296" s="125"/>
      <c r="CJ296" s="125"/>
      <c r="CK296" s="125"/>
      <c r="CL296" s="125"/>
      <c r="CM296" s="125"/>
      <c r="CN296" s="125"/>
      <c r="CO296" s="125"/>
      <c r="CP296" s="125"/>
      <c r="CQ296" s="125"/>
      <c r="CR296" s="125"/>
      <c r="CS296" s="125"/>
      <c r="CT296" s="125"/>
      <c r="CU296" s="125"/>
      <c r="CV296" s="125"/>
      <c r="CW296" s="125"/>
      <c r="CX296" s="125"/>
      <c r="CY296" s="167"/>
      <c r="CZ296" s="167"/>
      <c r="DA296" s="167"/>
      <c r="DB296" s="167"/>
      <c r="DC296" s="167"/>
      <c r="DD296" s="167"/>
      <c r="DE296" s="167"/>
      <c r="DF296" s="167"/>
      <c r="DG296" s="125"/>
      <c r="DH296" s="125"/>
      <c r="DI296" s="125"/>
      <c r="DJ296" s="125"/>
      <c r="DK296" s="125"/>
      <c r="DL296" s="125"/>
      <c r="DM296" s="125"/>
      <c r="DN296" s="125"/>
      <c r="DO296" s="125"/>
      <c r="DP296" s="125"/>
      <c r="DQ296" s="125"/>
      <c r="DR296" s="125"/>
      <c r="DS296" s="125"/>
      <c r="DT296" s="125"/>
      <c r="DU296" s="125"/>
      <c r="DV296" s="125"/>
      <c r="DW296" s="167"/>
      <c r="DX296" s="167"/>
      <c r="DY296" s="167"/>
      <c r="DZ296" s="167"/>
      <c r="EA296" s="167"/>
      <c r="EB296" s="167"/>
      <c r="EC296" s="167"/>
      <c r="ED296" s="167"/>
      <c r="EE296" s="125"/>
      <c r="EF296" s="125"/>
      <c r="EG296" s="125"/>
      <c r="EH296" s="125"/>
      <c r="EI296" s="125"/>
      <c r="EJ296" s="125"/>
      <c r="EK296" s="125"/>
      <c r="EL296" s="125"/>
      <c r="EM296" s="125"/>
      <c r="EN296" s="125"/>
      <c r="EO296" s="125"/>
      <c r="EP296" s="125"/>
      <c r="EQ296" s="125"/>
      <c r="ER296" s="125"/>
      <c r="ES296" s="125"/>
      <c r="ET296" s="125"/>
      <c r="EU296" s="167"/>
      <c r="EV296" s="167"/>
      <c r="EW296" s="167"/>
      <c r="EX296" s="167"/>
      <c r="EY296" s="167"/>
      <c r="EZ296" s="167"/>
      <c r="FA296" s="167"/>
      <c r="FB296" s="167"/>
      <c r="FC296" s="125"/>
      <c r="FD296" s="125"/>
      <c r="FE296" s="125"/>
      <c r="FF296" s="125"/>
      <c r="FG296" s="125"/>
      <c r="FH296" s="125"/>
      <c r="FI296" s="125"/>
      <c r="FJ296" s="125"/>
      <c r="FK296" s="125"/>
      <c r="FL296" s="125"/>
      <c r="FM296" s="125"/>
      <c r="FN296" s="125"/>
      <c r="FO296" s="125"/>
      <c r="FP296" s="125"/>
      <c r="FQ296" s="125"/>
      <c r="FR296" s="125"/>
      <c r="FS296" s="167"/>
      <c r="FT296" s="167"/>
      <c r="FU296" s="167"/>
      <c r="FV296" s="167"/>
      <c r="FW296" s="167"/>
      <c r="FX296" s="167"/>
      <c r="FY296" s="167"/>
      <c r="FZ296" s="167"/>
      <c r="GA296" s="125"/>
      <c r="GB296" s="125"/>
      <c r="GC296" s="125"/>
      <c r="GD296" s="125"/>
      <c r="GE296" s="125"/>
      <c r="GF296" s="125"/>
    </row>
    <row r="297" spans="1:188" s="3" customFormat="1" ht="15" customHeight="1">
      <c r="A297" s="80">
        <v>8</v>
      </c>
      <c r="B297" s="56">
        <v>43096</v>
      </c>
      <c r="C297" s="18"/>
      <c r="D297" s="19" t="s">
        <v>1131</v>
      </c>
      <c r="E297" s="20" t="s">
        <v>380</v>
      </c>
      <c r="F297" s="62" t="s">
        <v>381</v>
      </c>
      <c r="G297" s="63">
        <v>1710</v>
      </c>
      <c r="H297" s="121">
        <v>1530000</v>
      </c>
      <c r="I297" s="24">
        <v>1457143</v>
      </c>
      <c r="J297" s="24"/>
      <c r="K297" s="24">
        <f t="shared" ref="K297:K360" si="23">I297+J297</f>
        <v>1457143</v>
      </c>
      <c r="L297" s="123">
        <v>1</v>
      </c>
      <c r="M297" s="24">
        <f t="shared" ref="M297:M360" si="24">K297*L297</f>
        <v>1457143</v>
      </c>
      <c r="N297" s="124">
        <f t="shared" ref="N297:N360" si="25">K297-M297</f>
        <v>0</v>
      </c>
      <c r="O297" s="107" t="s">
        <v>1216</v>
      </c>
      <c r="V297" s="131"/>
      <c r="W297" s="15"/>
      <c r="AC297" s="131"/>
      <c r="AD297" s="15"/>
      <c r="AE297" s="132"/>
      <c r="AF297" s="133"/>
      <c r="AG297" s="134"/>
      <c r="AH297" s="134"/>
      <c r="AI297" s="135"/>
      <c r="AJ297" s="136"/>
      <c r="AK297" s="137"/>
      <c r="AL297" s="137"/>
      <c r="AN297" s="138"/>
      <c r="AO297" s="2"/>
      <c r="AP297" s="139"/>
      <c r="BA297" s="131"/>
      <c r="BB297" s="15"/>
      <c r="BC297" s="132"/>
      <c r="BD297" s="133"/>
      <c r="BE297" s="134"/>
      <c r="BF297" s="134"/>
      <c r="BG297" s="135"/>
      <c r="BH297" s="136"/>
      <c r="BI297" s="137"/>
      <c r="BJ297" s="137"/>
      <c r="BL297" s="138"/>
      <c r="BM297" s="2"/>
      <c r="BN297" s="139"/>
      <c r="BY297" s="131"/>
      <c r="BZ297" s="15"/>
      <c r="CA297" s="132"/>
      <c r="CB297" s="133"/>
      <c r="CC297" s="134"/>
      <c r="CD297" s="134"/>
      <c r="CE297" s="135"/>
      <c r="CF297" s="136"/>
      <c r="CG297" s="137"/>
      <c r="CH297" s="137"/>
      <c r="CJ297" s="138"/>
      <c r="CK297" s="2"/>
      <c r="CL297" s="139"/>
      <c r="CW297" s="131"/>
      <c r="CX297" s="15"/>
      <c r="CY297" s="132"/>
      <c r="CZ297" s="133"/>
      <c r="DA297" s="134"/>
      <c r="DB297" s="134"/>
      <c r="DC297" s="135"/>
      <c r="DD297" s="136"/>
      <c r="DE297" s="137"/>
      <c r="DF297" s="137"/>
      <c r="DH297" s="138"/>
      <c r="DI297" s="2"/>
      <c r="DJ297" s="139"/>
      <c r="DU297" s="131"/>
      <c r="DV297" s="15"/>
      <c r="DW297" s="132"/>
      <c r="DX297" s="133"/>
      <c r="DY297" s="134"/>
      <c r="DZ297" s="134"/>
      <c r="EA297" s="135"/>
      <c r="EB297" s="136"/>
      <c r="EC297" s="137"/>
      <c r="ED297" s="137"/>
      <c r="EF297" s="138"/>
      <c r="EG297" s="2"/>
      <c r="EH297" s="139"/>
      <c r="ES297" s="131"/>
      <c r="ET297" s="15"/>
      <c r="EU297" s="132"/>
      <c r="EV297" s="133"/>
      <c r="EW297" s="134"/>
      <c r="EX297" s="134"/>
      <c r="EY297" s="135"/>
      <c r="EZ297" s="136"/>
      <c r="FA297" s="137"/>
      <c r="FB297" s="137"/>
      <c r="FD297" s="138"/>
      <c r="FE297" s="2"/>
      <c r="FF297" s="139"/>
      <c r="FQ297" s="131"/>
      <c r="FR297" s="15"/>
      <c r="FS297" s="132"/>
      <c r="FT297" s="133"/>
      <c r="FU297" s="134"/>
      <c r="FV297" s="134"/>
      <c r="FW297" s="135"/>
      <c r="FX297" s="136"/>
      <c r="FY297" s="137"/>
      <c r="FZ297" s="137"/>
      <c r="GB297" s="138"/>
      <c r="GC297" s="2"/>
      <c r="GD297" s="139"/>
    </row>
    <row r="298" spans="1:188" s="3" customFormat="1">
      <c r="A298" s="80">
        <v>9</v>
      </c>
      <c r="B298" s="56">
        <v>43098</v>
      </c>
      <c r="C298" s="18"/>
      <c r="D298" s="19" t="s">
        <v>1131</v>
      </c>
      <c r="E298" s="20" t="s">
        <v>383</v>
      </c>
      <c r="F298" s="62" t="s">
        <v>384</v>
      </c>
      <c r="G298" s="63">
        <v>1710</v>
      </c>
      <c r="H298" s="121">
        <v>1410000</v>
      </c>
      <c r="I298" s="24">
        <v>1342857</v>
      </c>
      <c r="J298" s="24"/>
      <c r="K298" s="24">
        <f t="shared" si="23"/>
        <v>1342857</v>
      </c>
      <c r="L298" s="123">
        <v>1</v>
      </c>
      <c r="M298" s="24">
        <f t="shared" si="24"/>
        <v>1342857</v>
      </c>
      <c r="N298" s="124">
        <f t="shared" si="25"/>
        <v>0</v>
      </c>
      <c r="O298" s="107" t="s">
        <v>1216</v>
      </c>
      <c r="P298" s="125"/>
      <c r="Q298" s="125"/>
      <c r="R298" s="125"/>
      <c r="S298" s="125"/>
      <c r="T298" s="125"/>
      <c r="U298" s="125"/>
      <c r="V298" s="125"/>
      <c r="W298" s="125"/>
      <c r="X298" s="125"/>
      <c r="Y298" s="125"/>
      <c r="Z298" s="125"/>
      <c r="AA298" s="125"/>
      <c r="AB298" s="125"/>
      <c r="AC298" s="125"/>
      <c r="AD298" s="125"/>
      <c r="AE298" s="167"/>
      <c r="AF298" s="167"/>
      <c r="AG298" s="167"/>
      <c r="AH298" s="167"/>
      <c r="AI298" s="167"/>
      <c r="AJ298" s="167"/>
      <c r="AK298" s="167"/>
      <c r="AL298" s="167"/>
      <c r="AM298" s="125"/>
      <c r="AN298" s="125"/>
      <c r="AO298" s="125"/>
      <c r="AP298" s="125"/>
      <c r="AQ298" s="125"/>
      <c r="AR298" s="125"/>
      <c r="AS298" s="125"/>
      <c r="AT298" s="125"/>
      <c r="AU298" s="125"/>
      <c r="AV298" s="125"/>
      <c r="AW298" s="125"/>
      <c r="AX298" s="125"/>
      <c r="AY298" s="125"/>
      <c r="AZ298" s="125"/>
      <c r="BA298" s="125"/>
      <c r="BB298" s="125"/>
      <c r="BC298" s="167"/>
      <c r="BD298" s="167"/>
      <c r="BE298" s="167"/>
      <c r="BF298" s="167"/>
      <c r="BG298" s="167"/>
      <c r="BH298" s="167"/>
      <c r="BI298" s="167"/>
      <c r="BJ298" s="167"/>
      <c r="BK298" s="125"/>
      <c r="BL298" s="125"/>
      <c r="BM298" s="125"/>
      <c r="BN298" s="125"/>
      <c r="BO298" s="125"/>
      <c r="BP298" s="125"/>
      <c r="BQ298" s="125"/>
      <c r="BR298" s="125"/>
      <c r="BS298" s="125"/>
      <c r="BT298" s="125"/>
      <c r="BU298" s="125"/>
      <c r="BV298" s="125"/>
      <c r="BW298" s="125"/>
      <c r="BX298" s="125"/>
      <c r="BY298" s="125"/>
      <c r="BZ298" s="125"/>
      <c r="CA298" s="167"/>
      <c r="CB298" s="167"/>
      <c r="CC298" s="167"/>
      <c r="CD298" s="167"/>
      <c r="CE298" s="167"/>
      <c r="CF298" s="167"/>
      <c r="CG298" s="167"/>
      <c r="CH298" s="167"/>
      <c r="CI298" s="125"/>
      <c r="CJ298" s="125"/>
      <c r="CK298" s="125"/>
      <c r="CL298" s="125"/>
      <c r="CM298" s="125"/>
      <c r="CN298" s="125"/>
      <c r="CO298" s="125"/>
      <c r="CP298" s="125"/>
      <c r="CQ298" s="125"/>
      <c r="CR298" s="125"/>
      <c r="CS298" s="125"/>
      <c r="CT298" s="125"/>
      <c r="CU298" s="125"/>
      <c r="CV298" s="125"/>
      <c r="CW298" s="125"/>
      <c r="CX298" s="125"/>
      <c r="CY298" s="167"/>
      <c r="CZ298" s="167"/>
      <c r="DA298" s="167"/>
      <c r="DB298" s="167"/>
      <c r="DC298" s="167"/>
      <c r="DD298" s="167"/>
      <c r="DE298" s="167"/>
      <c r="DF298" s="167"/>
      <c r="DG298" s="125"/>
      <c r="DH298" s="125"/>
      <c r="DI298" s="125"/>
      <c r="DJ298" s="125"/>
      <c r="DK298" s="125"/>
      <c r="DL298" s="125"/>
      <c r="DM298" s="125"/>
      <c r="DN298" s="125"/>
      <c r="DO298" s="125"/>
      <c r="DP298" s="125"/>
      <c r="DQ298" s="125"/>
      <c r="DR298" s="125"/>
      <c r="DS298" s="125"/>
      <c r="DT298" s="125"/>
      <c r="DU298" s="125"/>
      <c r="DV298" s="125"/>
      <c r="DW298" s="167"/>
      <c r="DX298" s="167"/>
      <c r="DY298" s="167"/>
      <c r="DZ298" s="167"/>
      <c r="EA298" s="167"/>
      <c r="EB298" s="167"/>
      <c r="EC298" s="167"/>
      <c r="ED298" s="167"/>
      <c r="EE298" s="125"/>
      <c r="EF298" s="125"/>
      <c r="EG298" s="125"/>
      <c r="EH298" s="125"/>
      <c r="EI298" s="125"/>
      <c r="EJ298" s="125"/>
      <c r="EK298" s="125"/>
      <c r="EL298" s="125"/>
      <c r="EM298" s="125"/>
      <c r="EN298" s="125"/>
      <c r="EO298" s="125"/>
      <c r="EP298" s="125"/>
      <c r="EQ298" s="125"/>
      <c r="ER298" s="125"/>
      <c r="ES298" s="125"/>
      <c r="ET298" s="125"/>
      <c r="EU298" s="167"/>
      <c r="EV298" s="167"/>
      <c r="EW298" s="167"/>
      <c r="EX298" s="167"/>
      <c r="EY298" s="167"/>
      <c r="EZ298" s="167"/>
      <c r="FA298" s="167"/>
      <c r="FB298" s="167"/>
      <c r="FC298" s="125"/>
      <c r="FD298" s="125"/>
      <c r="FE298" s="125"/>
      <c r="FF298" s="125"/>
      <c r="FG298" s="125"/>
      <c r="FH298" s="125"/>
      <c r="FI298" s="125"/>
      <c r="FJ298" s="125"/>
      <c r="FK298" s="125"/>
      <c r="FL298" s="125"/>
      <c r="FM298" s="125"/>
      <c r="FN298" s="125"/>
      <c r="FO298" s="125"/>
      <c r="FP298" s="125"/>
      <c r="FQ298" s="125"/>
      <c r="FR298" s="125"/>
      <c r="FS298" s="167"/>
      <c r="FT298" s="167"/>
      <c r="FU298" s="167"/>
      <c r="FV298" s="167"/>
      <c r="FW298" s="167"/>
      <c r="FX298" s="167"/>
      <c r="FY298" s="167"/>
      <c r="FZ298" s="167"/>
      <c r="GA298" s="125"/>
      <c r="GB298" s="125"/>
      <c r="GC298" s="125"/>
      <c r="GD298" s="125"/>
      <c r="GE298" s="125"/>
      <c r="GF298" s="125"/>
    </row>
    <row r="299" spans="1:188" s="3" customFormat="1">
      <c r="A299" s="80">
        <v>10</v>
      </c>
      <c r="B299" s="60">
        <v>43096</v>
      </c>
      <c r="C299" s="18"/>
      <c r="D299" s="19" t="s">
        <v>385</v>
      </c>
      <c r="E299" s="20" t="s">
        <v>383</v>
      </c>
      <c r="F299" s="62" t="s">
        <v>387</v>
      </c>
      <c r="G299" s="63">
        <v>1710</v>
      </c>
      <c r="H299" s="121">
        <v>1410000</v>
      </c>
      <c r="I299" s="24">
        <v>1342857</v>
      </c>
      <c r="J299" s="24"/>
      <c r="K299" s="24">
        <f t="shared" si="23"/>
        <v>1342857</v>
      </c>
      <c r="L299" s="123">
        <v>1</v>
      </c>
      <c r="M299" s="24">
        <f t="shared" si="24"/>
        <v>1342857</v>
      </c>
      <c r="N299" s="124">
        <f t="shared" si="25"/>
        <v>0</v>
      </c>
      <c r="O299" s="107" t="s">
        <v>1216</v>
      </c>
      <c r="AE299" s="141"/>
      <c r="AF299" s="142"/>
      <c r="AG299" s="142"/>
      <c r="AH299" s="142"/>
      <c r="AI299" s="142"/>
      <c r="AJ299" s="142"/>
      <c r="AK299" s="142"/>
      <c r="AL299" s="143"/>
      <c r="BC299" s="141"/>
      <c r="BD299" s="142"/>
      <c r="BE299" s="142"/>
      <c r="BF299" s="142"/>
      <c r="BG299" s="142"/>
      <c r="BH299" s="142"/>
      <c r="BI299" s="142"/>
      <c r="BJ299" s="143"/>
      <c r="CA299" s="141"/>
      <c r="CB299" s="142"/>
      <c r="CC299" s="142"/>
      <c r="CD299" s="142"/>
      <c r="CE299" s="142"/>
      <c r="CF299" s="142"/>
      <c r="CG299" s="142"/>
      <c r="CH299" s="143"/>
      <c r="CY299" s="141"/>
      <c r="CZ299" s="142"/>
      <c r="DA299" s="142"/>
      <c r="DB299" s="142"/>
      <c r="DC299" s="142"/>
      <c r="DD299" s="142"/>
      <c r="DE299" s="142"/>
      <c r="DF299" s="143"/>
      <c r="DW299" s="141"/>
      <c r="DX299" s="142"/>
      <c r="DY299" s="142"/>
      <c r="DZ299" s="142"/>
      <c r="EA299" s="142"/>
      <c r="EB299" s="142"/>
      <c r="EC299" s="142"/>
      <c r="ED299" s="143"/>
      <c r="EU299" s="141"/>
      <c r="EV299" s="142"/>
      <c r="EW299" s="142"/>
      <c r="EX299" s="142"/>
      <c r="EY299" s="142"/>
      <c r="EZ299" s="142"/>
      <c r="FA299" s="142"/>
      <c r="FB299" s="143"/>
      <c r="FS299" s="141"/>
      <c r="FT299" s="142"/>
      <c r="FU299" s="142"/>
      <c r="FV299" s="142"/>
      <c r="FW299" s="142"/>
      <c r="FX299" s="142"/>
      <c r="FY299" s="142"/>
      <c r="FZ299" s="143"/>
    </row>
    <row r="300" spans="1:188" s="3" customFormat="1">
      <c r="A300" s="80">
        <v>11</v>
      </c>
      <c r="B300" s="56">
        <v>43098</v>
      </c>
      <c r="C300" s="18"/>
      <c r="D300" s="19" t="s">
        <v>385</v>
      </c>
      <c r="E300" s="20" t="s">
        <v>383</v>
      </c>
      <c r="F300" s="62" t="s">
        <v>388</v>
      </c>
      <c r="G300" s="63">
        <v>1710</v>
      </c>
      <c r="H300" s="121">
        <v>1410000</v>
      </c>
      <c r="I300" s="24">
        <v>1342857</v>
      </c>
      <c r="J300" s="24"/>
      <c r="K300" s="24">
        <f t="shared" si="23"/>
        <v>1342857</v>
      </c>
      <c r="L300" s="123">
        <v>1</v>
      </c>
      <c r="M300" s="24">
        <f t="shared" si="24"/>
        <v>1342857</v>
      </c>
      <c r="N300" s="124">
        <f t="shared" si="25"/>
        <v>0</v>
      </c>
      <c r="O300" s="107" t="s">
        <v>1216</v>
      </c>
      <c r="P300" s="125"/>
      <c r="Q300" s="125"/>
      <c r="R300" s="125"/>
      <c r="S300" s="125"/>
      <c r="T300" s="125"/>
      <c r="U300" s="125"/>
      <c r="V300" s="125"/>
      <c r="W300" s="125"/>
      <c r="X300" s="125"/>
      <c r="Y300" s="125"/>
      <c r="Z300" s="125"/>
      <c r="AA300" s="125"/>
      <c r="AB300" s="125"/>
      <c r="AC300" s="125"/>
      <c r="AD300" s="125"/>
      <c r="AE300" s="179"/>
      <c r="AF300" s="177"/>
      <c r="AG300" s="177"/>
      <c r="AH300" s="177"/>
      <c r="AI300" s="177"/>
      <c r="AJ300" s="177"/>
      <c r="AK300" s="177"/>
      <c r="AL300" s="178"/>
      <c r="AM300" s="125"/>
      <c r="AN300" s="125"/>
      <c r="AO300" s="125"/>
      <c r="AP300" s="125"/>
      <c r="AQ300" s="125"/>
      <c r="AR300" s="125"/>
      <c r="AS300" s="125"/>
      <c r="AT300" s="125"/>
      <c r="AU300" s="125"/>
      <c r="AV300" s="125"/>
      <c r="AW300" s="125"/>
      <c r="AX300" s="125"/>
      <c r="AY300" s="125"/>
      <c r="AZ300" s="125"/>
      <c r="BA300" s="125"/>
      <c r="BB300" s="125"/>
      <c r="BC300" s="179"/>
      <c r="BD300" s="177"/>
      <c r="BE300" s="177"/>
      <c r="BF300" s="177"/>
      <c r="BG300" s="177"/>
      <c r="BH300" s="177"/>
      <c r="BI300" s="177"/>
      <c r="BJ300" s="178"/>
      <c r="BK300" s="125"/>
      <c r="BL300" s="125"/>
      <c r="BM300" s="125"/>
      <c r="BN300" s="125"/>
      <c r="BO300" s="125"/>
      <c r="BP300" s="125"/>
      <c r="BQ300" s="125"/>
      <c r="BR300" s="125"/>
      <c r="BS300" s="125"/>
      <c r="BT300" s="125"/>
      <c r="BU300" s="125"/>
      <c r="BV300" s="125"/>
      <c r="BW300" s="125"/>
      <c r="BX300" s="125"/>
      <c r="BY300" s="125"/>
      <c r="BZ300" s="125"/>
      <c r="CA300" s="179"/>
      <c r="CB300" s="177"/>
      <c r="CC300" s="177"/>
      <c r="CD300" s="177"/>
      <c r="CE300" s="177"/>
      <c r="CF300" s="177"/>
      <c r="CG300" s="177"/>
      <c r="CH300" s="178"/>
      <c r="CI300" s="125"/>
      <c r="CJ300" s="125"/>
      <c r="CK300" s="125"/>
      <c r="CL300" s="125"/>
      <c r="CM300" s="125"/>
      <c r="CN300" s="125"/>
      <c r="CO300" s="125"/>
      <c r="CP300" s="125"/>
      <c r="CQ300" s="125"/>
      <c r="CR300" s="125"/>
      <c r="CS300" s="125"/>
      <c r="CT300" s="125"/>
      <c r="CU300" s="125"/>
      <c r="CV300" s="125"/>
      <c r="CW300" s="125"/>
      <c r="CX300" s="125"/>
      <c r="CY300" s="179"/>
      <c r="CZ300" s="177"/>
      <c r="DA300" s="177"/>
      <c r="DB300" s="177"/>
      <c r="DC300" s="177"/>
      <c r="DD300" s="177"/>
      <c r="DE300" s="177"/>
      <c r="DF300" s="178"/>
      <c r="DG300" s="125"/>
      <c r="DH300" s="125"/>
      <c r="DI300" s="125"/>
      <c r="DJ300" s="125"/>
      <c r="DK300" s="125"/>
      <c r="DL300" s="125"/>
      <c r="DM300" s="125"/>
      <c r="DN300" s="125"/>
      <c r="DO300" s="125"/>
      <c r="DP300" s="125"/>
      <c r="DQ300" s="125"/>
      <c r="DR300" s="125"/>
      <c r="DS300" s="125"/>
      <c r="DT300" s="125"/>
      <c r="DU300" s="125"/>
      <c r="DV300" s="125"/>
      <c r="DW300" s="179"/>
      <c r="DX300" s="177"/>
      <c r="DY300" s="177"/>
      <c r="DZ300" s="177"/>
      <c r="EA300" s="177"/>
      <c r="EB300" s="177"/>
      <c r="EC300" s="177"/>
      <c r="ED300" s="178"/>
      <c r="EE300" s="125"/>
      <c r="EF300" s="125"/>
      <c r="EG300" s="125"/>
      <c r="EH300" s="125"/>
      <c r="EI300" s="125"/>
      <c r="EJ300" s="125"/>
      <c r="EK300" s="125"/>
      <c r="EL300" s="125"/>
      <c r="EM300" s="125"/>
      <c r="EN300" s="125"/>
      <c r="EO300" s="125"/>
      <c r="EP300" s="125"/>
      <c r="EQ300" s="125"/>
      <c r="ER300" s="125"/>
      <c r="ES300" s="125"/>
      <c r="ET300" s="125"/>
      <c r="EU300" s="179"/>
      <c r="EV300" s="177"/>
      <c r="EW300" s="177"/>
      <c r="EX300" s="177"/>
      <c r="EY300" s="177"/>
      <c r="EZ300" s="177"/>
      <c r="FA300" s="177"/>
      <c r="FB300" s="178"/>
      <c r="FC300" s="125"/>
      <c r="FD300" s="125"/>
      <c r="FE300" s="125"/>
      <c r="FF300" s="125"/>
      <c r="FG300" s="125"/>
      <c r="FH300" s="125"/>
      <c r="FI300" s="125"/>
      <c r="FJ300" s="125"/>
      <c r="FK300" s="125"/>
      <c r="FL300" s="125"/>
      <c r="FM300" s="125"/>
      <c r="FN300" s="125"/>
      <c r="FO300" s="125"/>
      <c r="FP300" s="125"/>
      <c r="FQ300" s="125"/>
      <c r="FR300" s="125"/>
      <c r="FS300" s="179"/>
      <c r="FT300" s="177"/>
      <c r="FU300" s="177"/>
      <c r="FV300" s="177"/>
      <c r="FW300" s="177"/>
      <c r="FX300" s="177"/>
      <c r="FY300" s="177"/>
      <c r="FZ300" s="178"/>
      <c r="GA300" s="125"/>
      <c r="GB300" s="125"/>
      <c r="GC300" s="125"/>
      <c r="GD300" s="125"/>
      <c r="GE300" s="125"/>
      <c r="GF300" s="125"/>
    </row>
    <row r="301" spans="1:188" s="3" customFormat="1">
      <c r="A301" s="80">
        <v>12</v>
      </c>
      <c r="B301" s="56">
        <v>43108</v>
      </c>
      <c r="C301" s="18"/>
      <c r="D301" s="19" t="s">
        <v>1131</v>
      </c>
      <c r="E301" s="20" t="s">
        <v>383</v>
      </c>
      <c r="F301" s="82" t="s">
        <v>1221</v>
      </c>
      <c r="G301" s="63">
        <v>1710</v>
      </c>
      <c r="H301" s="121">
        <v>1410000</v>
      </c>
      <c r="I301" s="24"/>
      <c r="J301" s="24">
        <f>H301/1.05</f>
        <v>1342857.1428571427</v>
      </c>
      <c r="K301" s="199">
        <f t="shared" si="23"/>
        <v>1342857.1428571427</v>
      </c>
      <c r="L301" s="123">
        <v>1</v>
      </c>
      <c r="M301" s="24">
        <f t="shared" si="24"/>
        <v>1342857.1428571427</v>
      </c>
      <c r="N301" s="124">
        <f t="shared" si="25"/>
        <v>0</v>
      </c>
      <c r="O301" s="107" t="s">
        <v>1216</v>
      </c>
      <c r="AE301" s="130"/>
      <c r="AF301" s="130"/>
      <c r="AG301" s="130"/>
      <c r="AH301" s="130"/>
      <c r="AI301" s="130"/>
      <c r="AJ301" s="130"/>
      <c r="AK301" s="130"/>
      <c r="AL301" s="130"/>
      <c r="BC301" s="130"/>
      <c r="BD301" s="130"/>
      <c r="BE301" s="130"/>
      <c r="BF301" s="130"/>
      <c r="BG301" s="130"/>
      <c r="BH301" s="130"/>
      <c r="BI301" s="130"/>
      <c r="BJ301" s="130"/>
      <c r="CA301" s="130"/>
      <c r="CB301" s="130"/>
      <c r="CC301" s="130"/>
      <c r="CD301" s="130"/>
      <c r="CE301" s="130"/>
      <c r="CF301" s="130"/>
      <c r="CG301" s="130"/>
      <c r="CH301" s="130"/>
      <c r="CY301" s="130"/>
      <c r="CZ301" s="130"/>
      <c r="DA301" s="130"/>
      <c r="DB301" s="130"/>
      <c r="DC301" s="130"/>
      <c r="DD301" s="130"/>
      <c r="DE301" s="130"/>
      <c r="DF301" s="130"/>
      <c r="DW301" s="130"/>
      <c r="DX301" s="130"/>
      <c r="DY301" s="130"/>
      <c r="DZ301" s="130"/>
      <c r="EA301" s="130"/>
      <c r="EB301" s="130"/>
      <c r="EC301" s="130"/>
      <c r="ED301" s="130"/>
      <c r="EU301" s="130"/>
      <c r="EV301" s="130"/>
      <c r="EW301" s="130"/>
      <c r="EX301" s="130"/>
      <c r="EY301" s="130"/>
      <c r="EZ301" s="130"/>
      <c r="FA301" s="130"/>
      <c r="FB301" s="130"/>
      <c r="FS301" s="130"/>
      <c r="FT301" s="130"/>
      <c r="FU301" s="130"/>
      <c r="FV301" s="130"/>
      <c r="FW301" s="130"/>
      <c r="FX301" s="130"/>
      <c r="FY301" s="130"/>
      <c r="FZ301" s="130"/>
    </row>
    <row r="302" spans="1:188" s="3" customFormat="1">
      <c r="A302" s="80">
        <v>13</v>
      </c>
      <c r="B302" s="56">
        <v>43097</v>
      </c>
      <c r="C302" s="18"/>
      <c r="D302" s="19" t="s">
        <v>385</v>
      </c>
      <c r="E302" s="20" t="s">
        <v>383</v>
      </c>
      <c r="F302" s="62" t="s">
        <v>389</v>
      </c>
      <c r="G302" s="63">
        <v>1710</v>
      </c>
      <c r="H302" s="121">
        <v>1410000</v>
      </c>
      <c r="I302" s="24">
        <v>1342857</v>
      </c>
      <c r="J302" s="24"/>
      <c r="K302" s="24">
        <f t="shared" si="23"/>
        <v>1342857</v>
      </c>
      <c r="L302" s="123">
        <v>1</v>
      </c>
      <c r="M302" s="24">
        <f t="shared" si="24"/>
        <v>1342857</v>
      </c>
      <c r="N302" s="124">
        <f t="shared" si="25"/>
        <v>0</v>
      </c>
      <c r="O302" s="107" t="s">
        <v>1216</v>
      </c>
      <c r="P302" s="125"/>
      <c r="Q302" s="125"/>
      <c r="R302" s="125"/>
      <c r="S302" s="125"/>
      <c r="T302" s="125"/>
      <c r="U302" s="125"/>
      <c r="V302" s="187"/>
      <c r="W302" s="188"/>
      <c r="X302" s="125"/>
      <c r="Y302" s="125"/>
      <c r="Z302" s="125"/>
      <c r="AA302" s="125"/>
      <c r="AB302" s="125"/>
      <c r="AC302" s="187"/>
      <c r="AD302" s="188"/>
      <c r="AE302" s="203"/>
      <c r="AF302" s="204"/>
      <c r="AG302" s="205"/>
      <c r="AH302" s="205"/>
      <c r="AI302" s="206"/>
      <c r="AJ302" s="200"/>
      <c r="AK302" s="201"/>
      <c r="AL302" s="202"/>
      <c r="AM302" s="125"/>
      <c r="AN302" s="184"/>
      <c r="AO302" s="185"/>
      <c r="AP302" s="186"/>
      <c r="AQ302" s="125"/>
      <c r="AR302" s="125"/>
      <c r="AS302" s="125"/>
      <c r="AT302" s="125"/>
      <c r="AU302" s="125"/>
      <c r="AV302" s="125"/>
      <c r="AW302" s="125"/>
      <c r="AX302" s="125"/>
      <c r="AY302" s="125"/>
      <c r="AZ302" s="125"/>
      <c r="BA302" s="187"/>
      <c r="BB302" s="188"/>
      <c r="BC302" s="203"/>
      <c r="BD302" s="204"/>
      <c r="BE302" s="205"/>
      <c r="BF302" s="205"/>
      <c r="BG302" s="206"/>
      <c r="BH302" s="200"/>
      <c r="BI302" s="201"/>
      <c r="BJ302" s="202"/>
      <c r="BK302" s="125"/>
      <c r="BL302" s="184"/>
      <c r="BM302" s="185"/>
      <c r="BN302" s="186"/>
      <c r="BO302" s="125"/>
      <c r="BP302" s="125"/>
      <c r="BQ302" s="125"/>
      <c r="BR302" s="125"/>
      <c r="BS302" s="125"/>
      <c r="BT302" s="125"/>
      <c r="BU302" s="125"/>
      <c r="BV302" s="125"/>
      <c r="BW302" s="125"/>
      <c r="BX302" s="125"/>
      <c r="BY302" s="187"/>
      <c r="BZ302" s="188"/>
      <c r="CA302" s="203"/>
      <c r="CB302" s="204"/>
      <c r="CC302" s="205"/>
      <c r="CD302" s="205"/>
      <c r="CE302" s="206"/>
      <c r="CF302" s="200"/>
      <c r="CG302" s="201"/>
      <c r="CH302" s="202"/>
      <c r="CI302" s="125"/>
      <c r="CJ302" s="184"/>
      <c r="CK302" s="185"/>
      <c r="CL302" s="186"/>
      <c r="CM302" s="125"/>
      <c r="CN302" s="125"/>
      <c r="CO302" s="125"/>
      <c r="CP302" s="125"/>
      <c r="CQ302" s="125"/>
      <c r="CR302" s="125"/>
      <c r="CS302" s="125"/>
      <c r="CT302" s="125"/>
      <c r="CU302" s="125"/>
      <c r="CV302" s="125"/>
      <c r="CW302" s="187"/>
      <c r="CX302" s="188"/>
      <c r="CY302" s="203"/>
      <c r="CZ302" s="204"/>
      <c r="DA302" s="205"/>
      <c r="DB302" s="205"/>
      <c r="DC302" s="206"/>
      <c r="DD302" s="200"/>
      <c r="DE302" s="201"/>
      <c r="DF302" s="202"/>
      <c r="DG302" s="125"/>
      <c r="DH302" s="184"/>
      <c r="DI302" s="185"/>
      <c r="DJ302" s="186"/>
      <c r="DK302" s="125"/>
      <c r="DL302" s="125"/>
      <c r="DM302" s="125"/>
      <c r="DN302" s="125"/>
      <c r="DO302" s="125"/>
      <c r="DP302" s="125"/>
      <c r="DQ302" s="125"/>
      <c r="DR302" s="125"/>
      <c r="DS302" s="125"/>
      <c r="DT302" s="125"/>
      <c r="DU302" s="187"/>
      <c r="DV302" s="188"/>
      <c r="DW302" s="203"/>
      <c r="DX302" s="204"/>
      <c r="DY302" s="205"/>
      <c r="DZ302" s="205"/>
      <c r="EA302" s="206"/>
      <c r="EB302" s="200"/>
      <c r="EC302" s="201"/>
      <c r="ED302" s="202"/>
      <c r="EE302" s="125"/>
      <c r="EF302" s="184"/>
      <c r="EG302" s="185"/>
      <c r="EH302" s="186"/>
      <c r="EI302" s="125"/>
      <c r="EJ302" s="125"/>
      <c r="EK302" s="125"/>
      <c r="EL302" s="125"/>
      <c r="EM302" s="125"/>
      <c r="EN302" s="125"/>
      <c r="EO302" s="125"/>
      <c r="EP302" s="125"/>
      <c r="EQ302" s="125"/>
      <c r="ER302" s="125"/>
      <c r="ES302" s="187"/>
      <c r="ET302" s="188"/>
      <c r="EU302" s="203"/>
      <c r="EV302" s="204"/>
      <c r="EW302" s="205"/>
      <c r="EX302" s="205"/>
      <c r="EY302" s="206"/>
      <c r="EZ302" s="200"/>
      <c r="FA302" s="201"/>
      <c r="FB302" s="202"/>
      <c r="FC302" s="125"/>
      <c r="FD302" s="184"/>
      <c r="FE302" s="185"/>
      <c r="FF302" s="186"/>
      <c r="FG302" s="125"/>
      <c r="FH302" s="125"/>
      <c r="FI302" s="125"/>
      <c r="FJ302" s="125"/>
      <c r="FK302" s="125"/>
      <c r="FL302" s="125"/>
      <c r="FM302" s="125"/>
      <c r="FN302" s="125"/>
      <c r="FO302" s="125"/>
      <c r="FP302" s="125"/>
      <c r="FQ302" s="187"/>
      <c r="FR302" s="188"/>
      <c r="FS302" s="203"/>
      <c r="FT302" s="204"/>
      <c r="FU302" s="205"/>
      <c r="FV302" s="205"/>
      <c r="FW302" s="206"/>
      <c r="FX302" s="200"/>
      <c r="FY302" s="201"/>
      <c r="FZ302" s="202"/>
      <c r="GA302" s="125"/>
      <c r="GB302" s="184"/>
      <c r="GC302" s="185"/>
      <c r="GD302" s="186"/>
      <c r="GE302" s="125"/>
      <c r="GF302" s="125"/>
    </row>
    <row r="303" spans="1:188" s="125" customFormat="1">
      <c r="A303" s="80">
        <v>14</v>
      </c>
      <c r="B303" s="56">
        <v>43112</v>
      </c>
      <c r="C303" s="18"/>
      <c r="D303" s="19" t="s">
        <v>1131</v>
      </c>
      <c r="E303" s="20" t="s">
        <v>383</v>
      </c>
      <c r="F303" s="82" t="s">
        <v>1222</v>
      </c>
      <c r="G303" s="63">
        <v>1711</v>
      </c>
      <c r="H303" s="121">
        <v>1273000</v>
      </c>
      <c r="I303" s="24"/>
      <c r="J303" s="24">
        <v>1212380</v>
      </c>
      <c r="K303" s="24">
        <f t="shared" si="23"/>
        <v>1212380</v>
      </c>
      <c r="L303" s="123">
        <v>1</v>
      </c>
      <c r="M303" s="24">
        <f t="shared" si="24"/>
        <v>1212380</v>
      </c>
      <c r="N303" s="124">
        <f t="shared" si="25"/>
        <v>0</v>
      </c>
      <c r="O303" s="107" t="s">
        <v>1216</v>
      </c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130"/>
      <c r="AF303" s="130"/>
      <c r="AG303" s="130"/>
      <c r="AH303" s="130"/>
      <c r="AI303" s="130"/>
      <c r="AJ303" s="130"/>
      <c r="AK303" s="130"/>
      <c r="AL303" s="130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130"/>
      <c r="BD303" s="130"/>
      <c r="BE303" s="130"/>
      <c r="BF303" s="130"/>
      <c r="BG303" s="130"/>
      <c r="BH303" s="130"/>
      <c r="BI303" s="130"/>
      <c r="BJ303" s="130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130"/>
      <c r="CB303" s="130"/>
      <c r="CC303" s="130"/>
      <c r="CD303" s="130"/>
      <c r="CE303" s="130"/>
      <c r="CF303" s="130"/>
      <c r="CG303" s="130"/>
      <c r="CH303" s="130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  <c r="CX303" s="3"/>
      <c r="CY303" s="130"/>
      <c r="CZ303" s="130"/>
      <c r="DA303" s="130"/>
      <c r="DB303" s="130"/>
      <c r="DC303" s="130"/>
      <c r="DD303" s="130"/>
      <c r="DE303" s="130"/>
      <c r="DF303" s="130"/>
      <c r="DG303" s="3"/>
      <c r="DH303" s="3"/>
      <c r="DI303" s="3"/>
      <c r="DJ303" s="3"/>
      <c r="DK303" s="3"/>
      <c r="DL303" s="3"/>
      <c r="DM303" s="3"/>
      <c r="DN303" s="3"/>
      <c r="DO303" s="3"/>
      <c r="DP303" s="3"/>
      <c r="DQ303" s="3"/>
      <c r="DR303" s="3"/>
      <c r="DS303" s="3"/>
      <c r="DT303" s="3"/>
      <c r="DU303" s="3"/>
      <c r="DV303" s="3"/>
      <c r="DW303" s="130"/>
      <c r="DX303" s="130"/>
      <c r="DY303" s="130"/>
      <c r="DZ303" s="130"/>
      <c r="EA303" s="130"/>
      <c r="EB303" s="130"/>
      <c r="EC303" s="130"/>
      <c r="ED303" s="130"/>
      <c r="EE303" s="3"/>
      <c r="EF303" s="3"/>
      <c r="EG303" s="3"/>
      <c r="EH303" s="3"/>
      <c r="EI303" s="3"/>
      <c r="EJ303" s="3"/>
      <c r="EK303" s="3"/>
      <c r="EL303" s="3"/>
      <c r="EM303" s="3"/>
      <c r="EN303" s="3"/>
      <c r="EO303" s="3"/>
      <c r="EP303" s="3"/>
      <c r="EQ303" s="3"/>
      <c r="ER303" s="3"/>
      <c r="ES303" s="3"/>
      <c r="ET303" s="3"/>
      <c r="EU303" s="130"/>
      <c r="EV303" s="130"/>
      <c r="EW303" s="130"/>
      <c r="EX303" s="130"/>
      <c r="EY303" s="130"/>
      <c r="EZ303" s="130"/>
      <c r="FA303" s="130"/>
      <c r="FB303" s="130"/>
      <c r="FC303" s="3"/>
      <c r="FD303" s="3"/>
      <c r="FE303" s="3"/>
      <c r="FF303" s="3"/>
      <c r="FG303" s="3"/>
      <c r="FH303" s="3"/>
      <c r="FI303" s="3"/>
      <c r="FJ303" s="3"/>
      <c r="FK303" s="3"/>
      <c r="FL303" s="3"/>
      <c r="FM303" s="3"/>
      <c r="FN303" s="3"/>
      <c r="FO303" s="3"/>
      <c r="FP303" s="3"/>
      <c r="FQ303" s="3"/>
      <c r="FR303" s="3"/>
      <c r="FS303" s="130"/>
      <c r="FT303" s="130"/>
      <c r="FU303" s="130"/>
      <c r="FV303" s="130"/>
      <c r="FW303" s="130"/>
      <c r="FX303" s="130"/>
      <c r="FY303" s="130"/>
      <c r="FZ303" s="130"/>
      <c r="GA303" s="3"/>
      <c r="GB303" s="3"/>
      <c r="GC303" s="3"/>
      <c r="GD303" s="3"/>
      <c r="GE303" s="3"/>
      <c r="GF303" s="3"/>
    </row>
    <row r="304" spans="1:188" s="3" customFormat="1">
      <c r="A304" s="80">
        <v>15</v>
      </c>
      <c r="B304" s="56">
        <v>43108</v>
      </c>
      <c r="C304" s="18"/>
      <c r="D304" s="19" t="s">
        <v>1131</v>
      </c>
      <c r="E304" s="20" t="s">
        <v>383</v>
      </c>
      <c r="F304" s="168" t="s">
        <v>1223</v>
      </c>
      <c r="G304" s="63">
        <v>1708</v>
      </c>
      <c r="H304" s="121">
        <v>1410000</v>
      </c>
      <c r="I304" s="24"/>
      <c r="J304" s="24">
        <f>H304/1.05</f>
        <v>1342857.1428571427</v>
      </c>
      <c r="K304" s="24">
        <f t="shared" si="23"/>
        <v>1342857.1428571427</v>
      </c>
      <c r="L304" s="123">
        <v>1</v>
      </c>
      <c r="M304" s="24">
        <f t="shared" si="24"/>
        <v>1342857.1428571427</v>
      </c>
      <c r="N304" s="124">
        <f t="shared" si="25"/>
        <v>0</v>
      </c>
      <c r="O304" s="107" t="s">
        <v>1216</v>
      </c>
      <c r="P304" s="125"/>
      <c r="Q304" s="125"/>
      <c r="R304" s="125"/>
      <c r="S304" s="125"/>
      <c r="T304" s="125"/>
      <c r="U304" s="125"/>
      <c r="V304" s="187"/>
      <c r="W304" s="188"/>
      <c r="X304" s="125"/>
      <c r="Y304" s="125"/>
      <c r="Z304" s="125"/>
      <c r="AA304" s="125"/>
      <c r="AB304" s="125"/>
      <c r="AC304" s="187"/>
      <c r="AD304" s="188"/>
      <c r="AE304" s="210"/>
      <c r="AF304" s="211"/>
      <c r="AG304" s="205"/>
      <c r="AH304" s="205"/>
      <c r="AI304" s="201"/>
      <c r="AJ304" s="209"/>
      <c r="AK304" s="201"/>
      <c r="AL304" s="202"/>
      <c r="AM304" s="125"/>
      <c r="AN304" s="184"/>
      <c r="AO304" s="185"/>
      <c r="AP304" s="186"/>
      <c r="AQ304" s="125"/>
      <c r="AR304" s="125"/>
      <c r="AS304" s="125"/>
      <c r="AT304" s="125"/>
      <c r="AU304" s="125"/>
      <c r="AV304" s="125"/>
      <c r="AW304" s="125"/>
      <c r="AX304" s="125"/>
      <c r="AY304" s="125"/>
      <c r="AZ304" s="125"/>
      <c r="BA304" s="187"/>
      <c r="BB304" s="188"/>
      <c r="BC304" s="210"/>
      <c r="BD304" s="211"/>
      <c r="BE304" s="205"/>
      <c r="BF304" s="205"/>
      <c r="BG304" s="201"/>
      <c r="BH304" s="209"/>
      <c r="BI304" s="201"/>
      <c r="BJ304" s="202"/>
      <c r="BK304" s="125"/>
      <c r="BL304" s="184"/>
      <c r="BM304" s="185"/>
      <c r="BN304" s="186"/>
      <c r="BO304" s="125"/>
      <c r="BP304" s="125"/>
      <c r="BQ304" s="125"/>
      <c r="BR304" s="125"/>
      <c r="BS304" s="125"/>
      <c r="BT304" s="125"/>
      <c r="BU304" s="125"/>
      <c r="BV304" s="125"/>
      <c r="BW304" s="125"/>
      <c r="BX304" s="125"/>
      <c r="BY304" s="187"/>
      <c r="BZ304" s="188"/>
      <c r="CA304" s="210"/>
      <c r="CB304" s="211"/>
      <c r="CC304" s="205"/>
      <c r="CD304" s="205"/>
      <c r="CE304" s="201"/>
      <c r="CF304" s="209"/>
      <c r="CG304" s="201"/>
      <c r="CH304" s="202"/>
      <c r="CI304" s="125"/>
      <c r="CJ304" s="184"/>
      <c r="CK304" s="185"/>
      <c r="CL304" s="186"/>
      <c r="CM304" s="125"/>
      <c r="CN304" s="125"/>
      <c r="CO304" s="125"/>
      <c r="CP304" s="125"/>
      <c r="CQ304" s="125"/>
      <c r="CR304" s="125"/>
      <c r="CS304" s="125"/>
      <c r="CT304" s="125"/>
      <c r="CU304" s="125"/>
      <c r="CV304" s="125"/>
      <c r="CW304" s="187"/>
      <c r="CX304" s="188"/>
      <c r="CY304" s="210"/>
      <c r="CZ304" s="211"/>
      <c r="DA304" s="205"/>
      <c r="DB304" s="205"/>
      <c r="DC304" s="201"/>
      <c r="DD304" s="209"/>
      <c r="DE304" s="201"/>
      <c r="DF304" s="202"/>
      <c r="DG304" s="125"/>
      <c r="DH304" s="184"/>
      <c r="DI304" s="185"/>
      <c r="DJ304" s="186"/>
      <c r="DK304" s="125"/>
      <c r="DL304" s="125"/>
      <c r="DM304" s="125"/>
      <c r="DN304" s="125"/>
      <c r="DO304" s="125"/>
      <c r="DP304" s="125"/>
      <c r="DQ304" s="125"/>
      <c r="DR304" s="125"/>
      <c r="DS304" s="125"/>
      <c r="DT304" s="125"/>
      <c r="DU304" s="187"/>
      <c r="DV304" s="188"/>
      <c r="DW304" s="210"/>
      <c r="DX304" s="211"/>
      <c r="DY304" s="205"/>
      <c r="DZ304" s="205"/>
      <c r="EA304" s="201"/>
      <c r="EB304" s="209"/>
      <c r="EC304" s="201"/>
      <c r="ED304" s="202"/>
      <c r="EE304" s="125"/>
      <c r="EF304" s="184"/>
      <c r="EG304" s="185"/>
      <c r="EH304" s="186"/>
      <c r="EI304" s="125"/>
      <c r="EJ304" s="125"/>
      <c r="EK304" s="125"/>
      <c r="EL304" s="125"/>
      <c r="EM304" s="125"/>
      <c r="EN304" s="125"/>
      <c r="EO304" s="125"/>
      <c r="EP304" s="125"/>
      <c r="EQ304" s="125"/>
      <c r="ER304" s="125"/>
      <c r="ES304" s="187"/>
      <c r="ET304" s="188"/>
      <c r="EU304" s="210"/>
      <c r="EV304" s="211"/>
      <c r="EW304" s="205"/>
      <c r="EX304" s="205"/>
      <c r="EY304" s="201"/>
      <c r="EZ304" s="209"/>
      <c r="FA304" s="201"/>
      <c r="FB304" s="202"/>
      <c r="FC304" s="125"/>
      <c r="FD304" s="184"/>
      <c r="FE304" s="185"/>
      <c r="FF304" s="186"/>
      <c r="FG304" s="125"/>
      <c r="FH304" s="125"/>
      <c r="FI304" s="125"/>
      <c r="FJ304" s="125"/>
      <c r="FK304" s="125"/>
      <c r="FL304" s="125"/>
      <c r="FM304" s="125"/>
      <c r="FN304" s="125"/>
      <c r="FO304" s="125"/>
      <c r="FP304" s="125"/>
      <c r="FQ304" s="187"/>
      <c r="FR304" s="188"/>
      <c r="FS304" s="210"/>
      <c r="FT304" s="211"/>
      <c r="FU304" s="205"/>
      <c r="FV304" s="205"/>
      <c r="FW304" s="201"/>
      <c r="FX304" s="209"/>
      <c r="FY304" s="201"/>
      <c r="FZ304" s="202"/>
      <c r="GA304" s="125"/>
      <c r="GB304" s="184"/>
      <c r="GC304" s="185"/>
      <c r="GD304" s="186"/>
      <c r="GE304" s="125"/>
      <c r="GF304" s="125"/>
    </row>
    <row r="305" spans="1:188" s="3" customFormat="1">
      <c r="A305" s="80">
        <v>16</v>
      </c>
      <c r="B305" s="60">
        <v>43095</v>
      </c>
      <c r="C305" s="18"/>
      <c r="D305" s="19" t="s">
        <v>385</v>
      </c>
      <c r="E305" s="20" t="s">
        <v>383</v>
      </c>
      <c r="F305" s="168" t="s">
        <v>391</v>
      </c>
      <c r="G305" s="63">
        <v>1709</v>
      </c>
      <c r="H305" s="121">
        <v>1410000</v>
      </c>
      <c r="I305" s="24">
        <v>1342857</v>
      </c>
      <c r="J305" s="24"/>
      <c r="K305" s="24">
        <f t="shared" si="23"/>
        <v>1342857</v>
      </c>
      <c r="L305" s="123">
        <v>1</v>
      </c>
      <c r="M305" s="24">
        <f t="shared" si="24"/>
        <v>1342857</v>
      </c>
      <c r="N305" s="124">
        <f t="shared" si="25"/>
        <v>0</v>
      </c>
      <c r="O305" s="107" t="s">
        <v>1216</v>
      </c>
      <c r="AE305" s="130"/>
      <c r="AF305" s="130"/>
      <c r="AG305" s="130"/>
      <c r="AH305" s="130"/>
      <c r="AI305" s="130"/>
      <c r="AJ305" s="130"/>
      <c r="AK305" s="130"/>
      <c r="AL305" s="130"/>
      <c r="BC305" s="130"/>
      <c r="BD305" s="130"/>
      <c r="BE305" s="130"/>
      <c r="BF305" s="130"/>
      <c r="BG305" s="130"/>
      <c r="BH305" s="130"/>
      <c r="BI305" s="130"/>
      <c r="BJ305" s="130"/>
      <c r="CA305" s="130"/>
      <c r="CB305" s="130"/>
      <c r="CC305" s="130"/>
      <c r="CD305" s="130"/>
      <c r="CE305" s="130"/>
      <c r="CF305" s="130"/>
      <c r="CG305" s="130"/>
      <c r="CH305" s="130"/>
      <c r="CY305" s="130"/>
      <c r="CZ305" s="130"/>
      <c r="DA305" s="130"/>
      <c r="DB305" s="130"/>
      <c r="DC305" s="130"/>
      <c r="DD305" s="130"/>
      <c r="DE305" s="130"/>
      <c r="DF305" s="130"/>
      <c r="DW305" s="130"/>
      <c r="DX305" s="130"/>
      <c r="DY305" s="130"/>
      <c r="DZ305" s="130"/>
      <c r="EA305" s="130"/>
      <c r="EB305" s="130"/>
      <c r="EC305" s="130"/>
      <c r="ED305" s="130"/>
      <c r="EU305" s="130"/>
      <c r="EV305" s="130"/>
      <c r="EW305" s="130"/>
      <c r="EX305" s="130"/>
      <c r="EY305" s="130"/>
      <c r="EZ305" s="130"/>
      <c r="FA305" s="130"/>
      <c r="FB305" s="130"/>
      <c r="FS305" s="130"/>
      <c r="FT305" s="130"/>
      <c r="FU305" s="130"/>
      <c r="FV305" s="130"/>
      <c r="FW305" s="130"/>
      <c r="FX305" s="130"/>
      <c r="FY305" s="130"/>
      <c r="FZ305" s="130"/>
    </row>
    <row r="306" spans="1:188" s="3" customFormat="1">
      <c r="A306" s="80">
        <v>17</v>
      </c>
      <c r="B306" s="56">
        <v>43098</v>
      </c>
      <c r="C306" s="18"/>
      <c r="D306" s="19" t="s">
        <v>385</v>
      </c>
      <c r="E306" s="20" t="s">
        <v>383</v>
      </c>
      <c r="F306" s="62" t="s">
        <v>392</v>
      </c>
      <c r="G306" s="63">
        <v>1709</v>
      </c>
      <c r="H306" s="121">
        <v>1410000</v>
      </c>
      <c r="I306" s="24">
        <v>1342857</v>
      </c>
      <c r="J306" s="24"/>
      <c r="K306" s="24">
        <f t="shared" si="23"/>
        <v>1342857</v>
      </c>
      <c r="L306" s="123">
        <v>1</v>
      </c>
      <c r="M306" s="24">
        <f t="shared" si="24"/>
        <v>1342857</v>
      </c>
      <c r="N306" s="124">
        <f t="shared" si="25"/>
        <v>0</v>
      </c>
      <c r="O306" s="107" t="s">
        <v>1216</v>
      </c>
      <c r="AE306" s="141"/>
      <c r="AF306" s="142"/>
      <c r="AG306" s="142"/>
      <c r="AH306" s="142"/>
      <c r="AI306" s="142"/>
      <c r="AJ306" s="142"/>
      <c r="AK306" s="142"/>
      <c r="AL306" s="143"/>
      <c r="BC306" s="141"/>
      <c r="BD306" s="142"/>
      <c r="BE306" s="142"/>
      <c r="BF306" s="142"/>
      <c r="BG306" s="142"/>
      <c r="BH306" s="142"/>
      <c r="BI306" s="142"/>
      <c r="BJ306" s="143"/>
      <c r="CA306" s="141"/>
      <c r="CB306" s="142"/>
      <c r="CC306" s="142"/>
      <c r="CD306" s="142"/>
      <c r="CE306" s="142"/>
      <c r="CF306" s="142"/>
      <c r="CG306" s="142"/>
      <c r="CH306" s="143"/>
      <c r="CY306" s="141"/>
      <c r="CZ306" s="142"/>
      <c r="DA306" s="142"/>
      <c r="DB306" s="142"/>
      <c r="DC306" s="142"/>
      <c r="DD306" s="142"/>
      <c r="DE306" s="142"/>
      <c r="DF306" s="143"/>
      <c r="DW306" s="141"/>
      <c r="DX306" s="142"/>
      <c r="DY306" s="142"/>
      <c r="DZ306" s="142"/>
      <c r="EA306" s="142"/>
      <c r="EB306" s="142"/>
      <c r="EC306" s="142"/>
      <c r="ED306" s="143"/>
      <c r="EU306" s="141"/>
      <c r="EV306" s="142"/>
      <c r="EW306" s="142"/>
      <c r="EX306" s="142"/>
      <c r="EY306" s="142"/>
      <c r="EZ306" s="142"/>
      <c r="FA306" s="142"/>
      <c r="FB306" s="143"/>
      <c r="FS306" s="141"/>
      <c r="FT306" s="142"/>
      <c r="FU306" s="142"/>
      <c r="FV306" s="142"/>
      <c r="FW306" s="142"/>
      <c r="FX306" s="142"/>
      <c r="FY306" s="142"/>
      <c r="FZ306" s="143"/>
    </row>
    <row r="307" spans="1:188" s="3" customFormat="1">
      <c r="A307" s="80">
        <v>18</v>
      </c>
      <c r="B307" s="60">
        <v>43094</v>
      </c>
      <c r="C307" s="18"/>
      <c r="D307" s="19" t="s">
        <v>385</v>
      </c>
      <c r="E307" s="20" t="s">
        <v>383</v>
      </c>
      <c r="F307" s="168" t="s">
        <v>393</v>
      </c>
      <c r="G307" s="63">
        <v>1709</v>
      </c>
      <c r="H307" s="121">
        <v>1410000</v>
      </c>
      <c r="I307" s="24">
        <v>1342857</v>
      </c>
      <c r="J307" s="24"/>
      <c r="K307" s="24">
        <f t="shared" si="23"/>
        <v>1342857</v>
      </c>
      <c r="L307" s="123">
        <v>1</v>
      </c>
      <c r="M307" s="24">
        <f t="shared" si="24"/>
        <v>1342857</v>
      </c>
      <c r="N307" s="124">
        <f t="shared" si="25"/>
        <v>0</v>
      </c>
      <c r="O307" s="107" t="s">
        <v>1216</v>
      </c>
      <c r="P307" s="125"/>
      <c r="Q307" s="125"/>
      <c r="R307" s="125"/>
      <c r="S307" s="125"/>
      <c r="T307" s="125"/>
      <c r="U307" s="125"/>
      <c r="V307" s="125"/>
      <c r="W307" s="125"/>
      <c r="X307" s="125"/>
      <c r="Y307" s="125"/>
      <c r="Z307" s="125"/>
      <c r="AA307" s="125"/>
      <c r="AB307" s="125"/>
      <c r="AC307" s="125"/>
      <c r="AD307" s="125"/>
      <c r="AE307" s="167"/>
      <c r="AF307" s="167"/>
      <c r="AG307" s="167"/>
      <c r="AH307" s="167"/>
      <c r="AI307" s="167"/>
      <c r="AJ307" s="167"/>
      <c r="AK307" s="167"/>
      <c r="AL307" s="167"/>
      <c r="AM307" s="125"/>
      <c r="AN307" s="125"/>
      <c r="AO307" s="125"/>
      <c r="AP307" s="125"/>
      <c r="AQ307" s="125"/>
      <c r="AR307" s="125"/>
      <c r="AS307" s="125"/>
      <c r="AT307" s="125"/>
      <c r="AU307" s="125"/>
      <c r="AV307" s="125"/>
      <c r="AW307" s="125"/>
      <c r="AX307" s="125"/>
      <c r="AY307" s="125"/>
      <c r="AZ307" s="125"/>
      <c r="BA307" s="125"/>
      <c r="BB307" s="125"/>
      <c r="BC307" s="167"/>
      <c r="BD307" s="167"/>
      <c r="BE307" s="167"/>
      <c r="BF307" s="167"/>
      <c r="BG307" s="167"/>
      <c r="BH307" s="167"/>
      <c r="BI307" s="167"/>
      <c r="BJ307" s="167"/>
      <c r="BK307" s="125"/>
      <c r="BL307" s="125"/>
      <c r="BM307" s="125"/>
      <c r="BN307" s="125"/>
      <c r="BO307" s="125"/>
      <c r="BP307" s="125"/>
      <c r="BQ307" s="125"/>
      <c r="BR307" s="125"/>
      <c r="BS307" s="125"/>
      <c r="BT307" s="125"/>
      <c r="BU307" s="125"/>
      <c r="BV307" s="125"/>
      <c r="BW307" s="125"/>
      <c r="BX307" s="125"/>
      <c r="BY307" s="125"/>
      <c r="BZ307" s="125"/>
      <c r="CA307" s="167"/>
      <c r="CB307" s="167"/>
      <c r="CC307" s="167"/>
      <c r="CD307" s="167"/>
      <c r="CE307" s="167"/>
      <c r="CF307" s="167"/>
      <c r="CG307" s="167"/>
      <c r="CH307" s="167"/>
      <c r="CI307" s="125"/>
      <c r="CJ307" s="125"/>
      <c r="CK307" s="125"/>
      <c r="CL307" s="125"/>
      <c r="CM307" s="125"/>
      <c r="CN307" s="125"/>
      <c r="CO307" s="125"/>
      <c r="CP307" s="125"/>
      <c r="CQ307" s="125"/>
      <c r="CR307" s="125"/>
      <c r="CS307" s="125"/>
      <c r="CT307" s="125"/>
      <c r="CU307" s="125"/>
      <c r="CV307" s="125"/>
      <c r="CW307" s="125"/>
      <c r="CX307" s="125"/>
      <c r="CY307" s="167"/>
      <c r="CZ307" s="167"/>
      <c r="DA307" s="167"/>
      <c r="DB307" s="167"/>
      <c r="DC307" s="167"/>
      <c r="DD307" s="167"/>
      <c r="DE307" s="167"/>
      <c r="DF307" s="167"/>
      <c r="DG307" s="125"/>
      <c r="DH307" s="125"/>
      <c r="DI307" s="125"/>
      <c r="DJ307" s="125"/>
      <c r="DK307" s="125"/>
      <c r="DL307" s="125"/>
      <c r="DM307" s="125"/>
      <c r="DN307" s="125"/>
      <c r="DO307" s="125"/>
      <c r="DP307" s="125"/>
      <c r="DQ307" s="125"/>
      <c r="DR307" s="125"/>
      <c r="DS307" s="125"/>
      <c r="DT307" s="125"/>
      <c r="DU307" s="125"/>
      <c r="DV307" s="125"/>
      <c r="DW307" s="167"/>
      <c r="DX307" s="167"/>
      <c r="DY307" s="167"/>
      <c r="DZ307" s="167"/>
      <c r="EA307" s="167"/>
      <c r="EB307" s="167"/>
      <c r="EC307" s="167"/>
      <c r="ED307" s="167"/>
      <c r="EE307" s="125"/>
      <c r="EF307" s="125"/>
      <c r="EG307" s="125"/>
      <c r="EH307" s="125"/>
      <c r="EI307" s="125"/>
      <c r="EJ307" s="125"/>
      <c r="EK307" s="125"/>
      <c r="EL307" s="125"/>
      <c r="EM307" s="125"/>
      <c r="EN307" s="125"/>
      <c r="EO307" s="125"/>
      <c r="EP307" s="125"/>
      <c r="EQ307" s="125"/>
      <c r="ER307" s="125"/>
      <c r="ES307" s="125"/>
      <c r="ET307" s="125"/>
      <c r="EU307" s="167"/>
      <c r="EV307" s="167"/>
      <c r="EW307" s="167"/>
      <c r="EX307" s="167"/>
      <c r="EY307" s="167"/>
      <c r="EZ307" s="167"/>
      <c r="FA307" s="167"/>
      <c r="FB307" s="167"/>
      <c r="FC307" s="125"/>
      <c r="FD307" s="125"/>
      <c r="FE307" s="125"/>
      <c r="FF307" s="125"/>
      <c r="FG307" s="125"/>
      <c r="FH307" s="125"/>
      <c r="FI307" s="125"/>
      <c r="FJ307" s="125"/>
      <c r="FK307" s="125"/>
      <c r="FL307" s="125"/>
      <c r="FM307" s="125"/>
      <c r="FN307" s="125"/>
      <c r="FO307" s="125"/>
      <c r="FP307" s="125"/>
      <c r="FQ307" s="125"/>
      <c r="FR307" s="125"/>
      <c r="FS307" s="167"/>
      <c r="FT307" s="167"/>
      <c r="FU307" s="167"/>
      <c r="FV307" s="167"/>
      <c r="FW307" s="167"/>
      <c r="FX307" s="167"/>
      <c r="FY307" s="167"/>
      <c r="FZ307" s="167"/>
      <c r="GA307" s="125"/>
      <c r="GB307" s="125"/>
      <c r="GC307" s="125"/>
      <c r="GD307" s="125"/>
      <c r="GE307" s="125"/>
      <c r="GF307" s="125"/>
    </row>
    <row r="308" spans="1:188" s="125" customFormat="1">
      <c r="A308" s="80">
        <v>19</v>
      </c>
      <c r="B308" s="60">
        <v>43129</v>
      </c>
      <c r="C308" s="18"/>
      <c r="D308" s="19" t="s">
        <v>1131</v>
      </c>
      <c r="E308" s="20" t="s">
        <v>1135</v>
      </c>
      <c r="F308" s="62" t="s">
        <v>1224</v>
      </c>
      <c r="G308" s="63">
        <v>1711</v>
      </c>
      <c r="H308" s="121">
        <v>1273000</v>
      </c>
      <c r="I308" s="24"/>
      <c r="J308" s="24">
        <v>1212380</v>
      </c>
      <c r="K308" s="24">
        <f t="shared" si="23"/>
        <v>1212380</v>
      </c>
      <c r="L308" s="123">
        <v>1</v>
      </c>
      <c r="M308" s="24">
        <f t="shared" si="24"/>
        <v>1212380</v>
      </c>
      <c r="N308" s="124">
        <f t="shared" si="25"/>
        <v>0</v>
      </c>
      <c r="O308" s="107" t="s">
        <v>1216</v>
      </c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130"/>
      <c r="AF308" s="130"/>
      <c r="AG308" s="130"/>
      <c r="AH308" s="130"/>
      <c r="AI308" s="130"/>
      <c r="AJ308" s="130"/>
      <c r="AK308" s="130"/>
      <c r="AL308" s="130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130"/>
      <c r="BD308" s="130"/>
      <c r="BE308" s="130"/>
      <c r="BF308" s="130"/>
      <c r="BG308" s="130"/>
      <c r="BH308" s="130"/>
      <c r="BI308" s="130"/>
      <c r="BJ308" s="130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130"/>
      <c r="CB308" s="130"/>
      <c r="CC308" s="130"/>
      <c r="CD308" s="130"/>
      <c r="CE308" s="130"/>
      <c r="CF308" s="130"/>
      <c r="CG308" s="130"/>
      <c r="CH308" s="130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  <c r="CX308" s="3"/>
      <c r="CY308" s="130"/>
      <c r="CZ308" s="130"/>
      <c r="DA308" s="130"/>
      <c r="DB308" s="130"/>
      <c r="DC308" s="130"/>
      <c r="DD308" s="130"/>
      <c r="DE308" s="130"/>
      <c r="DF308" s="130"/>
      <c r="DG308" s="3"/>
      <c r="DH308" s="3"/>
      <c r="DI308" s="3"/>
      <c r="DJ308" s="3"/>
      <c r="DK308" s="3"/>
      <c r="DL308" s="3"/>
      <c r="DM308" s="3"/>
      <c r="DN308" s="3"/>
      <c r="DO308" s="3"/>
      <c r="DP308" s="3"/>
      <c r="DQ308" s="3"/>
      <c r="DR308" s="3"/>
      <c r="DS308" s="3"/>
      <c r="DT308" s="3"/>
      <c r="DU308" s="3"/>
      <c r="DV308" s="3"/>
      <c r="DW308" s="130"/>
      <c r="DX308" s="130"/>
      <c r="DY308" s="130"/>
      <c r="DZ308" s="130"/>
      <c r="EA308" s="130"/>
      <c r="EB308" s="130"/>
      <c r="EC308" s="130"/>
      <c r="ED308" s="130"/>
      <c r="EE308" s="3"/>
      <c r="EF308" s="3"/>
      <c r="EG308" s="3"/>
      <c r="EH308" s="3"/>
      <c r="EI308" s="3"/>
      <c r="EJ308" s="3"/>
      <c r="EK308" s="3"/>
      <c r="EL308" s="3"/>
      <c r="EM308" s="3"/>
      <c r="EN308" s="3"/>
      <c r="EO308" s="3"/>
      <c r="EP308" s="3"/>
      <c r="EQ308" s="3"/>
      <c r="ER308" s="3"/>
      <c r="ES308" s="3"/>
      <c r="ET308" s="3"/>
      <c r="EU308" s="130"/>
      <c r="EV308" s="130"/>
      <c r="EW308" s="130"/>
      <c r="EX308" s="130"/>
      <c r="EY308" s="130"/>
      <c r="EZ308" s="130"/>
      <c r="FA308" s="130"/>
      <c r="FB308" s="130"/>
      <c r="FC308" s="3"/>
      <c r="FD308" s="3"/>
      <c r="FE308" s="3"/>
      <c r="FF308" s="3"/>
      <c r="FG308" s="3"/>
      <c r="FH308" s="3"/>
      <c r="FI308" s="3"/>
      <c r="FJ308" s="3"/>
      <c r="FK308" s="3"/>
      <c r="FL308" s="3"/>
      <c r="FM308" s="3"/>
      <c r="FN308" s="3"/>
      <c r="FO308" s="3"/>
      <c r="FP308" s="3"/>
      <c r="FQ308" s="3"/>
      <c r="FR308" s="3"/>
      <c r="FS308" s="130"/>
      <c r="FT308" s="130"/>
      <c r="FU308" s="130"/>
      <c r="FV308" s="130"/>
      <c r="FW308" s="130"/>
      <c r="FX308" s="130"/>
      <c r="FY308" s="130"/>
      <c r="FZ308" s="130"/>
      <c r="GA308" s="3"/>
      <c r="GB308" s="3"/>
      <c r="GC308" s="3"/>
      <c r="GD308" s="3"/>
      <c r="GE308" s="3"/>
      <c r="GF308" s="3"/>
    </row>
    <row r="309" spans="1:188" s="3" customFormat="1">
      <c r="A309" s="80">
        <v>20</v>
      </c>
      <c r="B309" s="60">
        <v>43112</v>
      </c>
      <c r="C309" s="18"/>
      <c r="D309" s="19" t="s">
        <v>1132</v>
      </c>
      <c r="E309" s="20" t="s">
        <v>1225</v>
      </c>
      <c r="F309" s="62" t="s">
        <v>1226</v>
      </c>
      <c r="G309" s="63">
        <v>1709</v>
      </c>
      <c r="H309" s="121">
        <v>1843000</v>
      </c>
      <c r="I309" s="24"/>
      <c r="J309" s="24">
        <f>H309/1.05</f>
        <v>1755238.0952380951</v>
      </c>
      <c r="K309" s="24">
        <f t="shared" si="23"/>
        <v>1755238.0952380951</v>
      </c>
      <c r="L309" s="123">
        <v>1</v>
      </c>
      <c r="M309" s="24">
        <f t="shared" si="24"/>
        <v>1755238.0952380951</v>
      </c>
      <c r="N309" s="124">
        <f t="shared" si="25"/>
        <v>0</v>
      </c>
      <c r="O309" s="107" t="s">
        <v>1216</v>
      </c>
      <c r="AE309" s="130"/>
      <c r="AF309" s="130"/>
      <c r="AG309" s="130"/>
      <c r="AH309" s="130"/>
      <c r="AI309" s="130"/>
      <c r="AJ309" s="130"/>
      <c r="AK309" s="130"/>
      <c r="AL309" s="130"/>
      <c r="BC309" s="130"/>
      <c r="BD309" s="130"/>
      <c r="BE309" s="130"/>
      <c r="BF309" s="130"/>
      <c r="BG309" s="130"/>
      <c r="BH309" s="130"/>
      <c r="BI309" s="130"/>
      <c r="BJ309" s="130"/>
      <c r="CA309" s="130"/>
      <c r="CB309" s="130"/>
      <c r="CC309" s="130"/>
      <c r="CD309" s="130"/>
      <c r="CE309" s="130"/>
      <c r="CF309" s="130"/>
      <c r="CG309" s="130"/>
      <c r="CH309" s="130"/>
      <c r="CY309" s="130"/>
      <c r="CZ309" s="130"/>
      <c r="DA309" s="130"/>
      <c r="DB309" s="130"/>
      <c r="DC309" s="130"/>
      <c r="DD309" s="130"/>
      <c r="DE309" s="130"/>
      <c r="DF309" s="130"/>
      <c r="DW309" s="130"/>
      <c r="DX309" s="130"/>
      <c r="DY309" s="130"/>
      <c r="DZ309" s="130"/>
      <c r="EA309" s="130"/>
      <c r="EB309" s="130"/>
      <c r="EC309" s="130"/>
      <c r="ED309" s="130"/>
      <c r="EU309" s="130"/>
      <c r="EV309" s="130"/>
      <c r="EW309" s="130"/>
      <c r="EX309" s="130"/>
      <c r="EY309" s="130"/>
      <c r="EZ309" s="130"/>
      <c r="FA309" s="130"/>
      <c r="FB309" s="130"/>
      <c r="FS309" s="130"/>
      <c r="FT309" s="130"/>
      <c r="FU309" s="130"/>
      <c r="FV309" s="130"/>
      <c r="FW309" s="130"/>
      <c r="FX309" s="130"/>
      <c r="FY309" s="130"/>
      <c r="FZ309" s="130"/>
    </row>
    <row r="310" spans="1:188" s="3" customFormat="1">
      <c r="A310" s="80">
        <v>21</v>
      </c>
      <c r="B310" s="60">
        <v>43048</v>
      </c>
      <c r="C310" s="18"/>
      <c r="D310" s="19" t="s">
        <v>1143</v>
      </c>
      <c r="E310" s="20" t="s">
        <v>306</v>
      </c>
      <c r="F310" s="168" t="s">
        <v>308</v>
      </c>
      <c r="G310" s="63">
        <v>1709</v>
      </c>
      <c r="H310" s="121">
        <v>1660000</v>
      </c>
      <c r="I310" s="24">
        <v>1580952</v>
      </c>
      <c r="J310" s="24"/>
      <c r="K310" s="24">
        <f t="shared" si="23"/>
        <v>1580952</v>
      </c>
      <c r="L310" s="123">
        <v>1</v>
      </c>
      <c r="M310" s="24">
        <f t="shared" si="24"/>
        <v>1580952</v>
      </c>
      <c r="N310" s="124">
        <f t="shared" si="25"/>
        <v>0</v>
      </c>
      <c r="O310" s="107" t="s">
        <v>1216</v>
      </c>
      <c r="P310" s="125"/>
      <c r="Q310" s="125"/>
      <c r="R310" s="125"/>
      <c r="S310" s="125"/>
      <c r="T310" s="125"/>
      <c r="U310" s="125"/>
      <c r="V310" s="125"/>
      <c r="W310" s="125"/>
      <c r="X310" s="125"/>
      <c r="Y310" s="125"/>
      <c r="Z310" s="125"/>
      <c r="AA310" s="125"/>
      <c r="AB310" s="125"/>
      <c r="AC310" s="125"/>
      <c r="AD310" s="125"/>
      <c r="AE310" s="167"/>
      <c r="AF310" s="167"/>
      <c r="AG310" s="167"/>
      <c r="AH310" s="167"/>
      <c r="AI310" s="167"/>
      <c r="AJ310" s="167"/>
      <c r="AK310" s="167"/>
      <c r="AL310" s="167"/>
      <c r="AM310" s="125"/>
      <c r="AN310" s="125"/>
      <c r="AO310" s="125"/>
      <c r="AP310" s="125"/>
      <c r="AQ310" s="125"/>
      <c r="AR310" s="125"/>
      <c r="AS310" s="125"/>
      <c r="AT310" s="125"/>
      <c r="AU310" s="125"/>
      <c r="AV310" s="125"/>
      <c r="AW310" s="125"/>
      <c r="AX310" s="125"/>
      <c r="AY310" s="125"/>
      <c r="AZ310" s="125"/>
      <c r="BA310" s="125"/>
      <c r="BB310" s="125"/>
      <c r="BC310" s="167"/>
      <c r="BD310" s="167"/>
      <c r="BE310" s="167"/>
      <c r="BF310" s="167"/>
      <c r="BG310" s="167"/>
      <c r="BH310" s="167"/>
      <c r="BI310" s="167"/>
      <c r="BJ310" s="167"/>
      <c r="BK310" s="125"/>
      <c r="BL310" s="125"/>
      <c r="BM310" s="125"/>
      <c r="BN310" s="125"/>
      <c r="BO310" s="125"/>
      <c r="BP310" s="125"/>
      <c r="BQ310" s="125"/>
      <c r="BR310" s="125"/>
      <c r="BS310" s="125"/>
      <c r="BT310" s="125"/>
      <c r="BU310" s="125"/>
      <c r="BV310" s="125"/>
      <c r="BW310" s="125"/>
      <c r="BX310" s="125"/>
      <c r="BY310" s="125"/>
      <c r="BZ310" s="125"/>
      <c r="CA310" s="167"/>
      <c r="CB310" s="167"/>
      <c r="CC310" s="167"/>
      <c r="CD310" s="167"/>
      <c r="CE310" s="167"/>
      <c r="CF310" s="167"/>
      <c r="CG310" s="167"/>
      <c r="CH310" s="167"/>
      <c r="CI310" s="125"/>
      <c r="CJ310" s="125"/>
      <c r="CK310" s="125"/>
      <c r="CL310" s="125"/>
      <c r="CM310" s="125"/>
      <c r="CN310" s="125"/>
      <c r="CO310" s="125"/>
      <c r="CP310" s="125"/>
      <c r="CQ310" s="125"/>
      <c r="CR310" s="125"/>
      <c r="CS310" s="125"/>
      <c r="CT310" s="125"/>
      <c r="CU310" s="125"/>
      <c r="CV310" s="125"/>
      <c r="CW310" s="125"/>
      <c r="CX310" s="125"/>
      <c r="CY310" s="167"/>
      <c r="CZ310" s="167"/>
      <c r="DA310" s="167"/>
      <c r="DB310" s="167"/>
      <c r="DC310" s="167"/>
      <c r="DD310" s="167"/>
      <c r="DE310" s="167"/>
      <c r="DF310" s="167"/>
      <c r="DG310" s="125"/>
      <c r="DH310" s="125"/>
      <c r="DI310" s="125"/>
      <c r="DJ310" s="125"/>
      <c r="DK310" s="125"/>
      <c r="DL310" s="125"/>
      <c r="DM310" s="125"/>
      <c r="DN310" s="125"/>
      <c r="DO310" s="125"/>
      <c r="DP310" s="125"/>
      <c r="DQ310" s="125"/>
      <c r="DR310" s="125"/>
      <c r="DS310" s="125"/>
      <c r="DT310" s="125"/>
      <c r="DU310" s="125"/>
      <c r="DV310" s="125"/>
      <c r="DW310" s="167"/>
      <c r="DX310" s="167"/>
      <c r="DY310" s="167"/>
      <c r="DZ310" s="167"/>
      <c r="EA310" s="167"/>
      <c r="EB310" s="167"/>
      <c r="EC310" s="167"/>
      <c r="ED310" s="167"/>
      <c r="EE310" s="125"/>
      <c r="EF310" s="125"/>
      <c r="EG310" s="125"/>
      <c r="EH310" s="125"/>
      <c r="EI310" s="125"/>
      <c r="EJ310" s="125"/>
      <c r="EK310" s="125"/>
      <c r="EL310" s="125"/>
      <c r="EM310" s="125"/>
      <c r="EN310" s="125"/>
      <c r="EO310" s="125"/>
      <c r="EP310" s="125"/>
      <c r="EQ310" s="125"/>
      <c r="ER310" s="125"/>
      <c r="ES310" s="125"/>
      <c r="ET310" s="125"/>
      <c r="EU310" s="167"/>
      <c r="EV310" s="167"/>
      <c r="EW310" s="167"/>
      <c r="EX310" s="167"/>
      <c r="EY310" s="167"/>
      <c r="EZ310" s="167"/>
      <c r="FA310" s="167"/>
      <c r="FB310" s="167"/>
      <c r="FC310" s="125"/>
      <c r="FD310" s="125"/>
      <c r="FE310" s="125"/>
      <c r="FF310" s="125"/>
      <c r="FG310" s="125"/>
      <c r="FH310" s="125"/>
      <c r="FI310" s="125"/>
      <c r="FJ310" s="125"/>
      <c r="FK310" s="125"/>
      <c r="FL310" s="125"/>
      <c r="FM310" s="125"/>
      <c r="FN310" s="125"/>
      <c r="FO310" s="125"/>
      <c r="FP310" s="125"/>
      <c r="FQ310" s="125"/>
      <c r="FR310" s="125"/>
      <c r="FS310" s="167"/>
      <c r="FT310" s="167"/>
      <c r="FU310" s="167"/>
      <c r="FV310" s="167"/>
      <c r="FW310" s="167"/>
      <c r="FX310" s="167"/>
      <c r="FY310" s="167"/>
      <c r="FZ310" s="167"/>
      <c r="GA310" s="125"/>
      <c r="GB310" s="125"/>
      <c r="GC310" s="125"/>
      <c r="GD310" s="125"/>
      <c r="GE310" s="125"/>
      <c r="GF310" s="125"/>
    </row>
    <row r="311" spans="1:188" s="3" customFormat="1">
      <c r="A311" s="80">
        <v>22</v>
      </c>
      <c r="B311" s="56">
        <v>43083</v>
      </c>
      <c r="C311" s="18"/>
      <c r="D311" s="19" t="s">
        <v>1143</v>
      </c>
      <c r="E311" s="20" t="s">
        <v>306</v>
      </c>
      <c r="F311" s="62" t="s">
        <v>310</v>
      </c>
      <c r="G311" s="63">
        <v>1709</v>
      </c>
      <c r="H311" s="121">
        <v>1660000</v>
      </c>
      <c r="I311" s="24">
        <v>1580952</v>
      </c>
      <c r="J311" s="24"/>
      <c r="K311" s="24">
        <f t="shared" si="23"/>
        <v>1580952</v>
      </c>
      <c r="L311" s="123">
        <v>1</v>
      </c>
      <c r="M311" s="24">
        <f t="shared" si="24"/>
        <v>1580952</v>
      </c>
      <c r="N311" s="124">
        <f t="shared" si="25"/>
        <v>0</v>
      </c>
      <c r="O311" s="107" t="s">
        <v>1216</v>
      </c>
      <c r="AE311" s="130"/>
      <c r="AF311" s="130"/>
      <c r="AG311" s="130"/>
      <c r="AH311" s="130"/>
      <c r="AI311" s="130"/>
      <c r="AJ311" s="130"/>
      <c r="AK311" s="130"/>
      <c r="AL311" s="130"/>
      <c r="BC311" s="130"/>
      <c r="BD311" s="130"/>
      <c r="BE311" s="130"/>
      <c r="BF311" s="130"/>
      <c r="BG311" s="130"/>
      <c r="BH311" s="130"/>
      <c r="BI311" s="130"/>
      <c r="BJ311" s="130"/>
      <c r="CA311" s="130"/>
      <c r="CB311" s="130"/>
      <c r="CC311" s="130"/>
      <c r="CD311" s="130"/>
      <c r="CE311" s="130"/>
      <c r="CF311" s="130"/>
      <c r="CG311" s="130"/>
      <c r="CH311" s="130"/>
      <c r="CY311" s="130"/>
      <c r="CZ311" s="130"/>
      <c r="DA311" s="130"/>
      <c r="DB311" s="130"/>
      <c r="DC311" s="130"/>
      <c r="DD311" s="130"/>
      <c r="DE311" s="130"/>
      <c r="DF311" s="130"/>
      <c r="DW311" s="130"/>
      <c r="DX311" s="130"/>
      <c r="DY311" s="130"/>
      <c r="DZ311" s="130"/>
      <c r="EA311" s="130"/>
      <c r="EB311" s="130"/>
      <c r="EC311" s="130"/>
      <c r="ED311" s="130"/>
      <c r="EU311" s="130"/>
      <c r="EV311" s="130"/>
      <c r="EW311" s="130"/>
      <c r="EX311" s="130"/>
      <c r="EY311" s="130"/>
      <c r="EZ311" s="130"/>
      <c r="FA311" s="130"/>
      <c r="FB311" s="130"/>
      <c r="FS311" s="130"/>
      <c r="FT311" s="130"/>
      <c r="FU311" s="130"/>
      <c r="FV311" s="130"/>
      <c r="FW311" s="130"/>
      <c r="FX311" s="130"/>
      <c r="FY311" s="130"/>
      <c r="FZ311" s="130"/>
    </row>
    <row r="312" spans="1:188" s="3" customFormat="1">
      <c r="A312" s="80">
        <v>23</v>
      </c>
      <c r="B312" s="60">
        <v>43096</v>
      </c>
      <c r="C312" s="18"/>
      <c r="D312" s="19" t="s">
        <v>1143</v>
      </c>
      <c r="E312" s="20" t="s">
        <v>306</v>
      </c>
      <c r="F312" s="168" t="s">
        <v>312</v>
      </c>
      <c r="G312" s="63">
        <v>1709</v>
      </c>
      <c r="H312" s="121">
        <v>1660000</v>
      </c>
      <c r="I312" s="24">
        <v>1580952</v>
      </c>
      <c r="J312" s="24"/>
      <c r="K312" s="24">
        <f t="shared" si="23"/>
        <v>1580952</v>
      </c>
      <c r="L312" s="123">
        <v>1</v>
      </c>
      <c r="M312" s="24">
        <f t="shared" si="24"/>
        <v>1580952</v>
      </c>
      <c r="N312" s="124">
        <f t="shared" si="25"/>
        <v>0</v>
      </c>
      <c r="O312" s="107" t="s">
        <v>1216</v>
      </c>
      <c r="AE312" s="130"/>
      <c r="AF312" s="130"/>
      <c r="AG312" s="130"/>
      <c r="AH312" s="130"/>
      <c r="AI312" s="130"/>
      <c r="AJ312" s="130"/>
      <c r="AK312" s="130"/>
      <c r="AL312" s="130"/>
      <c r="BC312" s="130"/>
      <c r="BD312" s="130"/>
      <c r="BE312" s="130"/>
      <c r="BF312" s="130"/>
      <c r="BG312" s="130"/>
      <c r="BH312" s="130"/>
      <c r="BI312" s="130"/>
      <c r="BJ312" s="130"/>
      <c r="CA312" s="130"/>
      <c r="CB312" s="130"/>
      <c r="CC312" s="130"/>
      <c r="CD312" s="130"/>
      <c r="CE312" s="130"/>
      <c r="CF312" s="130"/>
      <c r="CG312" s="130"/>
      <c r="CH312" s="130"/>
      <c r="CY312" s="130"/>
      <c r="CZ312" s="130"/>
      <c r="DA312" s="130"/>
      <c r="DB312" s="130"/>
      <c r="DC312" s="130"/>
      <c r="DD312" s="130"/>
      <c r="DE312" s="130"/>
      <c r="DF312" s="130"/>
      <c r="DW312" s="130"/>
      <c r="DX312" s="130"/>
      <c r="DY312" s="130"/>
      <c r="DZ312" s="130"/>
      <c r="EA312" s="130"/>
      <c r="EB312" s="130"/>
      <c r="EC312" s="130"/>
      <c r="ED312" s="130"/>
      <c r="EU312" s="130"/>
      <c r="EV312" s="130"/>
      <c r="EW312" s="130"/>
      <c r="EX312" s="130"/>
      <c r="EY312" s="130"/>
      <c r="EZ312" s="130"/>
      <c r="FA312" s="130"/>
      <c r="FB312" s="130"/>
      <c r="FS312" s="130"/>
      <c r="FT312" s="130"/>
      <c r="FU312" s="130"/>
      <c r="FV312" s="130"/>
      <c r="FW312" s="130"/>
      <c r="FX312" s="130"/>
      <c r="FY312" s="130"/>
      <c r="FZ312" s="130"/>
    </row>
    <row r="313" spans="1:188" s="3" customFormat="1">
      <c r="A313" s="80">
        <v>24</v>
      </c>
      <c r="B313" s="29">
        <v>43119</v>
      </c>
      <c r="C313" s="18"/>
      <c r="D313" s="19" t="s">
        <v>1143</v>
      </c>
      <c r="E313" s="20" t="s">
        <v>306</v>
      </c>
      <c r="F313" s="82" t="s">
        <v>1227</v>
      </c>
      <c r="G313" s="63">
        <v>1709</v>
      </c>
      <c r="H313" s="121">
        <v>1530000</v>
      </c>
      <c r="I313" s="24"/>
      <c r="J313" s="24">
        <v>1457142</v>
      </c>
      <c r="K313" s="24">
        <f t="shared" si="23"/>
        <v>1457142</v>
      </c>
      <c r="L313" s="123">
        <v>1</v>
      </c>
      <c r="M313" s="24">
        <f t="shared" si="24"/>
        <v>1457142</v>
      </c>
      <c r="N313" s="124">
        <f t="shared" si="25"/>
        <v>0</v>
      </c>
      <c r="O313" s="107" t="s">
        <v>1216</v>
      </c>
      <c r="V313" s="131"/>
      <c r="W313" s="15"/>
      <c r="AC313" s="131"/>
      <c r="AD313" s="15"/>
      <c r="AE313" s="132"/>
      <c r="AF313" s="133"/>
      <c r="AG313" s="134"/>
      <c r="AH313" s="134"/>
      <c r="AI313" s="135"/>
      <c r="AJ313" s="136"/>
      <c r="AK313" s="137"/>
      <c r="AL313" s="137"/>
      <c r="AN313" s="138"/>
      <c r="AO313" s="2"/>
      <c r="AP313" s="139"/>
      <c r="BA313" s="131"/>
      <c r="BB313" s="15"/>
      <c r="BC313" s="132"/>
      <c r="BD313" s="133"/>
      <c r="BE313" s="134"/>
      <c r="BF313" s="134"/>
      <c r="BG313" s="135"/>
      <c r="BH313" s="136"/>
      <c r="BI313" s="137"/>
      <c r="BJ313" s="137"/>
      <c r="BL313" s="138"/>
      <c r="BM313" s="2"/>
      <c r="BN313" s="139"/>
      <c r="BY313" s="131"/>
      <c r="BZ313" s="15"/>
      <c r="CA313" s="132"/>
      <c r="CB313" s="133"/>
      <c r="CC313" s="134"/>
      <c r="CD313" s="134"/>
      <c r="CE313" s="135"/>
      <c r="CF313" s="136"/>
      <c r="CG313" s="137"/>
      <c r="CH313" s="137"/>
      <c r="CJ313" s="138"/>
      <c r="CK313" s="2"/>
      <c r="CL313" s="139"/>
      <c r="CW313" s="131"/>
      <c r="CX313" s="15"/>
      <c r="CY313" s="132"/>
      <c r="CZ313" s="133"/>
      <c r="DA313" s="134"/>
      <c r="DB313" s="134"/>
      <c r="DC313" s="135"/>
      <c r="DD313" s="136"/>
      <c r="DE313" s="137"/>
      <c r="DF313" s="137"/>
      <c r="DH313" s="138"/>
      <c r="DI313" s="2"/>
      <c r="DJ313" s="139"/>
      <c r="DU313" s="131"/>
      <c r="DV313" s="15"/>
      <c r="DW313" s="132"/>
      <c r="DX313" s="133"/>
      <c r="DY313" s="134"/>
      <c r="DZ313" s="134"/>
      <c r="EA313" s="135"/>
      <c r="EB313" s="136"/>
      <c r="EC313" s="137"/>
      <c r="ED313" s="137"/>
      <c r="EF313" s="138"/>
      <c r="EG313" s="2"/>
      <c r="EH313" s="139"/>
      <c r="ES313" s="131"/>
      <c r="ET313" s="15"/>
      <c r="EU313" s="132"/>
      <c r="EV313" s="133"/>
      <c r="EW313" s="134"/>
      <c r="EX313" s="134"/>
      <c r="EY313" s="135"/>
      <c r="EZ313" s="136"/>
      <c r="FA313" s="137"/>
      <c r="FB313" s="137"/>
      <c r="FD313" s="138"/>
      <c r="FE313" s="2"/>
      <c r="FF313" s="139"/>
      <c r="FQ313" s="131"/>
      <c r="FR313" s="15"/>
      <c r="FS313" s="132"/>
      <c r="FT313" s="133"/>
      <c r="FU313" s="134"/>
      <c r="FV313" s="134"/>
      <c r="FW313" s="135"/>
      <c r="FX313" s="136"/>
      <c r="FY313" s="137"/>
      <c r="FZ313" s="137"/>
      <c r="GB313" s="138"/>
      <c r="GC313" s="2"/>
      <c r="GD313" s="139"/>
    </row>
    <row r="314" spans="1:188" s="3" customFormat="1">
      <c r="A314" s="80">
        <v>25</v>
      </c>
      <c r="B314" s="29">
        <v>43129</v>
      </c>
      <c r="C314" s="18"/>
      <c r="D314" s="19" t="s">
        <v>1143</v>
      </c>
      <c r="E314" s="20" t="s">
        <v>306</v>
      </c>
      <c r="F314" s="62" t="s">
        <v>1228</v>
      </c>
      <c r="G314" s="63">
        <v>1710</v>
      </c>
      <c r="H314" s="121">
        <v>1530000</v>
      </c>
      <c r="I314" s="24"/>
      <c r="J314" s="24">
        <v>1457142</v>
      </c>
      <c r="K314" s="24">
        <f t="shared" si="23"/>
        <v>1457142</v>
      </c>
      <c r="L314" s="123">
        <v>1</v>
      </c>
      <c r="M314" s="24">
        <f t="shared" si="24"/>
        <v>1457142</v>
      </c>
      <c r="N314" s="124">
        <f t="shared" si="25"/>
        <v>0</v>
      </c>
      <c r="O314" s="107" t="s">
        <v>1216</v>
      </c>
      <c r="AE314" s="130"/>
      <c r="AF314" s="130"/>
      <c r="AG314" s="130"/>
      <c r="AH314" s="130"/>
      <c r="AI314" s="130"/>
      <c r="AJ314" s="130"/>
      <c r="AK314" s="130"/>
      <c r="AL314" s="130"/>
      <c r="BC314" s="130"/>
      <c r="BD314" s="130"/>
      <c r="BE314" s="130"/>
      <c r="BF314" s="130"/>
      <c r="BG314" s="130"/>
      <c r="BH314" s="130"/>
      <c r="BI314" s="130"/>
      <c r="BJ314" s="130"/>
      <c r="CA314" s="130"/>
      <c r="CB314" s="130"/>
      <c r="CC314" s="130"/>
      <c r="CD314" s="130"/>
      <c r="CE314" s="130"/>
      <c r="CF314" s="130"/>
      <c r="CG314" s="130"/>
      <c r="CH314" s="130"/>
      <c r="CY314" s="130"/>
      <c r="CZ314" s="130"/>
      <c r="DA314" s="130"/>
      <c r="DB314" s="130"/>
      <c r="DC314" s="130"/>
      <c r="DD314" s="130"/>
      <c r="DE314" s="130"/>
      <c r="DF314" s="130"/>
      <c r="DW314" s="130"/>
      <c r="DX314" s="130"/>
      <c r="DY314" s="130"/>
      <c r="DZ314" s="130"/>
      <c r="EA314" s="130"/>
      <c r="EB314" s="130"/>
      <c r="EC314" s="130"/>
      <c r="ED314" s="130"/>
      <c r="EU314" s="130"/>
      <c r="EV314" s="130"/>
      <c r="EW314" s="130"/>
      <c r="EX314" s="130"/>
      <c r="EY314" s="130"/>
      <c r="EZ314" s="130"/>
      <c r="FA314" s="130"/>
      <c r="FB314" s="130"/>
      <c r="FS314" s="130"/>
      <c r="FT314" s="130"/>
      <c r="FU314" s="130"/>
      <c r="FV314" s="130"/>
      <c r="FW314" s="130"/>
      <c r="FX314" s="130"/>
      <c r="FY314" s="130"/>
      <c r="FZ314" s="130"/>
    </row>
    <row r="315" spans="1:188" s="3" customFormat="1">
      <c r="A315" s="80">
        <v>26</v>
      </c>
      <c r="B315" s="56">
        <v>43123</v>
      </c>
      <c r="C315" s="18"/>
      <c r="D315" s="19" t="s">
        <v>1143</v>
      </c>
      <c r="E315" s="20" t="s">
        <v>306</v>
      </c>
      <c r="F315" s="82" t="s">
        <v>1229</v>
      </c>
      <c r="G315" s="58">
        <v>1711</v>
      </c>
      <c r="H315" s="121">
        <v>1530000</v>
      </c>
      <c r="I315" s="24"/>
      <c r="J315" s="24">
        <v>1457142</v>
      </c>
      <c r="K315" s="24">
        <f t="shared" si="23"/>
        <v>1457142</v>
      </c>
      <c r="L315" s="123">
        <v>1</v>
      </c>
      <c r="M315" s="24">
        <f t="shared" si="24"/>
        <v>1457142</v>
      </c>
      <c r="N315" s="124">
        <f t="shared" si="25"/>
        <v>0</v>
      </c>
      <c r="O315" s="107" t="s">
        <v>1216</v>
      </c>
      <c r="P315" s="125"/>
      <c r="Q315" s="125"/>
      <c r="R315" s="125"/>
      <c r="S315" s="125"/>
      <c r="T315" s="125"/>
      <c r="U315" s="125"/>
      <c r="V315" s="125"/>
      <c r="W315" s="125"/>
      <c r="X315" s="125"/>
      <c r="Y315" s="125"/>
      <c r="Z315" s="125"/>
      <c r="AA315" s="125"/>
      <c r="AB315" s="125"/>
      <c r="AC315" s="125"/>
      <c r="AD315" s="125"/>
      <c r="AE315" s="167"/>
      <c r="AF315" s="167"/>
      <c r="AG315" s="167"/>
      <c r="AH315" s="167"/>
      <c r="AI315" s="167"/>
      <c r="AJ315" s="167"/>
      <c r="AK315" s="167"/>
      <c r="AL315" s="167"/>
      <c r="AM315" s="125"/>
      <c r="AN315" s="125"/>
      <c r="AO315" s="125"/>
      <c r="AP315" s="125"/>
      <c r="AQ315" s="125"/>
      <c r="AR315" s="125"/>
      <c r="AS315" s="125"/>
      <c r="AT315" s="125"/>
      <c r="AU315" s="125"/>
      <c r="AV315" s="125"/>
      <c r="AW315" s="125"/>
      <c r="AX315" s="125"/>
      <c r="AY315" s="125"/>
      <c r="AZ315" s="125"/>
      <c r="BA315" s="125"/>
      <c r="BB315" s="125"/>
      <c r="BC315" s="167"/>
      <c r="BD315" s="167"/>
      <c r="BE315" s="167"/>
      <c r="BF315" s="167"/>
      <c r="BG315" s="167"/>
      <c r="BH315" s="167"/>
      <c r="BI315" s="167"/>
      <c r="BJ315" s="167"/>
      <c r="BK315" s="125"/>
      <c r="BL315" s="125"/>
      <c r="BM315" s="125"/>
      <c r="BN315" s="125"/>
      <c r="BO315" s="125"/>
      <c r="BP315" s="125"/>
      <c r="BQ315" s="125"/>
      <c r="BR315" s="125"/>
      <c r="BS315" s="125"/>
      <c r="BT315" s="125"/>
      <c r="BU315" s="125"/>
      <c r="BV315" s="125"/>
      <c r="BW315" s="125"/>
      <c r="BX315" s="125"/>
      <c r="BY315" s="125"/>
      <c r="BZ315" s="125"/>
      <c r="CA315" s="167"/>
      <c r="CB315" s="167"/>
      <c r="CC315" s="167"/>
      <c r="CD315" s="167"/>
      <c r="CE315" s="167"/>
      <c r="CF315" s="167"/>
      <c r="CG315" s="167"/>
      <c r="CH315" s="167"/>
      <c r="CI315" s="125"/>
      <c r="CJ315" s="125"/>
      <c r="CK315" s="125"/>
      <c r="CL315" s="125"/>
      <c r="CM315" s="125"/>
      <c r="CN315" s="125"/>
      <c r="CO315" s="125"/>
      <c r="CP315" s="125"/>
      <c r="CQ315" s="125"/>
      <c r="CR315" s="125"/>
      <c r="CS315" s="125"/>
      <c r="CT315" s="125"/>
      <c r="CU315" s="125"/>
      <c r="CV315" s="125"/>
      <c r="CW315" s="125"/>
      <c r="CX315" s="125"/>
      <c r="CY315" s="167"/>
      <c r="CZ315" s="167"/>
      <c r="DA315" s="167"/>
      <c r="DB315" s="167"/>
      <c r="DC315" s="167"/>
      <c r="DD315" s="167"/>
      <c r="DE315" s="167"/>
      <c r="DF315" s="167"/>
      <c r="DG315" s="125"/>
      <c r="DH315" s="125"/>
      <c r="DI315" s="125"/>
      <c r="DJ315" s="125"/>
      <c r="DK315" s="125"/>
      <c r="DL315" s="125"/>
      <c r="DM315" s="125"/>
      <c r="DN315" s="125"/>
      <c r="DO315" s="125"/>
      <c r="DP315" s="125"/>
      <c r="DQ315" s="125"/>
      <c r="DR315" s="125"/>
      <c r="DS315" s="125"/>
      <c r="DT315" s="125"/>
      <c r="DU315" s="125"/>
      <c r="DV315" s="125"/>
      <c r="DW315" s="167"/>
      <c r="DX315" s="167"/>
      <c r="DY315" s="167"/>
      <c r="DZ315" s="167"/>
      <c r="EA315" s="167"/>
      <c r="EB315" s="167"/>
      <c r="EC315" s="167"/>
      <c r="ED315" s="167"/>
      <c r="EE315" s="125"/>
      <c r="EF315" s="125"/>
      <c r="EG315" s="125"/>
      <c r="EH315" s="125"/>
      <c r="EI315" s="125"/>
      <c r="EJ315" s="125"/>
      <c r="EK315" s="125"/>
      <c r="EL315" s="125"/>
      <c r="EM315" s="125"/>
      <c r="EN315" s="125"/>
      <c r="EO315" s="125"/>
      <c r="EP315" s="125"/>
      <c r="EQ315" s="125"/>
      <c r="ER315" s="125"/>
      <c r="ES315" s="125"/>
      <c r="ET315" s="125"/>
      <c r="EU315" s="167"/>
      <c r="EV315" s="167"/>
      <c r="EW315" s="167"/>
      <c r="EX315" s="167"/>
      <c r="EY315" s="167"/>
      <c r="EZ315" s="167"/>
      <c r="FA315" s="167"/>
      <c r="FB315" s="167"/>
      <c r="FC315" s="125"/>
      <c r="FD315" s="125"/>
      <c r="FE315" s="125"/>
      <c r="FF315" s="125"/>
      <c r="FG315" s="125"/>
      <c r="FH315" s="125"/>
      <c r="FI315" s="125"/>
      <c r="FJ315" s="125"/>
      <c r="FK315" s="125"/>
      <c r="FL315" s="125"/>
      <c r="FM315" s="125"/>
      <c r="FN315" s="125"/>
      <c r="FO315" s="125"/>
      <c r="FP315" s="125"/>
      <c r="FQ315" s="125"/>
      <c r="FR315" s="125"/>
      <c r="FS315" s="167"/>
      <c r="FT315" s="167"/>
      <c r="FU315" s="167"/>
      <c r="FV315" s="167"/>
      <c r="FW315" s="167"/>
      <c r="FX315" s="167"/>
      <c r="FY315" s="167"/>
      <c r="FZ315" s="167"/>
      <c r="GA315" s="125"/>
      <c r="GB315" s="125"/>
      <c r="GC315" s="125"/>
      <c r="GD315" s="125"/>
      <c r="GE315" s="125"/>
      <c r="GF315" s="125"/>
    </row>
    <row r="316" spans="1:188" s="3" customFormat="1">
      <c r="A316" s="80">
        <v>27</v>
      </c>
      <c r="B316" s="17">
        <v>43130</v>
      </c>
      <c r="C316" s="18"/>
      <c r="D316" s="19" t="s">
        <v>1143</v>
      </c>
      <c r="E316" s="20" t="s">
        <v>306</v>
      </c>
      <c r="F316" s="82" t="s">
        <v>1230</v>
      </c>
      <c r="G316" s="58">
        <v>1711</v>
      </c>
      <c r="H316" s="121">
        <v>1530000</v>
      </c>
      <c r="I316" s="24"/>
      <c r="J316" s="24">
        <v>1457142</v>
      </c>
      <c r="K316" s="24">
        <f t="shared" si="23"/>
        <v>1457142</v>
      </c>
      <c r="L316" s="123">
        <v>1</v>
      </c>
      <c r="M316" s="24">
        <f t="shared" si="24"/>
        <v>1457142</v>
      </c>
      <c r="N316" s="124">
        <f t="shared" si="25"/>
        <v>0</v>
      </c>
      <c r="O316" s="107" t="s">
        <v>1216</v>
      </c>
      <c r="P316" s="125"/>
      <c r="Q316" s="125"/>
      <c r="R316" s="125"/>
      <c r="S316" s="125"/>
      <c r="T316" s="125"/>
      <c r="U316" s="125"/>
      <c r="V316" s="187"/>
      <c r="W316" s="188"/>
      <c r="X316" s="125"/>
      <c r="Y316" s="125"/>
      <c r="Z316" s="125"/>
      <c r="AA316" s="125"/>
      <c r="AB316" s="125"/>
      <c r="AC316" s="187"/>
      <c r="AD316" s="188"/>
      <c r="AE316" s="189"/>
      <c r="AF316" s="190"/>
      <c r="AG316" s="191"/>
      <c r="AH316" s="191"/>
      <c r="AI316" s="192"/>
      <c r="AJ316" s="182"/>
      <c r="AK316" s="183"/>
      <c r="AL316" s="183"/>
      <c r="AM316" s="125"/>
      <c r="AN316" s="184"/>
      <c r="AO316" s="185"/>
      <c r="AP316" s="186"/>
      <c r="AQ316" s="125"/>
      <c r="AR316" s="125"/>
      <c r="AS316" s="125"/>
      <c r="AT316" s="125"/>
      <c r="AU316" s="125"/>
      <c r="AV316" s="125"/>
      <c r="AW316" s="125"/>
      <c r="AX316" s="125"/>
      <c r="AY316" s="125"/>
      <c r="AZ316" s="125"/>
      <c r="BA316" s="187"/>
      <c r="BB316" s="188"/>
      <c r="BC316" s="189"/>
      <c r="BD316" s="190"/>
      <c r="BE316" s="191"/>
      <c r="BF316" s="191"/>
      <c r="BG316" s="192"/>
      <c r="BH316" s="182"/>
      <c r="BI316" s="183"/>
      <c r="BJ316" s="183"/>
      <c r="BK316" s="125"/>
      <c r="BL316" s="184"/>
      <c r="BM316" s="185"/>
      <c r="BN316" s="186"/>
      <c r="BO316" s="125"/>
      <c r="BP316" s="125"/>
      <c r="BQ316" s="125"/>
      <c r="BR316" s="125"/>
      <c r="BS316" s="125"/>
      <c r="BT316" s="125"/>
      <c r="BU316" s="125"/>
      <c r="BV316" s="125"/>
      <c r="BW316" s="125"/>
      <c r="BX316" s="125"/>
      <c r="BY316" s="187"/>
      <c r="BZ316" s="188"/>
      <c r="CA316" s="189"/>
      <c r="CB316" s="190"/>
      <c r="CC316" s="191"/>
      <c r="CD316" s="191"/>
      <c r="CE316" s="192"/>
      <c r="CF316" s="182"/>
      <c r="CG316" s="183"/>
      <c r="CH316" s="183"/>
      <c r="CI316" s="125"/>
      <c r="CJ316" s="184"/>
      <c r="CK316" s="185"/>
      <c r="CL316" s="186"/>
      <c r="CM316" s="125"/>
      <c r="CN316" s="125"/>
      <c r="CO316" s="125"/>
      <c r="CP316" s="125"/>
      <c r="CQ316" s="125"/>
      <c r="CR316" s="125"/>
      <c r="CS316" s="125"/>
      <c r="CT316" s="125"/>
      <c r="CU316" s="125"/>
      <c r="CV316" s="125"/>
      <c r="CW316" s="187"/>
      <c r="CX316" s="188"/>
      <c r="CY316" s="189"/>
      <c r="CZ316" s="190"/>
      <c r="DA316" s="191"/>
      <c r="DB316" s="191"/>
      <c r="DC316" s="192"/>
      <c r="DD316" s="182"/>
      <c r="DE316" s="183"/>
      <c r="DF316" s="183"/>
      <c r="DG316" s="125"/>
      <c r="DH316" s="184"/>
      <c r="DI316" s="185"/>
      <c r="DJ316" s="186"/>
      <c r="DK316" s="125"/>
      <c r="DL316" s="125"/>
      <c r="DM316" s="125"/>
      <c r="DN316" s="125"/>
      <c r="DO316" s="125"/>
      <c r="DP316" s="125"/>
      <c r="DQ316" s="125"/>
      <c r="DR316" s="125"/>
      <c r="DS316" s="125"/>
      <c r="DT316" s="125"/>
      <c r="DU316" s="187"/>
      <c r="DV316" s="188"/>
      <c r="DW316" s="189"/>
      <c r="DX316" s="190"/>
      <c r="DY316" s="191"/>
      <c r="DZ316" s="191"/>
      <c r="EA316" s="192"/>
      <c r="EB316" s="182"/>
      <c r="EC316" s="183"/>
      <c r="ED316" s="183"/>
      <c r="EE316" s="125"/>
      <c r="EF316" s="184"/>
      <c r="EG316" s="185"/>
      <c r="EH316" s="186"/>
      <c r="EI316" s="125"/>
      <c r="EJ316" s="125"/>
      <c r="EK316" s="125"/>
      <c r="EL316" s="125"/>
      <c r="EM316" s="125"/>
      <c r="EN316" s="125"/>
      <c r="EO316" s="125"/>
      <c r="EP316" s="125"/>
      <c r="EQ316" s="125"/>
      <c r="ER316" s="125"/>
      <c r="ES316" s="187"/>
      <c r="ET316" s="188"/>
      <c r="EU316" s="189"/>
      <c r="EV316" s="190"/>
      <c r="EW316" s="191"/>
      <c r="EX316" s="191"/>
      <c r="EY316" s="192"/>
      <c r="EZ316" s="182"/>
      <c r="FA316" s="183"/>
      <c r="FB316" s="183"/>
      <c r="FC316" s="125"/>
      <c r="FD316" s="184"/>
      <c r="FE316" s="185"/>
      <c r="FF316" s="186"/>
      <c r="FG316" s="125"/>
      <c r="FH316" s="125"/>
      <c r="FI316" s="125"/>
      <c r="FJ316" s="125"/>
      <c r="FK316" s="125"/>
      <c r="FL316" s="125"/>
      <c r="FM316" s="125"/>
      <c r="FN316" s="125"/>
      <c r="FO316" s="125"/>
      <c r="FP316" s="125"/>
      <c r="FQ316" s="187"/>
      <c r="FR316" s="188"/>
      <c r="FS316" s="189"/>
      <c r="FT316" s="190"/>
      <c r="FU316" s="191"/>
      <c r="FV316" s="191"/>
      <c r="FW316" s="192"/>
      <c r="FX316" s="182"/>
      <c r="FY316" s="183"/>
      <c r="FZ316" s="183"/>
      <c r="GA316" s="125"/>
      <c r="GB316" s="184"/>
      <c r="GC316" s="185"/>
      <c r="GD316" s="186"/>
      <c r="GE316" s="125"/>
      <c r="GF316" s="125"/>
    </row>
    <row r="317" spans="1:188" s="3" customFormat="1">
      <c r="A317" s="80">
        <v>28</v>
      </c>
      <c r="B317" s="29">
        <v>43125</v>
      </c>
      <c r="C317" s="18" t="s">
        <v>1088</v>
      </c>
      <c r="D317" s="19" t="s">
        <v>1143</v>
      </c>
      <c r="E317" s="20" t="s">
        <v>1231</v>
      </c>
      <c r="F317" s="62" t="s">
        <v>1232</v>
      </c>
      <c r="G317" s="63">
        <v>1709</v>
      </c>
      <c r="H317" s="121">
        <f>2010000+10250</f>
        <v>2020250</v>
      </c>
      <c r="I317" s="24"/>
      <c r="J317" s="24">
        <v>1924048</v>
      </c>
      <c r="K317" s="24">
        <f t="shared" si="23"/>
        <v>1924048</v>
      </c>
      <c r="L317" s="123">
        <v>1</v>
      </c>
      <c r="M317" s="24">
        <f t="shared" si="24"/>
        <v>1924048</v>
      </c>
      <c r="N317" s="124">
        <f t="shared" si="25"/>
        <v>0</v>
      </c>
      <c r="O317" s="107" t="s">
        <v>1216</v>
      </c>
      <c r="AE317" s="130"/>
      <c r="AF317" s="130"/>
      <c r="AG317" s="130"/>
      <c r="AH317" s="130"/>
      <c r="AI317" s="130"/>
      <c r="AJ317" s="130"/>
      <c r="AK317" s="130"/>
      <c r="AL317" s="130"/>
      <c r="BC317" s="130"/>
      <c r="BD317" s="130"/>
      <c r="BE317" s="130"/>
      <c r="BF317" s="130"/>
      <c r="BG317" s="130"/>
      <c r="BH317" s="130"/>
      <c r="BI317" s="130"/>
      <c r="BJ317" s="130"/>
      <c r="CA317" s="130"/>
      <c r="CB317" s="130"/>
      <c r="CC317" s="130"/>
      <c r="CD317" s="130"/>
      <c r="CE317" s="130"/>
      <c r="CF317" s="130"/>
      <c r="CG317" s="130"/>
      <c r="CH317" s="130"/>
      <c r="CY317" s="130"/>
      <c r="CZ317" s="130"/>
      <c r="DA317" s="130"/>
      <c r="DB317" s="130"/>
      <c r="DC317" s="130"/>
      <c r="DD317" s="130"/>
      <c r="DE317" s="130"/>
      <c r="DF317" s="130"/>
      <c r="DW317" s="130"/>
      <c r="DX317" s="130"/>
      <c r="DY317" s="130"/>
      <c r="DZ317" s="130"/>
      <c r="EA317" s="130"/>
      <c r="EB317" s="130"/>
      <c r="EC317" s="130"/>
      <c r="ED317" s="130"/>
      <c r="EU317" s="130"/>
      <c r="EV317" s="130"/>
      <c r="EW317" s="130"/>
      <c r="EX317" s="130"/>
      <c r="EY317" s="130"/>
      <c r="EZ317" s="130"/>
      <c r="FA317" s="130"/>
      <c r="FB317" s="130"/>
      <c r="FS317" s="130"/>
      <c r="FT317" s="130"/>
      <c r="FU317" s="130"/>
      <c r="FV317" s="130"/>
      <c r="FW317" s="130"/>
      <c r="FX317" s="130"/>
      <c r="FY317" s="130"/>
      <c r="FZ317" s="130"/>
    </row>
    <row r="318" spans="1:188" s="3" customFormat="1">
      <c r="A318" s="80">
        <v>29</v>
      </c>
      <c r="B318" s="29">
        <v>43112</v>
      </c>
      <c r="C318" s="18"/>
      <c r="D318" s="19" t="s">
        <v>1143</v>
      </c>
      <c r="E318" s="20" t="s">
        <v>314</v>
      </c>
      <c r="F318" s="62" t="s">
        <v>1233</v>
      </c>
      <c r="G318" s="63">
        <v>1710</v>
      </c>
      <c r="H318" s="121">
        <f>100000+1920000</f>
        <v>2020000</v>
      </c>
      <c r="I318" s="24"/>
      <c r="J318" s="24">
        <f>H318/1.05</f>
        <v>1923809.5238095238</v>
      </c>
      <c r="K318" s="24">
        <f t="shared" si="23"/>
        <v>1923809.5238095238</v>
      </c>
      <c r="L318" s="123">
        <v>1</v>
      </c>
      <c r="M318" s="24">
        <f t="shared" si="24"/>
        <v>1923809.5238095238</v>
      </c>
      <c r="N318" s="124">
        <f t="shared" si="25"/>
        <v>0</v>
      </c>
      <c r="O318" s="107" t="s">
        <v>1216</v>
      </c>
      <c r="AE318" s="130"/>
      <c r="AF318" s="130"/>
      <c r="AG318" s="130"/>
      <c r="AH318" s="130"/>
      <c r="AI318" s="130"/>
      <c r="AJ318" s="130"/>
      <c r="AK318" s="130"/>
      <c r="AL318" s="130"/>
      <c r="BC318" s="130"/>
      <c r="BD318" s="130"/>
      <c r="BE318" s="130"/>
      <c r="BF318" s="130"/>
      <c r="BG318" s="130"/>
      <c r="BH318" s="130"/>
      <c r="BI318" s="130"/>
      <c r="BJ318" s="130"/>
      <c r="CA318" s="130"/>
      <c r="CB318" s="130"/>
      <c r="CC318" s="130"/>
      <c r="CD318" s="130"/>
      <c r="CE318" s="130"/>
      <c r="CF318" s="130"/>
      <c r="CG318" s="130"/>
      <c r="CH318" s="130"/>
      <c r="CY318" s="130"/>
      <c r="CZ318" s="130"/>
      <c r="DA318" s="130"/>
      <c r="DB318" s="130"/>
      <c r="DC318" s="130"/>
      <c r="DD318" s="130"/>
      <c r="DE318" s="130"/>
      <c r="DF318" s="130"/>
      <c r="DW318" s="130"/>
      <c r="DX318" s="130"/>
      <c r="DY318" s="130"/>
      <c r="DZ318" s="130"/>
      <c r="EA318" s="130"/>
      <c r="EB318" s="130"/>
      <c r="EC318" s="130"/>
      <c r="ED318" s="130"/>
      <c r="EU318" s="130"/>
      <c r="EV318" s="130"/>
      <c r="EW318" s="130"/>
      <c r="EX318" s="130"/>
      <c r="EY318" s="130"/>
      <c r="EZ318" s="130"/>
      <c r="FA318" s="130"/>
      <c r="FB318" s="130"/>
      <c r="FS318" s="130"/>
      <c r="FT318" s="130"/>
      <c r="FU318" s="130"/>
      <c r="FV318" s="130"/>
      <c r="FW318" s="130"/>
      <c r="FX318" s="130"/>
      <c r="FY318" s="130"/>
      <c r="FZ318" s="130"/>
    </row>
    <row r="319" spans="1:188" s="3" customFormat="1">
      <c r="A319" s="80">
        <v>30</v>
      </c>
      <c r="B319" s="17">
        <v>43110</v>
      </c>
      <c r="C319" s="18" t="s">
        <v>1234</v>
      </c>
      <c r="D319" s="19" t="s">
        <v>1143</v>
      </c>
      <c r="E319" s="20" t="s">
        <v>1235</v>
      </c>
      <c r="F319" s="61" t="s">
        <v>1236</v>
      </c>
      <c r="G319" s="63">
        <v>1710</v>
      </c>
      <c r="H319" s="121">
        <v>2098000</v>
      </c>
      <c r="I319" s="24"/>
      <c r="J319" s="24">
        <v>1998095</v>
      </c>
      <c r="K319" s="24">
        <f t="shared" si="23"/>
        <v>1998095</v>
      </c>
      <c r="L319" s="123">
        <v>1</v>
      </c>
      <c r="M319" s="24">
        <f t="shared" si="24"/>
        <v>1998095</v>
      </c>
      <c r="N319" s="124">
        <f t="shared" si="25"/>
        <v>0</v>
      </c>
      <c r="O319" s="107" t="s">
        <v>1216</v>
      </c>
      <c r="P319" s="125"/>
      <c r="Q319" s="125"/>
      <c r="R319" s="125"/>
      <c r="S319" s="125"/>
      <c r="T319" s="125"/>
      <c r="U319" s="125"/>
      <c r="V319" s="125"/>
      <c r="W319" s="125"/>
      <c r="X319" s="125"/>
      <c r="Y319" s="125"/>
      <c r="Z319" s="125"/>
      <c r="AA319" s="125"/>
      <c r="AB319" s="125"/>
      <c r="AC319" s="125"/>
      <c r="AD319" s="125"/>
      <c r="AE319" s="167"/>
      <c r="AF319" s="167"/>
      <c r="AG319" s="167"/>
      <c r="AH319" s="167"/>
      <c r="AI319" s="167"/>
      <c r="AJ319" s="167"/>
      <c r="AK319" s="167"/>
      <c r="AL319" s="167"/>
      <c r="AM319" s="125"/>
      <c r="AN319" s="125"/>
      <c r="AO319" s="125"/>
      <c r="AP319" s="125"/>
      <c r="AQ319" s="125"/>
      <c r="AR319" s="125"/>
      <c r="AS319" s="125"/>
      <c r="AT319" s="125"/>
      <c r="AU319" s="125"/>
      <c r="AV319" s="125"/>
      <c r="AW319" s="125"/>
      <c r="AX319" s="125"/>
      <c r="AY319" s="125"/>
      <c r="AZ319" s="125"/>
      <c r="BA319" s="125"/>
      <c r="BB319" s="125"/>
      <c r="BC319" s="167"/>
      <c r="BD319" s="167"/>
      <c r="BE319" s="167"/>
      <c r="BF319" s="167"/>
      <c r="BG319" s="167"/>
      <c r="BH319" s="167"/>
      <c r="BI319" s="167"/>
      <c r="BJ319" s="167"/>
      <c r="BK319" s="125"/>
      <c r="BL319" s="125"/>
      <c r="BM319" s="125"/>
      <c r="BN319" s="125"/>
      <c r="BO319" s="125"/>
      <c r="BP319" s="125"/>
      <c r="BQ319" s="125"/>
      <c r="BR319" s="125"/>
      <c r="BS319" s="125"/>
      <c r="BT319" s="125"/>
      <c r="BU319" s="125"/>
      <c r="BV319" s="125"/>
      <c r="BW319" s="125"/>
      <c r="BX319" s="125"/>
      <c r="BY319" s="125"/>
      <c r="BZ319" s="125"/>
      <c r="CA319" s="167"/>
      <c r="CB319" s="167"/>
      <c r="CC319" s="167"/>
      <c r="CD319" s="167"/>
      <c r="CE319" s="167"/>
      <c r="CF319" s="167"/>
      <c r="CG319" s="167"/>
      <c r="CH319" s="167"/>
      <c r="CI319" s="125"/>
      <c r="CJ319" s="125"/>
      <c r="CK319" s="125"/>
      <c r="CL319" s="125"/>
      <c r="CM319" s="125"/>
      <c r="CN319" s="125"/>
      <c r="CO319" s="125"/>
      <c r="CP319" s="125"/>
      <c r="CQ319" s="125"/>
      <c r="CR319" s="125"/>
      <c r="CS319" s="125"/>
      <c r="CT319" s="125"/>
      <c r="CU319" s="125"/>
      <c r="CV319" s="125"/>
      <c r="CW319" s="125"/>
      <c r="CX319" s="125"/>
      <c r="CY319" s="167"/>
      <c r="CZ319" s="167"/>
      <c r="DA319" s="167"/>
      <c r="DB319" s="167"/>
      <c r="DC319" s="167"/>
      <c r="DD319" s="167"/>
      <c r="DE319" s="167"/>
      <c r="DF319" s="167"/>
      <c r="DG319" s="125"/>
      <c r="DH319" s="125"/>
      <c r="DI319" s="125"/>
      <c r="DJ319" s="125"/>
      <c r="DK319" s="125"/>
      <c r="DL319" s="125"/>
      <c r="DM319" s="125"/>
      <c r="DN319" s="125"/>
      <c r="DO319" s="125"/>
      <c r="DP319" s="125"/>
      <c r="DQ319" s="125"/>
      <c r="DR319" s="125"/>
      <c r="DS319" s="125"/>
      <c r="DT319" s="125"/>
      <c r="DU319" s="125"/>
      <c r="DV319" s="125"/>
      <c r="DW319" s="167"/>
      <c r="DX319" s="167"/>
      <c r="DY319" s="167"/>
      <c r="DZ319" s="167"/>
      <c r="EA319" s="167"/>
      <c r="EB319" s="167"/>
      <c r="EC319" s="167"/>
      <c r="ED319" s="167"/>
      <c r="EE319" s="125"/>
      <c r="EF319" s="125"/>
      <c r="EG319" s="125"/>
      <c r="EH319" s="125"/>
      <c r="EI319" s="125"/>
      <c r="EJ319" s="125"/>
      <c r="EK319" s="125"/>
      <c r="EL319" s="125"/>
      <c r="EM319" s="125"/>
      <c r="EN319" s="125"/>
      <c r="EO319" s="125"/>
      <c r="EP319" s="125"/>
      <c r="EQ319" s="125"/>
      <c r="ER319" s="125"/>
      <c r="ES319" s="125"/>
      <c r="ET319" s="125"/>
      <c r="EU319" s="167"/>
      <c r="EV319" s="167"/>
      <c r="EW319" s="167"/>
      <c r="EX319" s="167"/>
      <c r="EY319" s="167"/>
      <c r="EZ319" s="167"/>
      <c r="FA319" s="167"/>
      <c r="FB319" s="167"/>
      <c r="FC319" s="125"/>
      <c r="FD319" s="125"/>
      <c r="FE319" s="125"/>
      <c r="FF319" s="125"/>
      <c r="FG319" s="125"/>
      <c r="FH319" s="125"/>
      <c r="FI319" s="125"/>
      <c r="FJ319" s="125"/>
      <c r="FK319" s="125"/>
      <c r="FL319" s="125"/>
      <c r="FM319" s="125"/>
      <c r="FN319" s="125"/>
      <c r="FO319" s="125"/>
      <c r="FP319" s="125"/>
      <c r="FQ319" s="125"/>
      <c r="FR319" s="125"/>
      <c r="FS319" s="167"/>
      <c r="FT319" s="167"/>
      <c r="FU319" s="167"/>
      <c r="FV319" s="167"/>
      <c r="FW319" s="167"/>
      <c r="FX319" s="167"/>
      <c r="FY319" s="167"/>
      <c r="FZ319" s="167"/>
      <c r="GA319" s="125"/>
      <c r="GB319" s="125"/>
      <c r="GC319" s="125"/>
      <c r="GD319" s="125"/>
      <c r="GE319" s="125"/>
      <c r="GF319" s="125"/>
    </row>
    <row r="320" spans="1:188" s="3" customFormat="1">
      <c r="A320" s="80">
        <v>31</v>
      </c>
      <c r="B320" s="29">
        <v>43077</v>
      </c>
      <c r="C320" s="18"/>
      <c r="D320" s="19" t="s">
        <v>1159</v>
      </c>
      <c r="E320" s="20" t="s">
        <v>407</v>
      </c>
      <c r="F320" s="62" t="s">
        <v>408</v>
      </c>
      <c r="G320" s="63">
        <v>1707</v>
      </c>
      <c r="H320" s="121">
        <f>2000000-30000</f>
        <v>1970000</v>
      </c>
      <c r="I320" s="24">
        <v>1876190</v>
      </c>
      <c r="J320" s="24"/>
      <c r="K320" s="24">
        <f t="shared" si="23"/>
        <v>1876190</v>
      </c>
      <c r="L320" s="123">
        <v>1</v>
      </c>
      <c r="M320" s="24">
        <f t="shared" si="24"/>
        <v>1876190</v>
      </c>
      <c r="N320" s="124">
        <f t="shared" si="25"/>
        <v>0</v>
      </c>
      <c r="O320" s="107" t="s">
        <v>1216</v>
      </c>
      <c r="AE320" s="130"/>
      <c r="AF320" s="130"/>
      <c r="AG320" s="130"/>
      <c r="AH320" s="130"/>
      <c r="AI320" s="130"/>
      <c r="AJ320" s="130"/>
      <c r="AK320" s="130"/>
      <c r="AL320" s="130"/>
      <c r="BC320" s="130"/>
      <c r="BD320" s="130"/>
      <c r="BE320" s="130"/>
      <c r="BF320" s="130"/>
      <c r="BG320" s="130"/>
      <c r="BH320" s="130"/>
      <c r="BI320" s="130"/>
      <c r="BJ320" s="130"/>
      <c r="CA320" s="130"/>
      <c r="CB320" s="130"/>
      <c r="CC320" s="130"/>
      <c r="CD320" s="130"/>
      <c r="CE320" s="130"/>
      <c r="CF320" s="130"/>
      <c r="CG320" s="130"/>
      <c r="CH320" s="130"/>
      <c r="CY320" s="130"/>
      <c r="CZ320" s="130"/>
      <c r="DA320" s="130"/>
      <c r="DB320" s="130"/>
      <c r="DC320" s="130"/>
      <c r="DD320" s="130"/>
      <c r="DE320" s="130"/>
      <c r="DF320" s="130"/>
      <c r="DW320" s="130"/>
      <c r="DX320" s="130"/>
      <c r="DY320" s="130"/>
      <c r="DZ320" s="130"/>
      <c r="EA320" s="130"/>
      <c r="EB320" s="130"/>
      <c r="EC320" s="130"/>
      <c r="ED320" s="130"/>
      <c r="EU320" s="130"/>
      <c r="EV320" s="130"/>
      <c r="EW320" s="130"/>
      <c r="EX320" s="130"/>
      <c r="EY320" s="130"/>
      <c r="EZ320" s="130"/>
      <c r="FA320" s="130"/>
      <c r="FB320" s="130"/>
      <c r="FS320" s="130"/>
      <c r="FT320" s="130"/>
      <c r="FU320" s="130"/>
      <c r="FV320" s="130"/>
      <c r="FW320" s="130"/>
      <c r="FX320" s="130"/>
      <c r="FY320" s="130"/>
      <c r="FZ320" s="130"/>
    </row>
    <row r="321" spans="1:188" s="3" customFormat="1">
      <c r="A321" s="80">
        <v>32</v>
      </c>
      <c r="B321" s="17">
        <v>43088</v>
      </c>
      <c r="C321" s="18"/>
      <c r="D321" s="19" t="s">
        <v>1159</v>
      </c>
      <c r="E321" s="20" t="s">
        <v>407</v>
      </c>
      <c r="F321" s="82" t="s">
        <v>410</v>
      </c>
      <c r="G321" s="58">
        <v>1709</v>
      </c>
      <c r="H321" s="121">
        <v>2000000</v>
      </c>
      <c r="I321" s="24">
        <v>1904762</v>
      </c>
      <c r="J321" s="24"/>
      <c r="K321" s="24">
        <f t="shared" si="23"/>
        <v>1904762</v>
      </c>
      <c r="L321" s="123">
        <v>1</v>
      </c>
      <c r="M321" s="24">
        <f t="shared" si="24"/>
        <v>1904762</v>
      </c>
      <c r="N321" s="124">
        <f t="shared" si="25"/>
        <v>0</v>
      </c>
      <c r="O321" s="107" t="s">
        <v>1216</v>
      </c>
      <c r="V321" s="131"/>
      <c r="W321" s="15"/>
      <c r="AC321" s="131"/>
      <c r="AD321" s="15"/>
      <c r="AE321" s="99"/>
      <c r="AF321" s="149"/>
      <c r="AG321" s="134"/>
      <c r="AH321" s="134"/>
      <c r="AI321" s="137"/>
      <c r="AJ321" s="150"/>
      <c r="AK321" s="137"/>
      <c r="AL321" s="137"/>
      <c r="AN321" s="138"/>
      <c r="AO321" s="2"/>
      <c r="AP321" s="139"/>
      <c r="BA321" s="131"/>
      <c r="BB321" s="15"/>
      <c r="BC321" s="99"/>
      <c r="BD321" s="149"/>
      <c r="BE321" s="134"/>
      <c r="BF321" s="134"/>
      <c r="BG321" s="137"/>
      <c r="BH321" s="150"/>
      <c r="BI321" s="137"/>
      <c r="BJ321" s="137"/>
      <c r="BL321" s="138"/>
      <c r="BM321" s="2"/>
      <c r="BN321" s="139"/>
      <c r="BY321" s="131"/>
      <c r="BZ321" s="15"/>
      <c r="CA321" s="99"/>
      <c r="CB321" s="149"/>
      <c r="CC321" s="134"/>
      <c r="CD321" s="134"/>
      <c r="CE321" s="137"/>
      <c r="CF321" s="150"/>
      <c r="CG321" s="137"/>
      <c r="CH321" s="137"/>
      <c r="CJ321" s="138"/>
      <c r="CK321" s="2"/>
      <c r="CL321" s="139"/>
      <c r="CW321" s="131"/>
      <c r="CX321" s="15"/>
      <c r="CY321" s="99"/>
      <c r="CZ321" s="149"/>
      <c r="DA321" s="134"/>
      <c r="DB321" s="134"/>
      <c r="DC321" s="137"/>
      <c r="DD321" s="150"/>
      <c r="DE321" s="137"/>
      <c r="DF321" s="137"/>
      <c r="DH321" s="138"/>
      <c r="DI321" s="2"/>
      <c r="DJ321" s="139"/>
      <c r="DU321" s="131"/>
      <c r="DV321" s="15"/>
      <c r="DW321" s="99"/>
      <c r="DX321" s="149"/>
      <c r="DY321" s="134"/>
      <c r="DZ321" s="134"/>
      <c r="EA321" s="137"/>
      <c r="EB321" s="150"/>
      <c r="EC321" s="137"/>
      <c r="ED321" s="137"/>
      <c r="EF321" s="138"/>
      <c r="EG321" s="2"/>
      <c r="EH321" s="139"/>
      <c r="ES321" s="131"/>
      <c r="ET321" s="15"/>
      <c r="EU321" s="99"/>
      <c r="EV321" s="149"/>
      <c r="EW321" s="134"/>
      <c r="EX321" s="134"/>
      <c r="EY321" s="137"/>
      <c r="EZ321" s="150"/>
      <c r="FA321" s="137"/>
      <c r="FB321" s="137"/>
      <c r="FD321" s="138"/>
      <c r="FE321" s="2"/>
      <c r="FF321" s="139"/>
      <c r="FQ321" s="131"/>
      <c r="FR321" s="15"/>
      <c r="FS321" s="99"/>
      <c r="FT321" s="149"/>
      <c r="FU321" s="134"/>
      <c r="FV321" s="134"/>
      <c r="FW321" s="137"/>
      <c r="FX321" s="150"/>
      <c r="FY321" s="137"/>
      <c r="FZ321" s="137"/>
      <c r="GB321" s="138"/>
      <c r="GC321" s="2"/>
      <c r="GD321" s="139"/>
    </row>
    <row r="322" spans="1:188" s="3" customFormat="1">
      <c r="A322" s="80">
        <v>33</v>
      </c>
      <c r="B322" s="29">
        <v>43087</v>
      </c>
      <c r="C322" s="18"/>
      <c r="D322" s="198" t="s">
        <v>1159</v>
      </c>
      <c r="E322" s="20" t="s">
        <v>407</v>
      </c>
      <c r="F322" s="62" t="s">
        <v>411</v>
      </c>
      <c r="G322" s="63">
        <v>1709</v>
      </c>
      <c r="H322" s="121">
        <v>2000000</v>
      </c>
      <c r="I322" s="24">
        <v>1904762</v>
      </c>
      <c r="J322" s="24"/>
      <c r="K322" s="24">
        <f t="shared" si="23"/>
        <v>1904762</v>
      </c>
      <c r="L322" s="123">
        <v>1</v>
      </c>
      <c r="M322" s="24">
        <f t="shared" si="24"/>
        <v>1904762</v>
      </c>
      <c r="N322" s="124">
        <f t="shared" si="25"/>
        <v>0</v>
      </c>
      <c r="O322" s="107" t="s">
        <v>1216</v>
      </c>
      <c r="AE322" s="130"/>
      <c r="AF322" s="130"/>
      <c r="AG322" s="130"/>
      <c r="AH322" s="130"/>
      <c r="AI322" s="130"/>
      <c r="AJ322" s="130"/>
      <c r="AK322" s="130"/>
      <c r="AL322" s="130"/>
      <c r="BC322" s="130"/>
      <c r="BD322" s="130"/>
      <c r="BE322" s="130"/>
      <c r="BF322" s="130"/>
      <c r="BG322" s="130"/>
      <c r="BH322" s="130"/>
      <c r="BI322" s="130"/>
      <c r="BJ322" s="130"/>
      <c r="CA322" s="130"/>
      <c r="CB322" s="130"/>
      <c r="CC322" s="130"/>
      <c r="CD322" s="130"/>
      <c r="CE322" s="130"/>
      <c r="CF322" s="130"/>
      <c r="CG322" s="130"/>
      <c r="CH322" s="130"/>
      <c r="CY322" s="130"/>
      <c r="CZ322" s="130"/>
      <c r="DA322" s="130"/>
      <c r="DB322" s="130"/>
      <c r="DC322" s="130"/>
      <c r="DD322" s="130"/>
      <c r="DE322" s="130"/>
      <c r="DF322" s="130"/>
      <c r="DW322" s="130"/>
      <c r="DX322" s="130"/>
      <c r="DY322" s="130"/>
      <c r="DZ322" s="130"/>
      <c r="EA322" s="130"/>
      <c r="EB322" s="130"/>
      <c r="EC322" s="130"/>
      <c r="ED322" s="130"/>
      <c r="EU322" s="130"/>
      <c r="EV322" s="130"/>
      <c r="EW322" s="130"/>
      <c r="EX322" s="130"/>
      <c r="EY322" s="130"/>
      <c r="EZ322" s="130"/>
      <c r="FA322" s="130"/>
      <c r="FB322" s="130"/>
      <c r="FS322" s="130"/>
      <c r="FT322" s="130"/>
      <c r="FU322" s="130"/>
      <c r="FV322" s="130"/>
      <c r="FW322" s="130"/>
      <c r="FX322" s="130"/>
      <c r="FY322" s="130"/>
      <c r="FZ322" s="130"/>
    </row>
    <row r="323" spans="1:188" s="3" customFormat="1">
      <c r="A323" s="80">
        <v>34</v>
      </c>
      <c r="B323" s="17">
        <v>43110</v>
      </c>
      <c r="C323" s="18"/>
      <c r="D323" s="19" t="s">
        <v>1159</v>
      </c>
      <c r="E323" s="20" t="s">
        <v>407</v>
      </c>
      <c r="F323" s="120" t="s">
        <v>1237</v>
      </c>
      <c r="G323" s="58">
        <v>1710</v>
      </c>
      <c r="H323" s="121">
        <v>2000000</v>
      </c>
      <c r="I323" s="24"/>
      <c r="J323" s="24">
        <f>H323/1.05</f>
        <v>1904761.9047619046</v>
      </c>
      <c r="K323" s="24">
        <f t="shared" si="23"/>
        <v>1904761.9047619046</v>
      </c>
      <c r="L323" s="123">
        <v>1</v>
      </c>
      <c r="M323" s="24">
        <f t="shared" si="24"/>
        <v>1904761.9047619046</v>
      </c>
      <c r="N323" s="124">
        <f t="shared" si="25"/>
        <v>0</v>
      </c>
      <c r="O323" s="107" t="s">
        <v>1216</v>
      </c>
      <c r="P323" s="125"/>
      <c r="Q323" s="125"/>
      <c r="R323" s="125"/>
      <c r="S323" s="125"/>
      <c r="T323" s="125"/>
      <c r="U323" s="125"/>
      <c r="V323" s="125"/>
      <c r="W323" s="125"/>
      <c r="X323" s="125"/>
      <c r="Y323" s="125"/>
      <c r="Z323" s="125"/>
      <c r="AA323" s="125"/>
      <c r="AB323" s="125"/>
      <c r="AC323" s="125"/>
      <c r="AD323" s="125"/>
      <c r="AE323" s="167"/>
      <c r="AF323" s="167"/>
      <c r="AG323" s="167"/>
      <c r="AH323" s="167"/>
      <c r="AI323" s="167"/>
      <c r="AJ323" s="167"/>
      <c r="AK323" s="167"/>
      <c r="AL323" s="167"/>
      <c r="AM323" s="125"/>
      <c r="AN323" s="125"/>
      <c r="AO323" s="125"/>
      <c r="AP323" s="125"/>
      <c r="AQ323" s="125"/>
      <c r="AR323" s="125"/>
      <c r="AS323" s="125"/>
      <c r="AT323" s="125"/>
      <c r="AU323" s="125"/>
      <c r="AV323" s="125"/>
      <c r="AW323" s="125"/>
      <c r="AX323" s="125"/>
      <c r="AY323" s="125"/>
      <c r="AZ323" s="125"/>
      <c r="BA323" s="125"/>
      <c r="BB323" s="125"/>
      <c r="BC323" s="167"/>
      <c r="BD323" s="167"/>
      <c r="BE323" s="167"/>
      <c r="BF323" s="167"/>
      <c r="BG323" s="167"/>
      <c r="BH323" s="167"/>
      <c r="BI323" s="167"/>
      <c r="BJ323" s="167"/>
      <c r="BK323" s="125"/>
      <c r="BL323" s="125"/>
      <c r="BM323" s="125"/>
      <c r="BN323" s="125"/>
      <c r="BO323" s="125"/>
      <c r="BP323" s="125"/>
      <c r="BQ323" s="125"/>
      <c r="BR323" s="125"/>
      <c r="BS323" s="125"/>
      <c r="BT323" s="125"/>
      <c r="BU323" s="125"/>
      <c r="BV323" s="125"/>
      <c r="BW323" s="125"/>
      <c r="BX323" s="125"/>
      <c r="BY323" s="125"/>
      <c r="BZ323" s="125"/>
      <c r="CA323" s="167"/>
      <c r="CB323" s="167"/>
      <c r="CC323" s="167"/>
      <c r="CD323" s="167"/>
      <c r="CE323" s="167"/>
      <c r="CF323" s="167"/>
      <c r="CG323" s="167"/>
      <c r="CH323" s="167"/>
      <c r="CI323" s="125"/>
      <c r="CJ323" s="125"/>
      <c r="CK323" s="125"/>
      <c r="CL323" s="125"/>
      <c r="CM323" s="125"/>
      <c r="CN323" s="125"/>
      <c r="CO323" s="125"/>
      <c r="CP323" s="125"/>
      <c r="CQ323" s="125"/>
      <c r="CR323" s="125"/>
      <c r="CS323" s="125"/>
      <c r="CT323" s="125"/>
      <c r="CU323" s="125"/>
      <c r="CV323" s="125"/>
      <c r="CW323" s="125"/>
      <c r="CX323" s="125"/>
      <c r="CY323" s="167"/>
      <c r="CZ323" s="167"/>
      <c r="DA323" s="167"/>
      <c r="DB323" s="167"/>
      <c r="DC323" s="167"/>
      <c r="DD323" s="167"/>
      <c r="DE323" s="167"/>
      <c r="DF323" s="167"/>
      <c r="DG323" s="125"/>
      <c r="DH323" s="125"/>
      <c r="DI323" s="125"/>
      <c r="DJ323" s="125"/>
      <c r="DK323" s="125"/>
      <c r="DL323" s="125"/>
      <c r="DM323" s="125"/>
      <c r="DN323" s="125"/>
      <c r="DO323" s="125"/>
      <c r="DP323" s="125"/>
      <c r="DQ323" s="125"/>
      <c r="DR323" s="125"/>
      <c r="DS323" s="125"/>
      <c r="DT323" s="125"/>
      <c r="DU323" s="125"/>
      <c r="DV323" s="125"/>
      <c r="DW323" s="167"/>
      <c r="DX323" s="167"/>
      <c r="DY323" s="167"/>
      <c r="DZ323" s="167"/>
      <c r="EA323" s="167"/>
      <c r="EB323" s="167"/>
      <c r="EC323" s="167"/>
      <c r="ED323" s="167"/>
      <c r="EE323" s="125"/>
      <c r="EF323" s="125"/>
      <c r="EG323" s="125"/>
      <c r="EH323" s="125"/>
      <c r="EI323" s="125"/>
      <c r="EJ323" s="125"/>
      <c r="EK323" s="125"/>
      <c r="EL323" s="125"/>
      <c r="EM323" s="125"/>
      <c r="EN323" s="125"/>
      <c r="EO323" s="125"/>
      <c r="EP323" s="125"/>
      <c r="EQ323" s="125"/>
      <c r="ER323" s="125"/>
      <c r="ES323" s="125"/>
      <c r="ET323" s="125"/>
      <c r="EU323" s="167"/>
      <c r="EV323" s="167"/>
      <c r="EW323" s="167"/>
      <c r="EX323" s="167"/>
      <c r="EY323" s="167"/>
      <c r="EZ323" s="167"/>
      <c r="FA323" s="167"/>
      <c r="FB323" s="167"/>
      <c r="FC323" s="125"/>
      <c r="FD323" s="125"/>
      <c r="FE323" s="125"/>
      <c r="FF323" s="125"/>
      <c r="FG323" s="125"/>
      <c r="FH323" s="125"/>
      <c r="FI323" s="125"/>
      <c r="FJ323" s="125"/>
      <c r="FK323" s="125"/>
      <c r="FL323" s="125"/>
      <c r="FM323" s="125"/>
      <c r="FN323" s="125"/>
      <c r="FO323" s="125"/>
      <c r="FP323" s="125"/>
      <c r="FQ323" s="125"/>
      <c r="FR323" s="125"/>
      <c r="FS323" s="167"/>
      <c r="FT323" s="167"/>
      <c r="FU323" s="167"/>
      <c r="FV323" s="167"/>
      <c r="FW323" s="167"/>
      <c r="FX323" s="167"/>
      <c r="FY323" s="167"/>
      <c r="FZ323" s="167"/>
      <c r="GA323" s="125"/>
      <c r="GB323" s="125"/>
      <c r="GC323" s="125"/>
      <c r="GD323" s="125"/>
      <c r="GE323" s="125"/>
      <c r="GF323" s="125"/>
    </row>
    <row r="324" spans="1:188" s="3" customFormat="1">
      <c r="A324" s="80">
        <v>35</v>
      </c>
      <c r="B324" s="29">
        <v>43110</v>
      </c>
      <c r="C324" s="18"/>
      <c r="D324" s="19" t="s">
        <v>1159</v>
      </c>
      <c r="E324" s="20" t="s">
        <v>407</v>
      </c>
      <c r="F324" s="62" t="s">
        <v>1238</v>
      </c>
      <c r="G324" s="63">
        <v>1710</v>
      </c>
      <c r="H324" s="121">
        <v>2000000</v>
      </c>
      <c r="I324" s="24"/>
      <c r="J324" s="24">
        <f>H324/1.05</f>
        <v>1904761.9047619046</v>
      </c>
      <c r="K324" s="24">
        <f t="shared" si="23"/>
        <v>1904761.9047619046</v>
      </c>
      <c r="L324" s="123">
        <v>1</v>
      </c>
      <c r="M324" s="24">
        <f t="shared" si="24"/>
        <v>1904761.9047619046</v>
      </c>
      <c r="N324" s="124">
        <f t="shared" si="25"/>
        <v>0</v>
      </c>
      <c r="O324" s="107" t="s">
        <v>1216</v>
      </c>
      <c r="P324" s="125"/>
      <c r="Q324" s="125"/>
      <c r="R324" s="125"/>
      <c r="S324" s="125"/>
      <c r="T324" s="125"/>
      <c r="U324" s="125"/>
      <c r="V324" s="187"/>
      <c r="W324" s="188"/>
      <c r="X324" s="125"/>
      <c r="Y324" s="125"/>
      <c r="Z324" s="125"/>
      <c r="AA324" s="125"/>
      <c r="AB324" s="125"/>
      <c r="AC324" s="187"/>
      <c r="AD324" s="188"/>
      <c r="AE324" s="189"/>
      <c r="AF324" s="190"/>
      <c r="AG324" s="191"/>
      <c r="AH324" s="191"/>
      <c r="AI324" s="192"/>
      <c r="AJ324" s="182"/>
      <c r="AK324" s="183"/>
      <c r="AL324" s="183"/>
      <c r="AM324" s="125"/>
      <c r="AN324" s="184"/>
      <c r="AO324" s="185"/>
      <c r="AP324" s="186"/>
      <c r="AQ324" s="125"/>
      <c r="AR324" s="125"/>
      <c r="AS324" s="125"/>
      <c r="AT324" s="125"/>
      <c r="AU324" s="125"/>
      <c r="AV324" s="125"/>
      <c r="AW324" s="125"/>
      <c r="AX324" s="125"/>
      <c r="AY324" s="125"/>
      <c r="AZ324" s="125"/>
      <c r="BA324" s="187"/>
      <c r="BB324" s="188"/>
      <c r="BC324" s="189"/>
      <c r="BD324" s="190"/>
      <c r="BE324" s="191"/>
      <c r="BF324" s="191"/>
      <c r="BG324" s="192"/>
      <c r="BH324" s="182"/>
      <c r="BI324" s="183"/>
      <c r="BJ324" s="183"/>
      <c r="BK324" s="125"/>
      <c r="BL324" s="184"/>
      <c r="BM324" s="185"/>
      <c r="BN324" s="186"/>
      <c r="BO324" s="125"/>
      <c r="BP324" s="125"/>
      <c r="BQ324" s="125"/>
      <c r="BR324" s="125"/>
      <c r="BS324" s="125"/>
      <c r="BT324" s="125"/>
      <c r="BU324" s="125"/>
      <c r="BV324" s="125"/>
      <c r="BW324" s="125"/>
      <c r="BX324" s="125"/>
      <c r="BY324" s="187"/>
      <c r="BZ324" s="188"/>
      <c r="CA324" s="189"/>
      <c r="CB324" s="190"/>
      <c r="CC324" s="191"/>
      <c r="CD324" s="191"/>
      <c r="CE324" s="192"/>
      <c r="CF324" s="182"/>
      <c r="CG324" s="183"/>
      <c r="CH324" s="183"/>
      <c r="CI324" s="125"/>
      <c r="CJ324" s="184"/>
      <c r="CK324" s="185"/>
      <c r="CL324" s="186"/>
      <c r="CM324" s="125"/>
      <c r="CN324" s="125"/>
      <c r="CO324" s="125"/>
      <c r="CP324" s="125"/>
      <c r="CQ324" s="125"/>
      <c r="CR324" s="125"/>
      <c r="CS324" s="125"/>
      <c r="CT324" s="125"/>
      <c r="CU324" s="125"/>
      <c r="CV324" s="125"/>
      <c r="CW324" s="187"/>
      <c r="CX324" s="188"/>
      <c r="CY324" s="189"/>
      <c r="CZ324" s="190"/>
      <c r="DA324" s="191"/>
      <c r="DB324" s="191"/>
      <c r="DC324" s="192"/>
      <c r="DD324" s="182"/>
      <c r="DE324" s="183"/>
      <c r="DF324" s="183"/>
      <c r="DG324" s="125"/>
      <c r="DH324" s="184"/>
      <c r="DI324" s="185"/>
      <c r="DJ324" s="186"/>
      <c r="DK324" s="125"/>
      <c r="DL324" s="125"/>
      <c r="DM324" s="125"/>
      <c r="DN324" s="125"/>
      <c r="DO324" s="125"/>
      <c r="DP324" s="125"/>
      <c r="DQ324" s="125"/>
      <c r="DR324" s="125"/>
      <c r="DS324" s="125"/>
      <c r="DT324" s="125"/>
      <c r="DU324" s="187"/>
      <c r="DV324" s="188"/>
      <c r="DW324" s="189"/>
      <c r="DX324" s="190"/>
      <c r="DY324" s="191"/>
      <c r="DZ324" s="191"/>
      <c r="EA324" s="192"/>
      <c r="EB324" s="182"/>
      <c r="EC324" s="183"/>
      <c r="ED324" s="183"/>
      <c r="EE324" s="125"/>
      <c r="EF324" s="184"/>
      <c r="EG324" s="185"/>
      <c r="EH324" s="186"/>
      <c r="EI324" s="125"/>
      <c r="EJ324" s="125"/>
      <c r="EK324" s="125"/>
      <c r="EL324" s="125"/>
      <c r="EM324" s="125"/>
      <c r="EN324" s="125"/>
      <c r="EO324" s="125"/>
      <c r="EP324" s="125"/>
      <c r="EQ324" s="125"/>
      <c r="ER324" s="125"/>
      <c r="ES324" s="187"/>
      <c r="ET324" s="188"/>
      <c r="EU324" s="189"/>
      <c r="EV324" s="190"/>
      <c r="EW324" s="191"/>
      <c r="EX324" s="191"/>
      <c r="EY324" s="192"/>
      <c r="EZ324" s="182"/>
      <c r="FA324" s="183"/>
      <c r="FB324" s="183"/>
      <c r="FC324" s="125"/>
      <c r="FD324" s="184"/>
      <c r="FE324" s="185"/>
      <c r="FF324" s="186"/>
      <c r="FG324" s="125"/>
      <c r="FH324" s="125"/>
      <c r="FI324" s="125"/>
      <c r="FJ324" s="125"/>
      <c r="FK324" s="125"/>
      <c r="FL324" s="125"/>
      <c r="FM324" s="125"/>
      <c r="FN324" s="125"/>
      <c r="FO324" s="125"/>
      <c r="FP324" s="125"/>
      <c r="FQ324" s="187"/>
      <c r="FR324" s="188"/>
      <c r="FS324" s="189"/>
      <c r="FT324" s="190"/>
      <c r="FU324" s="191"/>
      <c r="FV324" s="191"/>
      <c r="FW324" s="192"/>
      <c r="FX324" s="182"/>
      <c r="FY324" s="183"/>
      <c r="FZ324" s="183"/>
      <c r="GA324" s="125"/>
      <c r="GB324" s="184"/>
      <c r="GC324" s="185"/>
      <c r="GD324" s="186"/>
      <c r="GE324" s="125"/>
      <c r="GF324" s="125"/>
    </row>
    <row r="325" spans="1:188" s="3" customFormat="1">
      <c r="A325" s="80">
        <v>36</v>
      </c>
      <c r="B325" s="17">
        <v>43110</v>
      </c>
      <c r="C325" s="18"/>
      <c r="D325" s="19" t="s">
        <v>1159</v>
      </c>
      <c r="E325" s="20" t="s">
        <v>407</v>
      </c>
      <c r="F325" s="62" t="s">
        <v>1239</v>
      </c>
      <c r="G325" s="63">
        <v>1710</v>
      </c>
      <c r="H325" s="121">
        <v>2000000</v>
      </c>
      <c r="I325" s="24"/>
      <c r="J325" s="24">
        <f>H325/1.05</f>
        <v>1904761.9047619046</v>
      </c>
      <c r="K325" s="24">
        <f t="shared" si="23"/>
        <v>1904761.9047619046</v>
      </c>
      <c r="L325" s="123">
        <v>1</v>
      </c>
      <c r="M325" s="24">
        <f t="shared" si="24"/>
        <v>1904761.9047619046</v>
      </c>
      <c r="N325" s="124">
        <f t="shared" si="25"/>
        <v>0</v>
      </c>
      <c r="O325" s="107" t="s">
        <v>1216</v>
      </c>
      <c r="P325" s="125"/>
      <c r="Q325" s="125"/>
      <c r="R325" s="125"/>
      <c r="S325" s="125"/>
      <c r="T325" s="125"/>
      <c r="U325" s="125"/>
      <c r="V325" s="125"/>
      <c r="W325" s="125"/>
      <c r="X325" s="125"/>
      <c r="Y325" s="125"/>
      <c r="Z325" s="125"/>
      <c r="AA325" s="125"/>
      <c r="AB325" s="125"/>
      <c r="AC325" s="125"/>
      <c r="AD325" s="125"/>
      <c r="AE325" s="167"/>
      <c r="AF325" s="167"/>
      <c r="AG325" s="167"/>
      <c r="AH325" s="167"/>
      <c r="AI325" s="167"/>
      <c r="AJ325" s="167"/>
      <c r="AK325" s="167"/>
      <c r="AL325" s="167"/>
      <c r="AM325" s="125"/>
      <c r="AN325" s="125"/>
      <c r="AO325" s="125"/>
      <c r="AP325" s="125"/>
      <c r="AQ325" s="125"/>
      <c r="AR325" s="125"/>
      <c r="AS325" s="125"/>
      <c r="AT325" s="125"/>
      <c r="AU325" s="125"/>
      <c r="AV325" s="125"/>
      <c r="AW325" s="125"/>
      <c r="AX325" s="125"/>
      <c r="AY325" s="125"/>
      <c r="AZ325" s="125"/>
      <c r="BA325" s="125"/>
      <c r="BB325" s="125"/>
      <c r="BC325" s="167"/>
      <c r="BD325" s="167"/>
      <c r="BE325" s="167"/>
      <c r="BF325" s="167"/>
      <c r="BG325" s="167"/>
      <c r="BH325" s="167"/>
      <c r="BI325" s="167"/>
      <c r="BJ325" s="167"/>
      <c r="BK325" s="125"/>
      <c r="BL325" s="125"/>
      <c r="BM325" s="125"/>
      <c r="BN325" s="125"/>
      <c r="BO325" s="125"/>
      <c r="BP325" s="125"/>
      <c r="BQ325" s="125"/>
      <c r="BR325" s="125"/>
      <c r="BS325" s="125"/>
      <c r="BT325" s="125"/>
      <c r="BU325" s="125"/>
      <c r="BV325" s="125"/>
      <c r="BW325" s="125"/>
      <c r="BX325" s="125"/>
      <c r="BY325" s="125"/>
      <c r="BZ325" s="125"/>
      <c r="CA325" s="167"/>
      <c r="CB325" s="167"/>
      <c r="CC325" s="167"/>
      <c r="CD325" s="167"/>
      <c r="CE325" s="167"/>
      <c r="CF325" s="167"/>
      <c r="CG325" s="167"/>
      <c r="CH325" s="167"/>
      <c r="CI325" s="125"/>
      <c r="CJ325" s="125"/>
      <c r="CK325" s="125"/>
      <c r="CL325" s="125"/>
      <c r="CM325" s="125"/>
      <c r="CN325" s="125"/>
      <c r="CO325" s="125"/>
      <c r="CP325" s="125"/>
      <c r="CQ325" s="125"/>
      <c r="CR325" s="125"/>
      <c r="CS325" s="125"/>
      <c r="CT325" s="125"/>
      <c r="CU325" s="125"/>
      <c r="CV325" s="125"/>
      <c r="CW325" s="125"/>
      <c r="CX325" s="125"/>
      <c r="CY325" s="167"/>
      <c r="CZ325" s="167"/>
      <c r="DA325" s="167"/>
      <c r="DB325" s="167"/>
      <c r="DC325" s="167"/>
      <c r="DD325" s="167"/>
      <c r="DE325" s="167"/>
      <c r="DF325" s="167"/>
      <c r="DG325" s="125"/>
      <c r="DH325" s="125"/>
      <c r="DI325" s="125"/>
      <c r="DJ325" s="125"/>
      <c r="DK325" s="125"/>
      <c r="DL325" s="125"/>
      <c r="DM325" s="125"/>
      <c r="DN325" s="125"/>
      <c r="DO325" s="125"/>
      <c r="DP325" s="125"/>
      <c r="DQ325" s="125"/>
      <c r="DR325" s="125"/>
      <c r="DS325" s="125"/>
      <c r="DT325" s="125"/>
      <c r="DU325" s="125"/>
      <c r="DV325" s="125"/>
      <c r="DW325" s="167"/>
      <c r="DX325" s="167"/>
      <c r="DY325" s="167"/>
      <c r="DZ325" s="167"/>
      <c r="EA325" s="167"/>
      <c r="EB325" s="167"/>
      <c r="EC325" s="167"/>
      <c r="ED325" s="167"/>
      <c r="EE325" s="125"/>
      <c r="EF325" s="125"/>
      <c r="EG325" s="125"/>
      <c r="EH325" s="125"/>
      <c r="EI325" s="125"/>
      <c r="EJ325" s="125"/>
      <c r="EK325" s="125"/>
      <c r="EL325" s="125"/>
      <c r="EM325" s="125"/>
      <c r="EN325" s="125"/>
      <c r="EO325" s="125"/>
      <c r="EP325" s="125"/>
      <c r="EQ325" s="125"/>
      <c r="ER325" s="125"/>
      <c r="ES325" s="125"/>
      <c r="ET325" s="125"/>
      <c r="EU325" s="167"/>
      <c r="EV325" s="167"/>
      <c r="EW325" s="167"/>
      <c r="EX325" s="167"/>
      <c r="EY325" s="167"/>
      <c r="EZ325" s="167"/>
      <c r="FA325" s="167"/>
      <c r="FB325" s="167"/>
      <c r="FC325" s="125"/>
      <c r="FD325" s="125"/>
      <c r="FE325" s="125"/>
      <c r="FF325" s="125"/>
      <c r="FG325" s="125"/>
      <c r="FH325" s="125"/>
      <c r="FI325" s="125"/>
      <c r="FJ325" s="125"/>
      <c r="FK325" s="125"/>
      <c r="FL325" s="125"/>
      <c r="FM325" s="125"/>
      <c r="FN325" s="125"/>
      <c r="FO325" s="125"/>
      <c r="FP325" s="125"/>
      <c r="FQ325" s="125"/>
      <c r="FR325" s="125"/>
      <c r="FS325" s="167"/>
      <c r="FT325" s="167"/>
      <c r="FU325" s="167"/>
      <c r="FV325" s="167"/>
      <c r="FW325" s="167"/>
      <c r="FX325" s="167"/>
      <c r="FY325" s="167"/>
      <c r="FZ325" s="167"/>
      <c r="GA325" s="125"/>
      <c r="GB325" s="125"/>
      <c r="GC325" s="125"/>
      <c r="GD325" s="125"/>
      <c r="GE325" s="125"/>
      <c r="GF325" s="125"/>
    </row>
    <row r="326" spans="1:188" s="3" customFormat="1">
      <c r="A326" s="80">
        <v>37</v>
      </c>
      <c r="B326" s="29">
        <v>43126</v>
      </c>
      <c r="C326" s="18"/>
      <c r="D326" s="19" t="s">
        <v>1159</v>
      </c>
      <c r="E326" s="20" t="s">
        <v>407</v>
      </c>
      <c r="F326" s="82" t="s">
        <v>1240</v>
      </c>
      <c r="G326" s="58">
        <v>1711</v>
      </c>
      <c r="H326" s="121">
        <v>2061500</v>
      </c>
      <c r="I326" s="24"/>
      <c r="J326" s="24">
        <v>1963334</v>
      </c>
      <c r="K326" s="24">
        <f t="shared" si="23"/>
        <v>1963334</v>
      </c>
      <c r="L326" s="123">
        <v>1</v>
      </c>
      <c r="M326" s="24">
        <f t="shared" si="24"/>
        <v>1963334</v>
      </c>
      <c r="N326" s="124">
        <f t="shared" si="25"/>
        <v>0</v>
      </c>
      <c r="O326" s="107" t="s">
        <v>1216</v>
      </c>
      <c r="P326" s="125"/>
      <c r="Q326" s="125"/>
      <c r="R326" s="125"/>
      <c r="S326" s="125"/>
      <c r="T326" s="125"/>
      <c r="U326" s="125"/>
      <c r="V326" s="125"/>
      <c r="W326" s="125"/>
      <c r="X326" s="125"/>
      <c r="Y326" s="125"/>
      <c r="Z326" s="125"/>
      <c r="AA326" s="125"/>
      <c r="AB326" s="125"/>
      <c r="AC326" s="125"/>
      <c r="AD326" s="125"/>
      <c r="AE326" s="167"/>
      <c r="AF326" s="167"/>
      <c r="AG326" s="167"/>
      <c r="AH326" s="167"/>
      <c r="AI326" s="167"/>
      <c r="AJ326" s="167"/>
      <c r="AK326" s="167"/>
      <c r="AL326" s="167"/>
      <c r="AM326" s="125"/>
      <c r="AN326" s="125"/>
      <c r="AO326" s="125"/>
      <c r="AP326" s="125"/>
      <c r="AQ326" s="125"/>
      <c r="AR326" s="125"/>
      <c r="AS326" s="125"/>
      <c r="AT326" s="125"/>
      <c r="AU326" s="125"/>
      <c r="AV326" s="125"/>
      <c r="AW326" s="125"/>
      <c r="AX326" s="125"/>
      <c r="AY326" s="125"/>
      <c r="AZ326" s="125"/>
      <c r="BA326" s="125"/>
      <c r="BB326" s="125"/>
      <c r="BC326" s="167"/>
      <c r="BD326" s="167"/>
      <c r="BE326" s="167"/>
      <c r="BF326" s="167"/>
      <c r="BG326" s="167"/>
      <c r="BH326" s="167"/>
      <c r="BI326" s="167"/>
      <c r="BJ326" s="167"/>
      <c r="BK326" s="125"/>
      <c r="BL326" s="125"/>
      <c r="BM326" s="125"/>
      <c r="BN326" s="125"/>
      <c r="BO326" s="125"/>
      <c r="BP326" s="125"/>
      <c r="BQ326" s="125"/>
      <c r="BR326" s="125"/>
      <c r="BS326" s="125"/>
      <c r="BT326" s="125"/>
      <c r="BU326" s="125"/>
      <c r="BV326" s="125"/>
      <c r="BW326" s="125"/>
      <c r="BX326" s="125"/>
      <c r="BY326" s="125"/>
      <c r="BZ326" s="125"/>
      <c r="CA326" s="167"/>
      <c r="CB326" s="167"/>
      <c r="CC326" s="167"/>
      <c r="CD326" s="167"/>
      <c r="CE326" s="167"/>
      <c r="CF326" s="167"/>
      <c r="CG326" s="167"/>
      <c r="CH326" s="167"/>
      <c r="CI326" s="125"/>
      <c r="CJ326" s="125"/>
      <c r="CK326" s="125"/>
      <c r="CL326" s="125"/>
      <c r="CM326" s="125"/>
      <c r="CN326" s="125"/>
      <c r="CO326" s="125"/>
      <c r="CP326" s="125"/>
      <c r="CQ326" s="125"/>
      <c r="CR326" s="125"/>
      <c r="CS326" s="125"/>
      <c r="CT326" s="125"/>
      <c r="CU326" s="125"/>
      <c r="CV326" s="125"/>
      <c r="CW326" s="125"/>
      <c r="CX326" s="125"/>
      <c r="CY326" s="167"/>
      <c r="CZ326" s="167"/>
      <c r="DA326" s="167"/>
      <c r="DB326" s="167"/>
      <c r="DC326" s="167"/>
      <c r="DD326" s="167"/>
      <c r="DE326" s="167"/>
      <c r="DF326" s="167"/>
      <c r="DG326" s="125"/>
      <c r="DH326" s="125"/>
      <c r="DI326" s="125"/>
      <c r="DJ326" s="125"/>
      <c r="DK326" s="125"/>
      <c r="DL326" s="125"/>
      <c r="DM326" s="125"/>
      <c r="DN326" s="125"/>
      <c r="DO326" s="125"/>
      <c r="DP326" s="125"/>
      <c r="DQ326" s="125"/>
      <c r="DR326" s="125"/>
      <c r="DS326" s="125"/>
      <c r="DT326" s="125"/>
      <c r="DU326" s="125"/>
      <c r="DV326" s="125"/>
      <c r="DW326" s="167"/>
      <c r="DX326" s="167"/>
      <c r="DY326" s="167"/>
      <c r="DZ326" s="167"/>
      <c r="EA326" s="167"/>
      <c r="EB326" s="167"/>
      <c r="EC326" s="167"/>
      <c r="ED326" s="167"/>
      <c r="EE326" s="125"/>
      <c r="EF326" s="125"/>
      <c r="EG326" s="125"/>
      <c r="EH326" s="125"/>
      <c r="EI326" s="125"/>
      <c r="EJ326" s="125"/>
      <c r="EK326" s="125"/>
      <c r="EL326" s="125"/>
      <c r="EM326" s="125"/>
      <c r="EN326" s="125"/>
      <c r="EO326" s="125"/>
      <c r="EP326" s="125"/>
      <c r="EQ326" s="125"/>
      <c r="ER326" s="125"/>
      <c r="ES326" s="125"/>
      <c r="ET326" s="125"/>
      <c r="EU326" s="167"/>
      <c r="EV326" s="167"/>
      <c r="EW326" s="167"/>
      <c r="EX326" s="167"/>
      <c r="EY326" s="167"/>
      <c r="EZ326" s="167"/>
      <c r="FA326" s="167"/>
      <c r="FB326" s="167"/>
      <c r="FC326" s="125"/>
      <c r="FD326" s="125"/>
      <c r="FE326" s="125"/>
      <c r="FF326" s="125"/>
      <c r="FG326" s="125"/>
      <c r="FH326" s="125"/>
      <c r="FI326" s="125"/>
      <c r="FJ326" s="125"/>
      <c r="FK326" s="125"/>
      <c r="FL326" s="125"/>
      <c r="FM326" s="125"/>
      <c r="FN326" s="125"/>
      <c r="FO326" s="125"/>
      <c r="FP326" s="125"/>
      <c r="FQ326" s="125"/>
      <c r="FR326" s="125"/>
      <c r="FS326" s="167"/>
      <c r="FT326" s="167"/>
      <c r="FU326" s="167"/>
      <c r="FV326" s="167"/>
      <c r="FW326" s="167"/>
      <c r="FX326" s="167"/>
      <c r="FY326" s="167"/>
      <c r="FZ326" s="167"/>
      <c r="GA326" s="125"/>
      <c r="GB326" s="125"/>
      <c r="GC326" s="125"/>
      <c r="GD326" s="125"/>
      <c r="GE326" s="125"/>
      <c r="GF326" s="125"/>
    </row>
    <row r="327" spans="1:188" s="3" customFormat="1">
      <c r="A327" s="80">
        <v>38</v>
      </c>
      <c r="B327" s="29">
        <v>43126</v>
      </c>
      <c r="C327" s="18"/>
      <c r="D327" s="19" t="s">
        <v>1159</v>
      </c>
      <c r="E327" s="20" t="s">
        <v>407</v>
      </c>
      <c r="F327" s="120" t="s">
        <v>1241</v>
      </c>
      <c r="G327" s="63">
        <v>1711</v>
      </c>
      <c r="H327" s="121">
        <v>2061500</v>
      </c>
      <c r="I327" s="24"/>
      <c r="J327" s="24">
        <v>1963334</v>
      </c>
      <c r="K327" s="24">
        <f t="shared" si="23"/>
        <v>1963334</v>
      </c>
      <c r="L327" s="123">
        <v>1</v>
      </c>
      <c r="M327" s="24">
        <f t="shared" si="24"/>
        <v>1963334</v>
      </c>
      <c r="N327" s="124">
        <f t="shared" si="25"/>
        <v>0</v>
      </c>
      <c r="O327" s="107" t="s">
        <v>1216</v>
      </c>
      <c r="P327" s="125"/>
      <c r="Q327" s="125"/>
      <c r="R327" s="125"/>
      <c r="S327" s="125"/>
      <c r="T327" s="125"/>
      <c r="U327" s="125"/>
      <c r="V327" s="125"/>
      <c r="W327" s="125"/>
      <c r="X327" s="125"/>
      <c r="Y327" s="125"/>
      <c r="Z327" s="125"/>
      <c r="AA327" s="125"/>
      <c r="AB327" s="125"/>
      <c r="AC327" s="125"/>
      <c r="AD327" s="125"/>
      <c r="AE327" s="167"/>
      <c r="AF327" s="167"/>
      <c r="AG327" s="167"/>
      <c r="AH327" s="167"/>
      <c r="AI327" s="167"/>
      <c r="AJ327" s="167"/>
      <c r="AK327" s="167"/>
      <c r="AL327" s="167"/>
      <c r="AM327" s="125"/>
      <c r="AN327" s="125"/>
      <c r="AO327" s="125"/>
      <c r="AP327" s="125"/>
      <c r="AQ327" s="125"/>
      <c r="AR327" s="125"/>
      <c r="AS327" s="125"/>
      <c r="AT327" s="125"/>
      <c r="AU327" s="125"/>
      <c r="AV327" s="125"/>
      <c r="AW327" s="125"/>
      <c r="AX327" s="125"/>
      <c r="AY327" s="125"/>
      <c r="AZ327" s="125"/>
      <c r="BA327" s="125"/>
      <c r="BB327" s="125"/>
      <c r="BC327" s="167"/>
      <c r="BD327" s="167"/>
      <c r="BE327" s="167"/>
      <c r="BF327" s="167"/>
      <c r="BG327" s="167"/>
      <c r="BH327" s="167"/>
      <c r="BI327" s="167"/>
      <c r="BJ327" s="167"/>
      <c r="BK327" s="125"/>
      <c r="BL327" s="125"/>
      <c r="BM327" s="125"/>
      <c r="BN327" s="125"/>
      <c r="BO327" s="125"/>
      <c r="BP327" s="125"/>
      <c r="BQ327" s="125"/>
      <c r="BR327" s="125"/>
      <c r="BS327" s="125"/>
      <c r="BT327" s="125"/>
      <c r="BU327" s="125"/>
      <c r="BV327" s="125"/>
      <c r="BW327" s="125"/>
      <c r="BX327" s="125"/>
      <c r="BY327" s="125"/>
      <c r="BZ327" s="125"/>
      <c r="CA327" s="167"/>
      <c r="CB327" s="167"/>
      <c r="CC327" s="167"/>
      <c r="CD327" s="167"/>
      <c r="CE327" s="167"/>
      <c r="CF327" s="167"/>
      <c r="CG327" s="167"/>
      <c r="CH327" s="167"/>
      <c r="CI327" s="125"/>
      <c r="CJ327" s="125"/>
      <c r="CK327" s="125"/>
      <c r="CL327" s="125"/>
      <c r="CM327" s="125"/>
      <c r="CN327" s="125"/>
      <c r="CO327" s="125"/>
      <c r="CP327" s="125"/>
      <c r="CQ327" s="125"/>
      <c r="CR327" s="125"/>
      <c r="CS327" s="125"/>
      <c r="CT327" s="125"/>
      <c r="CU327" s="125"/>
      <c r="CV327" s="125"/>
      <c r="CW327" s="125"/>
      <c r="CX327" s="125"/>
      <c r="CY327" s="167"/>
      <c r="CZ327" s="167"/>
      <c r="DA327" s="167"/>
      <c r="DB327" s="167"/>
      <c r="DC327" s="167"/>
      <c r="DD327" s="167"/>
      <c r="DE327" s="167"/>
      <c r="DF327" s="167"/>
      <c r="DG327" s="125"/>
      <c r="DH327" s="125"/>
      <c r="DI327" s="125"/>
      <c r="DJ327" s="125"/>
      <c r="DK327" s="125"/>
      <c r="DL327" s="125"/>
      <c r="DM327" s="125"/>
      <c r="DN327" s="125"/>
      <c r="DO327" s="125"/>
      <c r="DP327" s="125"/>
      <c r="DQ327" s="125"/>
      <c r="DR327" s="125"/>
      <c r="DS327" s="125"/>
      <c r="DT327" s="125"/>
      <c r="DU327" s="125"/>
      <c r="DV327" s="125"/>
      <c r="DW327" s="167"/>
      <c r="DX327" s="167"/>
      <c r="DY327" s="167"/>
      <c r="DZ327" s="167"/>
      <c r="EA327" s="167"/>
      <c r="EB327" s="167"/>
      <c r="EC327" s="167"/>
      <c r="ED327" s="167"/>
      <c r="EE327" s="125"/>
      <c r="EF327" s="125"/>
      <c r="EG327" s="125"/>
      <c r="EH327" s="125"/>
      <c r="EI327" s="125"/>
      <c r="EJ327" s="125"/>
      <c r="EK327" s="125"/>
      <c r="EL327" s="125"/>
      <c r="EM327" s="125"/>
      <c r="EN327" s="125"/>
      <c r="EO327" s="125"/>
      <c r="EP327" s="125"/>
      <c r="EQ327" s="125"/>
      <c r="ER327" s="125"/>
      <c r="ES327" s="125"/>
      <c r="ET327" s="125"/>
      <c r="EU327" s="167"/>
      <c r="EV327" s="167"/>
      <c r="EW327" s="167"/>
      <c r="EX327" s="167"/>
      <c r="EY327" s="167"/>
      <c r="EZ327" s="167"/>
      <c r="FA327" s="167"/>
      <c r="FB327" s="167"/>
      <c r="FC327" s="125"/>
      <c r="FD327" s="125"/>
      <c r="FE327" s="125"/>
      <c r="FF327" s="125"/>
      <c r="FG327" s="125"/>
      <c r="FH327" s="125"/>
      <c r="FI327" s="125"/>
      <c r="FJ327" s="125"/>
      <c r="FK327" s="125"/>
      <c r="FL327" s="125"/>
      <c r="FM327" s="125"/>
      <c r="FN327" s="125"/>
      <c r="FO327" s="125"/>
      <c r="FP327" s="125"/>
      <c r="FQ327" s="125"/>
      <c r="FR327" s="125"/>
      <c r="FS327" s="167"/>
      <c r="FT327" s="167"/>
      <c r="FU327" s="167"/>
      <c r="FV327" s="167"/>
      <c r="FW327" s="167"/>
      <c r="FX327" s="167"/>
      <c r="FY327" s="167"/>
      <c r="FZ327" s="167"/>
      <c r="GA327" s="125"/>
      <c r="GB327" s="125"/>
      <c r="GC327" s="125"/>
      <c r="GD327" s="125"/>
      <c r="GE327" s="125"/>
      <c r="GF327" s="125"/>
    </row>
    <row r="328" spans="1:188" s="3" customFormat="1">
      <c r="A328" s="80">
        <v>39</v>
      </c>
      <c r="B328" s="29">
        <v>43111</v>
      </c>
      <c r="C328" s="18"/>
      <c r="D328" s="19" t="s">
        <v>1165</v>
      </c>
      <c r="E328" s="20" t="s">
        <v>413</v>
      </c>
      <c r="F328" s="62" t="s">
        <v>1242</v>
      </c>
      <c r="G328" s="63">
        <v>1709</v>
      </c>
      <c r="H328" s="121">
        <v>2010000</v>
      </c>
      <c r="I328" s="24"/>
      <c r="J328" s="24">
        <f>H328/1.05</f>
        <v>1914285.7142857143</v>
      </c>
      <c r="K328" s="24">
        <f t="shared" si="23"/>
        <v>1914285.7142857143</v>
      </c>
      <c r="L328" s="123">
        <v>1</v>
      </c>
      <c r="M328" s="24">
        <f t="shared" si="24"/>
        <v>1914285.7142857143</v>
      </c>
      <c r="N328" s="124">
        <f t="shared" si="25"/>
        <v>0</v>
      </c>
      <c r="O328" s="107" t="s">
        <v>1216</v>
      </c>
      <c r="P328" s="125"/>
      <c r="Q328" s="125"/>
      <c r="R328" s="125"/>
      <c r="S328" s="125"/>
      <c r="T328" s="125"/>
      <c r="U328" s="125"/>
      <c r="V328" s="125"/>
      <c r="W328" s="125"/>
      <c r="X328" s="125"/>
      <c r="Y328" s="125"/>
      <c r="Z328" s="125"/>
      <c r="AA328" s="125"/>
      <c r="AB328" s="125"/>
      <c r="AC328" s="125"/>
      <c r="AD328" s="125"/>
      <c r="AE328" s="167"/>
      <c r="AF328" s="167"/>
      <c r="AG328" s="167"/>
      <c r="AH328" s="167"/>
      <c r="AI328" s="167"/>
      <c r="AJ328" s="167"/>
      <c r="AK328" s="167"/>
      <c r="AL328" s="167"/>
      <c r="AM328" s="125"/>
      <c r="AN328" s="125"/>
      <c r="AO328" s="125"/>
      <c r="AP328" s="125"/>
      <c r="AQ328" s="125"/>
      <c r="AR328" s="125"/>
      <c r="AS328" s="125"/>
      <c r="AT328" s="125"/>
      <c r="AU328" s="125"/>
      <c r="AV328" s="125"/>
      <c r="AW328" s="125"/>
      <c r="AX328" s="125"/>
      <c r="AY328" s="125"/>
      <c r="AZ328" s="125"/>
      <c r="BA328" s="125"/>
      <c r="BB328" s="125"/>
      <c r="BC328" s="167"/>
      <c r="BD328" s="167"/>
      <c r="BE328" s="167"/>
      <c r="BF328" s="167"/>
      <c r="BG328" s="167"/>
      <c r="BH328" s="167"/>
      <c r="BI328" s="167"/>
      <c r="BJ328" s="167"/>
      <c r="BK328" s="125"/>
      <c r="BL328" s="125"/>
      <c r="BM328" s="125"/>
      <c r="BN328" s="125"/>
      <c r="BO328" s="125"/>
      <c r="BP328" s="125"/>
      <c r="BQ328" s="125"/>
      <c r="BR328" s="125"/>
      <c r="BS328" s="125"/>
      <c r="BT328" s="125"/>
      <c r="BU328" s="125"/>
      <c r="BV328" s="125"/>
      <c r="BW328" s="125"/>
      <c r="BX328" s="125"/>
      <c r="BY328" s="125"/>
      <c r="BZ328" s="125"/>
      <c r="CA328" s="167"/>
      <c r="CB328" s="167"/>
      <c r="CC328" s="167"/>
      <c r="CD328" s="167"/>
      <c r="CE328" s="167"/>
      <c r="CF328" s="167"/>
      <c r="CG328" s="167"/>
      <c r="CH328" s="167"/>
      <c r="CI328" s="125"/>
      <c r="CJ328" s="125"/>
      <c r="CK328" s="125"/>
      <c r="CL328" s="125"/>
      <c r="CM328" s="125"/>
      <c r="CN328" s="125"/>
      <c r="CO328" s="125"/>
      <c r="CP328" s="125"/>
      <c r="CQ328" s="125"/>
      <c r="CR328" s="125"/>
      <c r="CS328" s="125"/>
      <c r="CT328" s="125"/>
      <c r="CU328" s="125"/>
      <c r="CV328" s="125"/>
      <c r="CW328" s="125"/>
      <c r="CX328" s="125"/>
      <c r="CY328" s="167"/>
      <c r="CZ328" s="167"/>
      <c r="DA328" s="167"/>
      <c r="DB328" s="167"/>
      <c r="DC328" s="167"/>
      <c r="DD328" s="167"/>
      <c r="DE328" s="167"/>
      <c r="DF328" s="167"/>
      <c r="DG328" s="125"/>
      <c r="DH328" s="125"/>
      <c r="DI328" s="125"/>
      <c r="DJ328" s="125"/>
      <c r="DK328" s="125"/>
      <c r="DL328" s="125"/>
      <c r="DM328" s="125"/>
      <c r="DN328" s="125"/>
      <c r="DO328" s="125"/>
      <c r="DP328" s="125"/>
      <c r="DQ328" s="125"/>
      <c r="DR328" s="125"/>
      <c r="DS328" s="125"/>
      <c r="DT328" s="125"/>
      <c r="DU328" s="125"/>
      <c r="DV328" s="125"/>
      <c r="DW328" s="167"/>
      <c r="DX328" s="167"/>
      <c r="DY328" s="167"/>
      <c r="DZ328" s="167"/>
      <c r="EA328" s="167"/>
      <c r="EB328" s="167"/>
      <c r="EC328" s="167"/>
      <c r="ED328" s="167"/>
      <c r="EE328" s="125"/>
      <c r="EF328" s="125"/>
      <c r="EG328" s="125"/>
      <c r="EH328" s="125"/>
      <c r="EI328" s="125"/>
      <c r="EJ328" s="125"/>
      <c r="EK328" s="125"/>
      <c r="EL328" s="125"/>
      <c r="EM328" s="125"/>
      <c r="EN328" s="125"/>
      <c r="EO328" s="125"/>
      <c r="EP328" s="125"/>
      <c r="EQ328" s="125"/>
      <c r="ER328" s="125"/>
      <c r="ES328" s="125"/>
      <c r="ET328" s="125"/>
      <c r="EU328" s="167"/>
      <c r="EV328" s="167"/>
      <c r="EW328" s="167"/>
      <c r="EX328" s="167"/>
      <c r="EY328" s="167"/>
      <c r="EZ328" s="167"/>
      <c r="FA328" s="167"/>
      <c r="FB328" s="167"/>
      <c r="FC328" s="125"/>
      <c r="FD328" s="125"/>
      <c r="FE328" s="125"/>
      <c r="FF328" s="125"/>
      <c r="FG328" s="125"/>
      <c r="FH328" s="125"/>
      <c r="FI328" s="125"/>
      <c r="FJ328" s="125"/>
      <c r="FK328" s="125"/>
      <c r="FL328" s="125"/>
      <c r="FM328" s="125"/>
      <c r="FN328" s="125"/>
      <c r="FO328" s="125"/>
      <c r="FP328" s="125"/>
      <c r="FQ328" s="125"/>
      <c r="FR328" s="125"/>
      <c r="FS328" s="167"/>
      <c r="FT328" s="167"/>
      <c r="FU328" s="167"/>
      <c r="FV328" s="167"/>
      <c r="FW328" s="167"/>
      <c r="FX328" s="167"/>
      <c r="FY328" s="167"/>
      <c r="FZ328" s="167"/>
      <c r="GA328" s="125"/>
      <c r="GB328" s="125"/>
      <c r="GC328" s="125"/>
      <c r="GD328" s="125"/>
      <c r="GE328" s="125"/>
      <c r="GF328" s="125"/>
    </row>
    <row r="329" spans="1:188" s="3" customFormat="1">
      <c r="A329" s="80">
        <v>40</v>
      </c>
      <c r="B329" s="29">
        <v>43097</v>
      </c>
      <c r="C329" s="18"/>
      <c r="D329" s="19" t="s">
        <v>1163</v>
      </c>
      <c r="E329" s="20" t="s">
        <v>321</v>
      </c>
      <c r="F329" s="62" t="s">
        <v>322</v>
      </c>
      <c r="G329" s="63">
        <v>1711</v>
      </c>
      <c r="H329" s="121">
        <f>22500+2585000</f>
        <v>2607500</v>
      </c>
      <c r="I329" s="24">
        <v>2483333</v>
      </c>
      <c r="J329" s="24"/>
      <c r="K329" s="24">
        <f t="shared" si="23"/>
        <v>2483333</v>
      </c>
      <c r="L329" s="123">
        <v>1</v>
      </c>
      <c r="M329" s="24">
        <f t="shared" si="24"/>
        <v>2483333</v>
      </c>
      <c r="N329" s="124">
        <f t="shared" si="25"/>
        <v>0</v>
      </c>
      <c r="O329" s="107" t="s">
        <v>1216</v>
      </c>
      <c r="AE329" s="130"/>
      <c r="AF329" s="130"/>
      <c r="AG329" s="130"/>
      <c r="AH329" s="130"/>
      <c r="AI329" s="130"/>
      <c r="AJ329" s="130"/>
      <c r="AK329" s="130"/>
      <c r="AL329" s="130"/>
      <c r="BC329" s="130"/>
      <c r="BD329" s="130"/>
      <c r="BE329" s="130"/>
      <c r="BF329" s="130"/>
      <c r="BG329" s="130"/>
      <c r="BH329" s="130"/>
      <c r="BI329" s="130"/>
      <c r="BJ329" s="130"/>
      <c r="CA329" s="130"/>
      <c r="CB329" s="130"/>
      <c r="CC329" s="130"/>
      <c r="CD329" s="130"/>
      <c r="CE329" s="130"/>
      <c r="CF329" s="130"/>
      <c r="CG329" s="130"/>
      <c r="CH329" s="130"/>
      <c r="CY329" s="130"/>
      <c r="CZ329" s="130"/>
      <c r="DA329" s="130"/>
      <c r="DB329" s="130"/>
      <c r="DC329" s="130"/>
      <c r="DD329" s="130"/>
      <c r="DE329" s="130"/>
      <c r="DF329" s="130"/>
      <c r="DW329" s="130"/>
      <c r="DX329" s="130"/>
      <c r="DY329" s="130"/>
      <c r="DZ329" s="130"/>
      <c r="EA329" s="130"/>
      <c r="EB329" s="130"/>
      <c r="EC329" s="130"/>
      <c r="ED329" s="130"/>
      <c r="EU329" s="130"/>
      <c r="EV329" s="130"/>
      <c r="EW329" s="130"/>
      <c r="EX329" s="130"/>
      <c r="EY329" s="130"/>
      <c r="EZ329" s="130"/>
      <c r="FA329" s="130"/>
      <c r="FB329" s="130"/>
      <c r="FS329" s="130"/>
      <c r="FT329" s="130"/>
      <c r="FU329" s="130"/>
      <c r="FV329" s="130"/>
      <c r="FW329" s="130"/>
      <c r="FX329" s="130"/>
      <c r="FY329" s="130"/>
      <c r="FZ329" s="130"/>
    </row>
    <row r="330" spans="1:188" s="3" customFormat="1">
      <c r="A330" s="80">
        <v>41</v>
      </c>
      <c r="B330" s="17">
        <v>43108</v>
      </c>
      <c r="C330" s="18"/>
      <c r="D330" s="19" t="s">
        <v>1169</v>
      </c>
      <c r="E330" s="20" t="s">
        <v>330</v>
      </c>
      <c r="F330" s="62" t="s">
        <v>1243</v>
      </c>
      <c r="G330" s="63">
        <v>1708</v>
      </c>
      <c r="H330" s="121">
        <v>2440000</v>
      </c>
      <c r="I330" s="24"/>
      <c r="J330" s="24">
        <f>H330/1.05</f>
        <v>2323809.5238095238</v>
      </c>
      <c r="K330" s="24">
        <f t="shared" si="23"/>
        <v>2323809.5238095238</v>
      </c>
      <c r="L330" s="123">
        <v>1</v>
      </c>
      <c r="M330" s="24">
        <f t="shared" si="24"/>
        <v>2323809.5238095238</v>
      </c>
      <c r="N330" s="124">
        <f t="shared" si="25"/>
        <v>0</v>
      </c>
      <c r="O330" s="107" t="s">
        <v>1216</v>
      </c>
      <c r="AE330" s="130"/>
      <c r="AF330" s="130"/>
      <c r="AG330" s="130"/>
      <c r="AH330" s="130"/>
      <c r="AI330" s="130"/>
      <c r="AJ330" s="130"/>
      <c r="AK330" s="130"/>
      <c r="AL330" s="130"/>
      <c r="BC330" s="130"/>
      <c r="BD330" s="130"/>
      <c r="BE330" s="130"/>
      <c r="BF330" s="130"/>
      <c r="BG330" s="130"/>
      <c r="BH330" s="130"/>
      <c r="BI330" s="130"/>
      <c r="BJ330" s="130"/>
      <c r="CA330" s="130"/>
      <c r="CB330" s="130"/>
      <c r="CC330" s="130"/>
      <c r="CD330" s="130"/>
      <c r="CE330" s="130"/>
      <c r="CF330" s="130"/>
      <c r="CG330" s="130"/>
      <c r="CH330" s="130"/>
      <c r="CY330" s="130"/>
      <c r="CZ330" s="130"/>
      <c r="DA330" s="130"/>
      <c r="DB330" s="130"/>
      <c r="DC330" s="130"/>
      <c r="DD330" s="130"/>
      <c r="DE330" s="130"/>
      <c r="DF330" s="130"/>
      <c r="DW330" s="130"/>
      <c r="DX330" s="130"/>
      <c r="DY330" s="130"/>
      <c r="DZ330" s="130"/>
      <c r="EA330" s="130"/>
      <c r="EB330" s="130"/>
      <c r="EC330" s="130"/>
      <c r="ED330" s="130"/>
      <c r="EU330" s="130"/>
      <c r="EV330" s="130"/>
      <c r="EW330" s="130"/>
      <c r="EX330" s="130"/>
      <c r="EY330" s="130"/>
      <c r="EZ330" s="130"/>
      <c r="FA330" s="130"/>
      <c r="FB330" s="130"/>
      <c r="FS330" s="130"/>
      <c r="FT330" s="130"/>
      <c r="FU330" s="130"/>
      <c r="FV330" s="130"/>
      <c r="FW330" s="130"/>
      <c r="FX330" s="130"/>
      <c r="FY330" s="130"/>
      <c r="FZ330" s="130"/>
    </row>
    <row r="331" spans="1:188" s="3" customFormat="1">
      <c r="A331" s="80">
        <v>42</v>
      </c>
      <c r="B331" s="29">
        <v>43130</v>
      </c>
      <c r="C331" s="18"/>
      <c r="D331" s="19" t="s">
        <v>1169</v>
      </c>
      <c r="E331" s="20" t="s">
        <v>341</v>
      </c>
      <c r="F331" s="82" t="s">
        <v>1244</v>
      </c>
      <c r="G331" s="63">
        <v>1710</v>
      </c>
      <c r="H331" s="121">
        <v>2630000</v>
      </c>
      <c r="I331" s="24"/>
      <c r="J331" s="24">
        <f>H331/1.05</f>
        <v>2504761.9047619049</v>
      </c>
      <c r="K331" s="24">
        <f t="shared" si="23"/>
        <v>2504761.9047619049</v>
      </c>
      <c r="L331" s="123">
        <v>1</v>
      </c>
      <c r="M331" s="24">
        <f t="shared" si="24"/>
        <v>2504761.9047619049</v>
      </c>
      <c r="N331" s="124">
        <f t="shared" si="25"/>
        <v>0</v>
      </c>
      <c r="O331" s="107" t="s">
        <v>1216</v>
      </c>
      <c r="P331" s="125"/>
      <c r="Q331" s="125"/>
      <c r="R331" s="125"/>
      <c r="S331" s="125"/>
      <c r="T331" s="125"/>
      <c r="U331" s="125"/>
      <c r="V331" s="125"/>
      <c r="W331" s="125"/>
      <c r="X331" s="125"/>
      <c r="Y331" s="125"/>
      <c r="Z331" s="125"/>
      <c r="AA331" s="125"/>
      <c r="AB331" s="125"/>
      <c r="AC331" s="125"/>
      <c r="AD331" s="125"/>
      <c r="AE331" s="167"/>
      <c r="AF331" s="167"/>
      <c r="AG331" s="167"/>
      <c r="AH331" s="167"/>
      <c r="AI331" s="167"/>
      <c r="AJ331" s="167"/>
      <c r="AK331" s="167"/>
      <c r="AL331" s="167"/>
      <c r="AM331" s="125"/>
      <c r="AN331" s="125"/>
      <c r="AO331" s="125"/>
      <c r="AP331" s="125"/>
      <c r="AQ331" s="125"/>
      <c r="AR331" s="125"/>
      <c r="AS331" s="125"/>
      <c r="AT331" s="125"/>
      <c r="AU331" s="125"/>
      <c r="AV331" s="125"/>
      <c r="AW331" s="125"/>
      <c r="AX331" s="125"/>
      <c r="AY331" s="125"/>
      <c r="AZ331" s="125"/>
      <c r="BA331" s="125"/>
      <c r="BB331" s="125"/>
      <c r="BC331" s="167"/>
      <c r="BD331" s="167"/>
      <c r="BE331" s="167"/>
      <c r="BF331" s="167"/>
      <c r="BG331" s="167"/>
      <c r="BH331" s="167"/>
      <c r="BI331" s="167"/>
      <c r="BJ331" s="167"/>
      <c r="BK331" s="125"/>
      <c r="BL331" s="125"/>
      <c r="BM331" s="125"/>
      <c r="BN331" s="125"/>
      <c r="BO331" s="125"/>
      <c r="BP331" s="125"/>
      <c r="BQ331" s="125"/>
      <c r="BR331" s="125"/>
      <c r="BS331" s="125"/>
      <c r="BT331" s="125"/>
      <c r="BU331" s="125"/>
      <c r="BV331" s="125"/>
      <c r="BW331" s="125"/>
      <c r="BX331" s="125"/>
      <c r="BY331" s="125"/>
      <c r="BZ331" s="125"/>
      <c r="CA331" s="167"/>
      <c r="CB331" s="167"/>
      <c r="CC331" s="167"/>
      <c r="CD331" s="167"/>
      <c r="CE331" s="167"/>
      <c r="CF331" s="167"/>
      <c r="CG331" s="167"/>
      <c r="CH331" s="167"/>
      <c r="CI331" s="125"/>
      <c r="CJ331" s="125"/>
      <c r="CK331" s="125"/>
      <c r="CL331" s="125"/>
      <c r="CM331" s="125"/>
      <c r="CN331" s="125"/>
      <c r="CO331" s="125"/>
      <c r="CP331" s="125"/>
      <c r="CQ331" s="125"/>
      <c r="CR331" s="125"/>
      <c r="CS331" s="125"/>
      <c r="CT331" s="125"/>
      <c r="CU331" s="125"/>
      <c r="CV331" s="125"/>
      <c r="CW331" s="125"/>
      <c r="CX331" s="125"/>
      <c r="CY331" s="167"/>
      <c r="CZ331" s="167"/>
      <c r="DA331" s="167"/>
      <c r="DB331" s="167"/>
      <c r="DC331" s="167"/>
      <c r="DD331" s="167"/>
      <c r="DE331" s="167"/>
      <c r="DF331" s="167"/>
      <c r="DG331" s="125"/>
      <c r="DH331" s="125"/>
      <c r="DI331" s="125"/>
      <c r="DJ331" s="125"/>
      <c r="DK331" s="125"/>
      <c r="DL331" s="125"/>
      <c r="DM331" s="125"/>
      <c r="DN331" s="125"/>
      <c r="DO331" s="125"/>
      <c r="DP331" s="125"/>
      <c r="DQ331" s="125"/>
      <c r="DR331" s="125"/>
      <c r="DS331" s="125"/>
      <c r="DT331" s="125"/>
      <c r="DU331" s="125"/>
      <c r="DV331" s="125"/>
      <c r="DW331" s="167"/>
      <c r="DX331" s="167"/>
      <c r="DY331" s="167"/>
      <c r="DZ331" s="167"/>
      <c r="EA331" s="167"/>
      <c r="EB331" s="167"/>
      <c r="EC331" s="167"/>
      <c r="ED331" s="167"/>
      <c r="EE331" s="125"/>
      <c r="EF331" s="125"/>
      <c r="EG331" s="125"/>
      <c r="EH331" s="125"/>
      <c r="EI331" s="125"/>
      <c r="EJ331" s="125"/>
      <c r="EK331" s="125"/>
      <c r="EL331" s="125"/>
      <c r="EM331" s="125"/>
      <c r="EN331" s="125"/>
      <c r="EO331" s="125"/>
      <c r="EP331" s="125"/>
      <c r="EQ331" s="125"/>
      <c r="ER331" s="125"/>
      <c r="ES331" s="125"/>
      <c r="ET331" s="125"/>
      <c r="EU331" s="167"/>
      <c r="EV331" s="167"/>
      <c r="EW331" s="167"/>
      <c r="EX331" s="167"/>
      <c r="EY331" s="167"/>
      <c r="EZ331" s="167"/>
      <c r="FA331" s="167"/>
      <c r="FB331" s="167"/>
      <c r="FC331" s="125"/>
      <c r="FD331" s="125"/>
      <c r="FE331" s="125"/>
      <c r="FF331" s="125"/>
      <c r="FG331" s="125"/>
      <c r="FH331" s="125"/>
      <c r="FI331" s="125"/>
      <c r="FJ331" s="125"/>
      <c r="FK331" s="125"/>
      <c r="FL331" s="125"/>
      <c r="FM331" s="125"/>
      <c r="FN331" s="125"/>
      <c r="FO331" s="125"/>
      <c r="FP331" s="125"/>
      <c r="FQ331" s="125"/>
      <c r="FR331" s="125"/>
      <c r="FS331" s="167"/>
      <c r="FT331" s="167"/>
      <c r="FU331" s="167"/>
      <c r="FV331" s="167"/>
      <c r="FW331" s="167"/>
      <c r="FX331" s="167"/>
      <c r="FY331" s="167"/>
      <c r="FZ331" s="167"/>
      <c r="GA331" s="125"/>
      <c r="GB331" s="125"/>
      <c r="GC331" s="125"/>
      <c r="GD331" s="125"/>
      <c r="GE331" s="125"/>
      <c r="GF331" s="125"/>
    </row>
    <row r="332" spans="1:188" s="3" customFormat="1">
      <c r="A332" s="80">
        <v>43</v>
      </c>
      <c r="B332" s="29">
        <v>43122</v>
      </c>
      <c r="C332" s="18" t="s">
        <v>1088</v>
      </c>
      <c r="D332" s="19" t="s">
        <v>1169</v>
      </c>
      <c r="E332" s="20" t="s">
        <v>1245</v>
      </c>
      <c r="F332" s="24" t="s">
        <v>1246</v>
      </c>
      <c r="G332" s="181">
        <v>1707</v>
      </c>
      <c r="H332" s="121">
        <f>3130000+16250</f>
        <v>3146250</v>
      </c>
      <c r="I332" s="24"/>
      <c r="J332" s="24">
        <f>H332/1.05</f>
        <v>2996428.5714285714</v>
      </c>
      <c r="K332" s="24">
        <f t="shared" si="23"/>
        <v>2996428.5714285714</v>
      </c>
      <c r="L332" s="123">
        <v>1</v>
      </c>
      <c r="M332" s="24">
        <f t="shared" si="24"/>
        <v>2996428.5714285714</v>
      </c>
      <c r="N332" s="124">
        <f t="shared" si="25"/>
        <v>0</v>
      </c>
      <c r="O332" s="107" t="s">
        <v>1216</v>
      </c>
      <c r="P332" s="125"/>
      <c r="Q332" s="125"/>
      <c r="R332" s="125"/>
      <c r="S332" s="125"/>
      <c r="T332" s="125"/>
      <c r="U332" s="125"/>
      <c r="V332" s="125"/>
      <c r="W332" s="125"/>
      <c r="X332" s="125"/>
      <c r="Y332" s="125"/>
      <c r="Z332" s="125"/>
      <c r="AA332" s="125"/>
      <c r="AB332" s="125"/>
      <c r="AC332" s="125"/>
      <c r="AD332" s="125"/>
      <c r="AE332" s="167"/>
      <c r="AF332" s="167"/>
      <c r="AG332" s="167"/>
      <c r="AH332" s="167"/>
      <c r="AI332" s="167"/>
      <c r="AJ332" s="167"/>
      <c r="AK332" s="167"/>
      <c r="AL332" s="167"/>
      <c r="AM332" s="125"/>
      <c r="AN332" s="125"/>
      <c r="AO332" s="125"/>
      <c r="AP332" s="125"/>
      <c r="AQ332" s="125"/>
      <c r="AR332" s="125"/>
      <c r="AS332" s="125"/>
      <c r="AT332" s="125"/>
      <c r="AU332" s="125"/>
      <c r="AV332" s="125"/>
      <c r="AW332" s="125"/>
      <c r="AX332" s="125"/>
      <c r="AY332" s="125"/>
      <c r="AZ332" s="125"/>
      <c r="BA332" s="125"/>
      <c r="BB332" s="125"/>
      <c r="BC332" s="167"/>
      <c r="BD332" s="167"/>
      <c r="BE332" s="167"/>
      <c r="BF332" s="167"/>
      <c r="BG332" s="167"/>
      <c r="BH332" s="167"/>
      <c r="BI332" s="167"/>
      <c r="BJ332" s="167"/>
      <c r="BK332" s="125"/>
      <c r="BL332" s="125"/>
      <c r="BM332" s="125"/>
      <c r="BN332" s="125"/>
      <c r="BO332" s="125"/>
      <c r="BP332" s="125"/>
      <c r="BQ332" s="125"/>
      <c r="BR332" s="125"/>
      <c r="BS332" s="125"/>
      <c r="BT332" s="125"/>
      <c r="BU332" s="125"/>
      <c r="BV332" s="125"/>
      <c r="BW332" s="125"/>
      <c r="BX332" s="125"/>
      <c r="BY332" s="125"/>
      <c r="BZ332" s="125"/>
      <c r="CA332" s="167"/>
      <c r="CB332" s="167"/>
      <c r="CC332" s="167"/>
      <c r="CD332" s="167"/>
      <c r="CE332" s="167"/>
      <c r="CF332" s="167"/>
      <c r="CG332" s="167"/>
      <c r="CH332" s="167"/>
      <c r="CI332" s="125"/>
      <c r="CJ332" s="125"/>
      <c r="CK332" s="125"/>
      <c r="CL332" s="125"/>
      <c r="CM332" s="125"/>
      <c r="CN332" s="125"/>
      <c r="CO332" s="125"/>
      <c r="CP332" s="125"/>
      <c r="CQ332" s="125"/>
      <c r="CR332" s="125"/>
      <c r="CS332" s="125"/>
      <c r="CT332" s="125"/>
      <c r="CU332" s="125"/>
      <c r="CV332" s="125"/>
      <c r="CW332" s="125"/>
      <c r="CX332" s="125"/>
      <c r="CY332" s="167"/>
      <c r="CZ332" s="167"/>
      <c r="DA332" s="167"/>
      <c r="DB332" s="167"/>
      <c r="DC332" s="167"/>
      <c r="DD332" s="167"/>
      <c r="DE332" s="167"/>
      <c r="DF332" s="167"/>
      <c r="DG332" s="125"/>
      <c r="DH332" s="125"/>
      <c r="DI332" s="125"/>
      <c r="DJ332" s="125"/>
      <c r="DK332" s="125"/>
      <c r="DL332" s="125"/>
      <c r="DM332" s="125"/>
      <c r="DN332" s="125"/>
      <c r="DO332" s="125"/>
      <c r="DP332" s="125"/>
      <c r="DQ332" s="125"/>
      <c r="DR332" s="125"/>
      <c r="DS332" s="125"/>
      <c r="DT332" s="125"/>
      <c r="DU332" s="125"/>
      <c r="DV332" s="125"/>
      <c r="DW332" s="167"/>
      <c r="DX332" s="167"/>
      <c r="DY332" s="167"/>
      <c r="DZ332" s="167"/>
      <c r="EA332" s="167"/>
      <c r="EB332" s="167"/>
      <c r="EC332" s="167"/>
      <c r="ED332" s="167"/>
      <c r="EE332" s="125"/>
      <c r="EF332" s="125"/>
      <c r="EG332" s="125"/>
      <c r="EH332" s="125"/>
      <c r="EI332" s="125"/>
      <c r="EJ332" s="125"/>
      <c r="EK332" s="125"/>
      <c r="EL332" s="125"/>
      <c r="EM332" s="125"/>
      <c r="EN332" s="125"/>
      <c r="EO332" s="125"/>
      <c r="EP332" s="125"/>
      <c r="EQ332" s="125"/>
      <c r="ER332" s="125"/>
      <c r="ES332" s="125"/>
      <c r="ET332" s="125"/>
      <c r="EU332" s="167"/>
      <c r="EV332" s="167"/>
      <c r="EW332" s="167"/>
      <c r="EX332" s="167"/>
      <c r="EY332" s="167"/>
      <c r="EZ332" s="167"/>
      <c r="FA332" s="167"/>
      <c r="FB332" s="167"/>
      <c r="FC332" s="125"/>
      <c r="FD332" s="125"/>
      <c r="FE332" s="125"/>
      <c r="FF332" s="125"/>
      <c r="FG332" s="125"/>
      <c r="FH332" s="125"/>
      <c r="FI332" s="125"/>
      <c r="FJ332" s="125"/>
      <c r="FK332" s="125"/>
      <c r="FL332" s="125"/>
      <c r="FM332" s="125"/>
      <c r="FN332" s="125"/>
      <c r="FO332" s="125"/>
      <c r="FP332" s="125"/>
      <c r="FQ332" s="125"/>
      <c r="FR332" s="125"/>
      <c r="FS332" s="167"/>
      <c r="FT332" s="167"/>
      <c r="FU332" s="167"/>
      <c r="FV332" s="167"/>
      <c r="FW332" s="167"/>
      <c r="FX332" s="167"/>
      <c r="FY332" s="167"/>
      <c r="FZ332" s="167"/>
      <c r="GA332" s="125"/>
      <c r="GB332" s="125"/>
      <c r="GC332" s="125"/>
      <c r="GD332" s="125"/>
      <c r="GE332" s="125"/>
      <c r="GF332" s="125"/>
    </row>
    <row r="333" spans="1:188" s="3" customFormat="1">
      <c r="A333" s="80">
        <v>44</v>
      </c>
      <c r="B333" s="17">
        <v>43108</v>
      </c>
      <c r="C333" s="18"/>
      <c r="D333" s="19" t="s">
        <v>1169</v>
      </c>
      <c r="E333" s="20" t="s">
        <v>348</v>
      </c>
      <c r="F333" s="62" t="s">
        <v>1247</v>
      </c>
      <c r="G333" s="63">
        <v>1709</v>
      </c>
      <c r="H333" s="121">
        <v>2960000</v>
      </c>
      <c r="I333" s="24"/>
      <c r="J333" s="24">
        <v>2819047</v>
      </c>
      <c r="K333" s="24">
        <f t="shared" si="23"/>
        <v>2819047</v>
      </c>
      <c r="L333" s="123">
        <v>1</v>
      </c>
      <c r="M333" s="24">
        <f t="shared" si="24"/>
        <v>2819047</v>
      </c>
      <c r="N333" s="124">
        <f t="shared" si="25"/>
        <v>0</v>
      </c>
      <c r="O333" s="107" t="s">
        <v>1216</v>
      </c>
      <c r="AE333" s="130"/>
      <c r="AF333" s="130"/>
      <c r="AG333" s="130"/>
      <c r="AH333" s="130"/>
      <c r="AI333" s="130"/>
      <c r="AJ333" s="130"/>
      <c r="AK333" s="130"/>
      <c r="AL333" s="130"/>
      <c r="BC333" s="130"/>
      <c r="BD333" s="130"/>
      <c r="BE333" s="130"/>
      <c r="BF333" s="130"/>
      <c r="BG333" s="130"/>
      <c r="BH333" s="130"/>
      <c r="BI333" s="130"/>
      <c r="BJ333" s="130"/>
      <c r="CA333" s="130"/>
      <c r="CB333" s="130"/>
      <c r="CC333" s="130"/>
      <c r="CD333" s="130"/>
      <c r="CE333" s="130"/>
      <c r="CF333" s="130"/>
      <c r="CG333" s="130"/>
      <c r="CH333" s="130"/>
      <c r="CY333" s="130"/>
      <c r="CZ333" s="130"/>
      <c r="DA333" s="130"/>
      <c r="DB333" s="130"/>
      <c r="DC333" s="130"/>
      <c r="DD333" s="130"/>
      <c r="DE333" s="130"/>
      <c r="DF333" s="130"/>
      <c r="DW333" s="130"/>
      <c r="DX333" s="130"/>
      <c r="DY333" s="130"/>
      <c r="DZ333" s="130"/>
      <c r="EA333" s="130"/>
      <c r="EB333" s="130"/>
      <c r="EC333" s="130"/>
      <c r="ED333" s="130"/>
      <c r="EU333" s="130"/>
      <c r="EV333" s="130"/>
      <c r="EW333" s="130"/>
      <c r="EX333" s="130"/>
      <c r="EY333" s="130"/>
      <c r="EZ333" s="130"/>
      <c r="FA333" s="130"/>
      <c r="FB333" s="130"/>
      <c r="FS333" s="130"/>
      <c r="FT333" s="130"/>
      <c r="FU333" s="130"/>
      <c r="FV333" s="130"/>
      <c r="FW333" s="130"/>
      <c r="FX333" s="130"/>
      <c r="FY333" s="130"/>
      <c r="FZ333" s="130"/>
    </row>
    <row r="334" spans="1:188" s="3" customFormat="1">
      <c r="A334" s="80">
        <v>45</v>
      </c>
      <c r="B334" s="17">
        <v>43124</v>
      </c>
      <c r="C334" s="18" t="s">
        <v>1234</v>
      </c>
      <c r="D334" s="19" t="s">
        <v>1169</v>
      </c>
      <c r="E334" s="20" t="s">
        <v>1245</v>
      </c>
      <c r="F334" s="168" t="s">
        <v>1248</v>
      </c>
      <c r="G334" s="63">
        <v>1709</v>
      </c>
      <c r="H334" s="121">
        <v>3130000</v>
      </c>
      <c r="I334" s="24"/>
      <c r="J334" s="24">
        <v>2980952</v>
      </c>
      <c r="K334" s="24">
        <f t="shared" si="23"/>
        <v>2980952</v>
      </c>
      <c r="L334" s="123">
        <v>1</v>
      </c>
      <c r="M334" s="24">
        <f t="shared" si="24"/>
        <v>2980952</v>
      </c>
      <c r="N334" s="124">
        <f t="shared" si="25"/>
        <v>0</v>
      </c>
      <c r="O334" s="107" t="s">
        <v>1216</v>
      </c>
      <c r="P334" s="125"/>
      <c r="Q334" s="125"/>
      <c r="R334" s="125"/>
      <c r="S334" s="125"/>
      <c r="T334" s="125"/>
      <c r="U334" s="125"/>
      <c r="V334" s="125"/>
      <c r="W334" s="125"/>
      <c r="X334" s="125"/>
      <c r="Y334" s="125"/>
      <c r="Z334" s="125"/>
      <c r="AA334" s="125"/>
      <c r="AB334" s="125"/>
      <c r="AC334" s="125"/>
      <c r="AD334" s="125"/>
      <c r="AE334" s="167"/>
      <c r="AF334" s="167"/>
      <c r="AG334" s="167"/>
      <c r="AH334" s="167"/>
      <c r="AI334" s="167"/>
      <c r="AJ334" s="167"/>
      <c r="AK334" s="167"/>
      <c r="AL334" s="167"/>
      <c r="AM334" s="125"/>
      <c r="AN334" s="125"/>
      <c r="AO334" s="125"/>
      <c r="AP334" s="125"/>
      <c r="AQ334" s="125"/>
      <c r="AR334" s="125"/>
      <c r="AS334" s="125"/>
      <c r="AT334" s="125"/>
      <c r="AU334" s="125"/>
      <c r="AV334" s="125"/>
      <c r="AW334" s="125"/>
      <c r="AX334" s="125"/>
      <c r="AY334" s="125"/>
      <c r="AZ334" s="125"/>
      <c r="BA334" s="125"/>
      <c r="BB334" s="125"/>
      <c r="BC334" s="167"/>
      <c r="BD334" s="167"/>
      <c r="BE334" s="167"/>
      <c r="BF334" s="167"/>
      <c r="BG334" s="167"/>
      <c r="BH334" s="167"/>
      <c r="BI334" s="167"/>
      <c r="BJ334" s="167"/>
      <c r="BK334" s="125"/>
      <c r="BL334" s="125"/>
      <c r="BM334" s="125"/>
      <c r="BN334" s="125"/>
      <c r="BO334" s="125"/>
      <c r="BP334" s="125"/>
      <c r="BQ334" s="125"/>
      <c r="BR334" s="125"/>
      <c r="BS334" s="125"/>
      <c r="BT334" s="125"/>
      <c r="BU334" s="125"/>
      <c r="BV334" s="125"/>
      <c r="BW334" s="125"/>
      <c r="BX334" s="125"/>
      <c r="BY334" s="125"/>
      <c r="BZ334" s="125"/>
      <c r="CA334" s="167"/>
      <c r="CB334" s="167"/>
      <c r="CC334" s="167"/>
      <c r="CD334" s="167"/>
      <c r="CE334" s="167"/>
      <c r="CF334" s="167"/>
      <c r="CG334" s="167"/>
      <c r="CH334" s="167"/>
      <c r="CI334" s="125"/>
      <c r="CJ334" s="125"/>
      <c r="CK334" s="125"/>
      <c r="CL334" s="125"/>
      <c r="CM334" s="125"/>
      <c r="CN334" s="125"/>
      <c r="CO334" s="125"/>
      <c r="CP334" s="125"/>
      <c r="CQ334" s="125"/>
      <c r="CR334" s="125"/>
      <c r="CS334" s="125"/>
      <c r="CT334" s="125"/>
      <c r="CU334" s="125"/>
      <c r="CV334" s="125"/>
      <c r="CW334" s="125"/>
      <c r="CX334" s="125"/>
      <c r="CY334" s="167"/>
      <c r="CZ334" s="167"/>
      <c r="DA334" s="167"/>
      <c r="DB334" s="167"/>
      <c r="DC334" s="167"/>
      <c r="DD334" s="167"/>
      <c r="DE334" s="167"/>
      <c r="DF334" s="167"/>
      <c r="DG334" s="125"/>
      <c r="DH334" s="125"/>
      <c r="DI334" s="125"/>
      <c r="DJ334" s="125"/>
      <c r="DK334" s="125"/>
      <c r="DL334" s="125"/>
      <c r="DM334" s="125"/>
      <c r="DN334" s="125"/>
      <c r="DO334" s="125"/>
      <c r="DP334" s="125"/>
      <c r="DQ334" s="125"/>
      <c r="DR334" s="125"/>
      <c r="DS334" s="125"/>
      <c r="DT334" s="125"/>
      <c r="DU334" s="125"/>
      <c r="DV334" s="125"/>
      <c r="DW334" s="167"/>
      <c r="DX334" s="167"/>
      <c r="DY334" s="167"/>
      <c r="DZ334" s="167"/>
      <c r="EA334" s="167"/>
      <c r="EB334" s="167"/>
      <c r="EC334" s="167"/>
      <c r="ED334" s="167"/>
      <c r="EE334" s="125"/>
      <c r="EF334" s="125"/>
      <c r="EG334" s="125"/>
      <c r="EH334" s="125"/>
      <c r="EI334" s="125"/>
      <c r="EJ334" s="125"/>
      <c r="EK334" s="125"/>
      <c r="EL334" s="125"/>
      <c r="EM334" s="125"/>
      <c r="EN334" s="125"/>
      <c r="EO334" s="125"/>
      <c r="EP334" s="125"/>
      <c r="EQ334" s="125"/>
      <c r="ER334" s="125"/>
      <c r="ES334" s="125"/>
      <c r="ET334" s="125"/>
      <c r="EU334" s="167"/>
      <c r="EV334" s="167"/>
      <c r="EW334" s="167"/>
      <c r="EX334" s="167"/>
      <c r="EY334" s="167"/>
      <c r="EZ334" s="167"/>
      <c r="FA334" s="167"/>
      <c r="FB334" s="167"/>
      <c r="FC334" s="125"/>
      <c r="FD334" s="125"/>
      <c r="FE334" s="125"/>
      <c r="FF334" s="125"/>
      <c r="FG334" s="125"/>
      <c r="FH334" s="125"/>
      <c r="FI334" s="125"/>
      <c r="FJ334" s="125"/>
      <c r="FK334" s="125"/>
      <c r="FL334" s="125"/>
      <c r="FM334" s="125"/>
      <c r="FN334" s="125"/>
      <c r="FO334" s="125"/>
      <c r="FP334" s="125"/>
      <c r="FQ334" s="125"/>
      <c r="FR334" s="125"/>
      <c r="FS334" s="167"/>
      <c r="FT334" s="167"/>
      <c r="FU334" s="167"/>
      <c r="FV334" s="167"/>
      <c r="FW334" s="167"/>
      <c r="FX334" s="167"/>
      <c r="FY334" s="167"/>
      <c r="FZ334" s="167"/>
      <c r="GA334" s="125"/>
      <c r="GB334" s="125"/>
      <c r="GC334" s="125"/>
      <c r="GD334" s="125"/>
      <c r="GE334" s="125"/>
      <c r="GF334" s="125"/>
    </row>
    <row r="335" spans="1:188" s="3" customFormat="1">
      <c r="A335" s="80">
        <v>46</v>
      </c>
      <c r="B335" s="17">
        <v>43094</v>
      </c>
      <c r="C335" s="18"/>
      <c r="D335" s="19" t="s">
        <v>1169</v>
      </c>
      <c r="E335" s="20" t="s">
        <v>353</v>
      </c>
      <c r="F335" s="168" t="s">
        <v>356</v>
      </c>
      <c r="G335" s="63">
        <v>1709</v>
      </c>
      <c r="H335" s="121">
        <v>3055000</v>
      </c>
      <c r="I335" s="24">
        <v>2909524</v>
      </c>
      <c r="J335" s="24"/>
      <c r="K335" s="24">
        <f t="shared" si="23"/>
        <v>2909524</v>
      </c>
      <c r="L335" s="123">
        <v>1</v>
      </c>
      <c r="M335" s="24">
        <f t="shared" si="24"/>
        <v>2909524</v>
      </c>
      <c r="N335" s="124">
        <f t="shared" si="25"/>
        <v>0</v>
      </c>
      <c r="O335" s="107" t="s">
        <v>1216</v>
      </c>
      <c r="AE335" s="141"/>
      <c r="AF335" s="142"/>
      <c r="AG335" s="142"/>
      <c r="AH335" s="142"/>
      <c r="AI335" s="142"/>
      <c r="AJ335" s="142"/>
      <c r="AK335" s="142"/>
      <c r="AL335" s="143"/>
      <c r="BC335" s="141"/>
      <c r="BD335" s="142"/>
      <c r="BE335" s="142"/>
      <c r="BF335" s="142"/>
      <c r="BG335" s="142"/>
      <c r="BH335" s="142"/>
      <c r="BI335" s="142"/>
      <c r="BJ335" s="143"/>
      <c r="CA335" s="141"/>
      <c r="CB335" s="142"/>
      <c r="CC335" s="142"/>
      <c r="CD335" s="142"/>
      <c r="CE335" s="142"/>
      <c r="CF335" s="142"/>
      <c r="CG335" s="142"/>
      <c r="CH335" s="143"/>
      <c r="CY335" s="141"/>
      <c r="CZ335" s="142"/>
      <c r="DA335" s="142"/>
      <c r="DB335" s="142"/>
      <c r="DC335" s="142"/>
      <c r="DD335" s="142"/>
      <c r="DE335" s="142"/>
      <c r="DF335" s="143"/>
      <c r="DW335" s="141"/>
      <c r="DX335" s="142"/>
      <c r="DY335" s="142"/>
      <c r="DZ335" s="142"/>
      <c r="EA335" s="142"/>
      <c r="EB335" s="142"/>
      <c r="EC335" s="142"/>
      <c r="ED335" s="143"/>
      <c r="EU335" s="141"/>
      <c r="EV335" s="142"/>
      <c r="EW335" s="142"/>
      <c r="EX335" s="142"/>
      <c r="EY335" s="142"/>
      <c r="EZ335" s="142"/>
      <c r="FA335" s="142"/>
      <c r="FB335" s="143"/>
      <c r="FS335" s="141"/>
      <c r="FT335" s="142"/>
      <c r="FU335" s="142"/>
      <c r="FV335" s="142"/>
      <c r="FW335" s="142"/>
      <c r="FX335" s="142"/>
      <c r="FY335" s="142"/>
      <c r="FZ335" s="143"/>
    </row>
    <row r="336" spans="1:188" s="3" customFormat="1">
      <c r="A336" s="80">
        <v>47</v>
      </c>
      <c r="B336" s="17">
        <v>43126</v>
      </c>
      <c r="C336" s="18"/>
      <c r="D336" s="19" t="s">
        <v>1169</v>
      </c>
      <c r="E336" s="20" t="s">
        <v>720</v>
      </c>
      <c r="F336" s="120" t="s">
        <v>1249</v>
      </c>
      <c r="G336" s="58">
        <v>1711</v>
      </c>
      <c r="H336" s="121">
        <v>3524700</v>
      </c>
      <c r="I336" s="24"/>
      <c r="J336" s="24">
        <f>H336/1.05</f>
        <v>3356857.1428571427</v>
      </c>
      <c r="K336" s="24">
        <f t="shared" si="23"/>
        <v>3356857.1428571427</v>
      </c>
      <c r="L336" s="123">
        <v>1</v>
      </c>
      <c r="M336" s="24">
        <f t="shared" si="24"/>
        <v>3356857.1428571427</v>
      </c>
      <c r="N336" s="124">
        <f t="shared" si="25"/>
        <v>0</v>
      </c>
      <c r="O336" s="107" t="s">
        <v>1216</v>
      </c>
      <c r="P336" s="125"/>
      <c r="Q336" s="125"/>
      <c r="R336" s="125"/>
      <c r="S336" s="125"/>
      <c r="T336" s="125"/>
      <c r="U336" s="125"/>
      <c r="V336" s="125"/>
      <c r="W336" s="125"/>
      <c r="X336" s="125"/>
      <c r="Y336" s="125"/>
      <c r="Z336" s="125"/>
      <c r="AA336" s="125"/>
      <c r="AB336" s="125"/>
      <c r="AC336" s="125"/>
      <c r="AD336" s="125"/>
      <c r="AE336" s="167"/>
      <c r="AF336" s="167"/>
      <c r="AG336" s="167"/>
      <c r="AH336" s="167"/>
      <c r="AI336" s="167"/>
      <c r="AJ336" s="167"/>
      <c r="AK336" s="167"/>
      <c r="AL336" s="167"/>
      <c r="AM336" s="125"/>
      <c r="AN336" s="125"/>
      <c r="AO336" s="125"/>
      <c r="AP336" s="125"/>
      <c r="AQ336" s="125"/>
      <c r="AR336" s="125"/>
      <c r="AS336" s="125"/>
      <c r="AT336" s="125"/>
      <c r="AU336" s="125"/>
      <c r="AV336" s="125"/>
      <c r="AW336" s="125"/>
      <c r="AX336" s="125"/>
      <c r="AY336" s="125"/>
      <c r="AZ336" s="125"/>
      <c r="BA336" s="125"/>
      <c r="BB336" s="125"/>
      <c r="BC336" s="167"/>
      <c r="BD336" s="167"/>
      <c r="BE336" s="167"/>
      <c r="BF336" s="167"/>
      <c r="BG336" s="167"/>
      <c r="BH336" s="167"/>
      <c r="BI336" s="167"/>
      <c r="BJ336" s="167"/>
      <c r="BK336" s="125"/>
      <c r="BL336" s="125"/>
      <c r="BM336" s="125"/>
      <c r="BN336" s="125"/>
      <c r="BO336" s="125"/>
      <c r="BP336" s="125"/>
      <c r="BQ336" s="125"/>
      <c r="BR336" s="125"/>
      <c r="BS336" s="125"/>
      <c r="BT336" s="125"/>
      <c r="BU336" s="125"/>
      <c r="BV336" s="125"/>
      <c r="BW336" s="125"/>
      <c r="BX336" s="125"/>
      <c r="BY336" s="125"/>
      <c r="BZ336" s="125"/>
      <c r="CA336" s="167"/>
      <c r="CB336" s="167"/>
      <c r="CC336" s="167"/>
      <c r="CD336" s="167"/>
      <c r="CE336" s="167"/>
      <c r="CF336" s="167"/>
      <c r="CG336" s="167"/>
      <c r="CH336" s="167"/>
      <c r="CI336" s="125"/>
      <c r="CJ336" s="125"/>
      <c r="CK336" s="125"/>
      <c r="CL336" s="125"/>
      <c r="CM336" s="125"/>
      <c r="CN336" s="125"/>
      <c r="CO336" s="125"/>
      <c r="CP336" s="125"/>
      <c r="CQ336" s="125"/>
      <c r="CR336" s="125"/>
      <c r="CS336" s="125"/>
      <c r="CT336" s="125"/>
      <c r="CU336" s="125"/>
      <c r="CV336" s="125"/>
      <c r="CW336" s="125"/>
      <c r="CX336" s="125"/>
      <c r="CY336" s="167"/>
      <c r="CZ336" s="167"/>
      <c r="DA336" s="167"/>
      <c r="DB336" s="167"/>
      <c r="DC336" s="167"/>
      <c r="DD336" s="167"/>
      <c r="DE336" s="167"/>
      <c r="DF336" s="167"/>
      <c r="DG336" s="125"/>
      <c r="DH336" s="125"/>
      <c r="DI336" s="125"/>
      <c r="DJ336" s="125"/>
      <c r="DK336" s="125"/>
      <c r="DL336" s="125"/>
      <c r="DM336" s="125"/>
      <c r="DN336" s="125"/>
      <c r="DO336" s="125"/>
      <c r="DP336" s="125"/>
      <c r="DQ336" s="125"/>
      <c r="DR336" s="125"/>
      <c r="DS336" s="125"/>
      <c r="DT336" s="125"/>
      <c r="DU336" s="125"/>
      <c r="DV336" s="125"/>
      <c r="DW336" s="167"/>
      <c r="DX336" s="167"/>
      <c r="DY336" s="167"/>
      <c r="DZ336" s="167"/>
      <c r="EA336" s="167"/>
      <c r="EB336" s="167"/>
      <c r="EC336" s="167"/>
      <c r="ED336" s="167"/>
      <c r="EE336" s="125"/>
      <c r="EF336" s="125"/>
      <c r="EG336" s="125"/>
      <c r="EH336" s="125"/>
      <c r="EI336" s="125"/>
      <c r="EJ336" s="125"/>
      <c r="EK336" s="125"/>
      <c r="EL336" s="125"/>
      <c r="EM336" s="125"/>
      <c r="EN336" s="125"/>
      <c r="EO336" s="125"/>
      <c r="EP336" s="125"/>
      <c r="EQ336" s="125"/>
      <c r="ER336" s="125"/>
      <c r="ES336" s="125"/>
      <c r="ET336" s="125"/>
      <c r="EU336" s="167"/>
      <c r="EV336" s="167"/>
      <c r="EW336" s="167"/>
      <c r="EX336" s="167"/>
      <c r="EY336" s="167"/>
      <c r="EZ336" s="167"/>
      <c r="FA336" s="167"/>
      <c r="FB336" s="167"/>
      <c r="FC336" s="125"/>
      <c r="FD336" s="125"/>
      <c r="FE336" s="125"/>
      <c r="FF336" s="125"/>
      <c r="FG336" s="125"/>
      <c r="FH336" s="125"/>
      <c r="FI336" s="125"/>
      <c r="FJ336" s="125"/>
      <c r="FK336" s="125"/>
      <c r="FL336" s="125"/>
      <c r="FM336" s="125"/>
      <c r="FN336" s="125"/>
      <c r="FO336" s="125"/>
      <c r="FP336" s="125"/>
      <c r="FQ336" s="125"/>
      <c r="FR336" s="125"/>
      <c r="FS336" s="167"/>
      <c r="FT336" s="167"/>
      <c r="FU336" s="167"/>
      <c r="FV336" s="167"/>
      <c r="FW336" s="167"/>
      <c r="FX336" s="167"/>
      <c r="FY336" s="167"/>
      <c r="FZ336" s="167"/>
      <c r="GA336" s="125"/>
      <c r="GB336" s="125"/>
      <c r="GC336" s="125"/>
      <c r="GD336" s="125"/>
      <c r="GE336" s="125"/>
      <c r="GF336" s="125"/>
    </row>
    <row r="337" spans="1:188" s="3" customFormat="1">
      <c r="A337" s="80">
        <v>48</v>
      </c>
      <c r="B337" s="29">
        <v>43116</v>
      </c>
      <c r="C337" s="18"/>
      <c r="D337" s="19" t="s">
        <v>1179</v>
      </c>
      <c r="E337" s="20" t="s">
        <v>424</v>
      </c>
      <c r="F337" s="62" t="s">
        <v>1250</v>
      </c>
      <c r="G337" s="63">
        <v>1710</v>
      </c>
      <c r="H337" s="121">
        <v>3310800</v>
      </c>
      <c r="I337" s="24"/>
      <c r="J337" s="24">
        <v>3167536</v>
      </c>
      <c r="K337" s="24">
        <f t="shared" si="23"/>
        <v>3167536</v>
      </c>
      <c r="L337" s="123">
        <v>1</v>
      </c>
      <c r="M337" s="24">
        <f t="shared" si="24"/>
        <v>3167536</v>
      </c>
      <c r="N337" s="124">
        <f t="shared" si="25"/>
        <v>0</v>
      </c>
      <c r="O337" s="107" t="s">
        <v>1216</v>
      </c>
      <c r="AE337" s="130"/>
      <c r="AF337" s="130"/>
      <c r="AG337" s="130"/>
      <c r="AH337" s="130"/>
      <c r="AI337" s="130"/>
      <c r="AJ337" s="130"/>
      <c r="AK337" s="130"/>
      <c r="AL337" s="130"/>
      <c r="BC337" s="130"/>
      <c r="BD337" s="130"/>
      <c r="BE337" s="130"/>
      <c r="BF337" s="130"/>
      <c r="BG337" s="130"/>
      <c r="BH337" s="130"/>
      <c r="BI337" s="130"/>
      <c r="BJ337" s="130"/>
      <c r="CA337" s="130"/>
      <c r="CB337" s="130"/>
      <c r="CC337" s="130"/>
      <c r="CD337" s="130"/>
      <c r="CE337" s="130"/>
      <c r="CF337" s="130"/>
      <c r="CG337" s="130"/>
      <c r="CH337" s="130"/>
      <c r="CY337" s="130"/>
      <c r="CZ337" s="130"/>
      <c r="DA337" s="130"/>
      <c r="DB337" s="130"/>
      <c r="DC337" s="130"/>
      <c r="DD337" s="130"/>
      <c r="DE337" s="130"/>
      <c r="DF337" s="130"/>
      <c r="DW337" s="130"/>
      <c r="DX337" s="130"/>
      <c r="DY337" s="130"/>
      <c r="DZ337" s="130"/>
      <c r="EA337" s="130"/>
      <c r="EB337" s="130"/>
      <c r="EC337" s="130"/>
      <c r="ED337" s="130"/>
      <c r="EU337" s="130"/>
      <c r="EV337" s="130"/>
      <c r="EW337" s="130"/>
      <c r="EX337" s="130"/>
      <c r="EY337" s="130"/>
      <c r="EZ337" s="130"/>
      <c r="FA337" s="130"/>
      <c r="FB337" s="130"/>
      <c r="FS337" s="130"/>
      <c r="FT337" s="130"/>
      <c r="FU337" s="130"/>
      <c r="FV337" s="130"/>
      <c r="FW337" s="130"/>
      <c r="FX337" s="130"/>
      <c r="FY337" s="130"/>
      <c r="FZ337" s="130"/>
    </row>
    <row r="338" spans="1:188" s="3" customFormat="1">
      <c r="A338" s="80">
        <v>49</v>
      </c>
      <c r="B338" s="17">
        <v>43130</v>
      </c>
      <c r="C338" s="18"/>
      <c r="D338" s="19" t="s">
        <v>1179</v>
      </c>
      <c r="E338" s="20" t="s">
        <v>424</v>
      </c>
      <c r="F338" s="120" t="s">
        <v>1251</v>
      </c>
      <c r="G338" s="58">
        <v>1710</v>
      </c>
      <c r="H338" s="121">
        <v>3310800</v>
      </c>
      <c r="I338" s="24"/>
      <c r="J338" s="24">
        <v>3167917</v>
      </c>
      <c r="K338" s="24">
        <f t="shared" si="23"/>
        <v>3167917</v>
      </c>
      <c r="L338" s="123">
        <v>1</v>
      </c>
      <c r="M338" s="24">
        <f t="shared" si="24"/>
        <v>3167917</v>
      </c>
      <c r="N338" s="124">
        <f t="shared" si="25"/>
        <v>0</v>
      </c>
      <c r="O338" s="107" t="s">
        <v>1216</v>
      </c>
      <c r="P338" s="125"/>
      <c r="Q338" s="125"/>
      <c r="R338" s="125"/>
      <c r="S338" s="125"/>
      <c r="T338" s="125"/>
      <c r="U338" s="125"/>
      <c r="V338" s="125"/>
      <c r="W338" s="125"/>
      <c r="X338" s="125"/>
      <c r="Y338" s="125"/>
      <c r="Z338" s="125"/>
      <c r="AA338" s="125"/>
      <c r="AB338" s="125"/>
      <c r="AC338" s="125"/>
      <c r="AD338" s="125"/>
      <c r="AE338" s="167"/>
      <c r="AF338" s="167"/>
      <c r="AG338" s="167"/>
      <c r="AH338" s="167"/>
      <c r="AI338" s="167"/>
      <c r="AJ338" s="167"/>
      <c r="AK338" s="167"/>
      <c r="AL338" s="167"/>
      <c r="AM338" s="125"/>
      <c r="AN338" s="125"/>
      <c r="AO338" s="125"/>
      <c r="AP338" s="125"/>
      <c r="AQ338" s="125"/>
      <c r="AR338" s="125"/>
      <c r="AS338" s="125"/>
      <c r="AT338" s="125"/>
      <c r="AU338" s="125"/>
      <c r="AV338" s="125"/>
      <c r="AW338" s="125"/>
      <c r="AX338" s="125"/>
      <c r="AY338" s="125"/>
      <c r="AZ338" s="125"/>
      <c r="BA338" s="125"/>
      <c r="BB338" s="125"/>
      <c r="BC338" s="167"/>
      <c r="BD338" s="167"/>
      <c r="BE338" s="167"/>
      <c r="BF338" s="167"/>
      <c r="BG338" s="167"/>
      <c r="BH338" s="167"/>
      <c r="BI338" s="167"/>
      <c r="BJ338" s="167"/>
      <c r="BK338" s="125"/>
      <c r="BL338" s="125"/>
      <c r="BM338" s="125"/>
      <c r="BN338" s="125"/>
      <c r="BO338" s="125"/>
      <c r="BP338" s="125"/>
      <c r="BQ338" s="125"/>
      <c r="BR338" s="125"/>
      <c r="BS338" s="125"/>
      <c r="BT338" s="125"/>
      <c r="BU338" s="125"/>
      <c r="BV338" s="125"/>
      <c r="BW338" s="125"/>
      <c r="BX338" s="125"/>
      <c r="BY338" s="125"/>
      <c r="BZ338" s="125"/>
      <c r="CA338" s="167"/>
      <c r="CB338" s="167"/>
      <c r="CC338" s="167"/>
      <c r="CD338" s="167"/>
      <c r="CE338" s="167"/>
      <c r="CF338" s="167"/>
      <c r="CG338" s="167"/>
      <c r="CH338" s="167"/>
      <c r="CI338" s="125"/>
      <c r="CJ338" s="125"/>
      <c r="CK338" s="125"/>
      <c r="CL338" s="125"/>
      <c r="CM338" s="125"/>
      <c r="CN338" s="125"/>
      <c r="CO338" s="125"/>
      <c r="CP338" s="125"/>
      <c r="CQ338" s="125"/>
      <c r="CR338" s="125"/>
      <c r="CS338" s="125"/>
      <c r="CT338" s="125"/>
      <c r="CU338" s="125"/>
      <c r="CV338" s="125"/>
      <c r="CW338" s="125"/>
      <c r="CX338" s="125"/>
      <c r="CY338" s="167"/>
      <c r="CZ338" s="167"/>
      <c r="DA338" s="167"/>
      <c r="DB338" s="167"/>
      <c r="DC338" s="167"/>
      <c r="DD338" s="167"/>
      <c r="DE338" s="167"/>
      <c r="DF338" s="167"/>
      <c r="DG338" s="125"/>
      <c r="DH338" s="125"/>
      <c r="DI338" s="125"/>
      <c r="DJ338" s="125"/>
      <c r="DK338" s="125"/>
      <c r="DL338" s="125"/>
      <c r="DM338" s="125"/>
      <c r="DN338" s="125"/>
      <c r="DO338" s="125"/>
      <c r="DP338" s="125"/>
      <c r="DQ338" s="125"/>
      <c r="DR338" s="125"/>
      <c r="DS338" s="125"/>
      <c r="DT338" s="125"/>
      <c r="DU338" s="125"/>
      <c r="DV338" s="125"/>
      <c r="DW338" s="167"/>
      <c r="DX338" s="167"/>
      <c r="DY338" s="167"/>
      <c r="DZ338" s="167"/>
      <c r="EA338" s="167"/>
      <c r="EB338" s="167"/>
      <c r="EC338" s="167"/>
      <c r="ED338" s="167"/>
      <c r="EE338" s="125"/>
      <c r="EF338" s="125"/>
      <c r="EG338" s="125"/>
      <c r="EH338" s="125"/>
      <c r="EI338" s="125"/>
      <c r="EJ338" s="125"/>
      <c r="EK338" s="125"/>
      <c r="EL338" s="125"/>
      <c r="EM338" s="125"/>
      <c r="EN338" s="125"/>
      <c r="EO338" s="125"/>
      <c r="EP338" s="125"/>
      <c r="EQ338" s="125"/>
      <c r="ER338" s="125"/>
      <c r="ES338" s="125"/>
      <c r="ET338" s="125"/>
      <c r="EU338" s="167"/>
      <c r="EV338" s="167"/>
      <c r="EW338" s="167"/>
      <c r="EX338" s="167"/>
      <c r="EY338" s="167"/>
      <c r="EZ338" s="167"/>
      <c r="FA338" s="167"/>
      <c r="FB338" s="167"/>
      <c r="FC338" s="125"/>
      <c r="FD338" s="125"/>
      <c r="FE338" s="125"/>
      <c r="FF338" s="125"/>
      <c r="FG338" s="125"/>
      <c r="FH338" s="125"/>
      <c r="FI338" s="125"/>
      <c r="FJ338" s="125"/>
      <c r="FK338" s="125"/>
      <c r="FL338" s="125"/>
      <c r="FM338" s="125"/>
      <c r="FN338" s="125"/>
      <c r="FO338" s="125"/>
      <c r="FP338" s="125"/>
      <c r="FQ338" s="125"/>
      <c r="FR338" s="125"/>
      <c r="FS338" s="167"/>
      <c r="FT338" s="167"/>
      <c r="FU338" s="167"/>
      <c r="FV338" s="167"/>
      <c r="FW338" s="167"/>
      <c r="FX338" s="167"/>
      <c r="FY338" s="167"/>
      <c r="FZ338" s="167"/>
      <c r="GA338" s="125"/>
      <c r="GB338" s="125"/>
      <c r="GC338" s="125"/>
      <c r="GD338" s="125"/>
      <c r="GE338" s="125"/>
      <c r="GF338" s="125"/>
    </row>
    <row r="339" spans="1:188" s="3" customFormat="1">
      <c r="A339" s="80">
        <v>50</v>
      </c>
      <c r="B339" s="29">
        <v>43118</v>
      </c>
      <c r="C339" s="18"/>
      <c r="D339" s="19" t="s">
        <v>1180</v>
      </c>
      <c r="E339" s="20" t="s">
        <v>360</v>
      </c>
      <c r="F339" s="168" t="s">
        <v>1252</v>
      </c>
      <c r="G339" s="63">
        <v>1708</v>
      </c>
      <c r="H339" s="121">
        <v>3572000</v>
      </c>
      <c r="I339" s="24"/>
      <c r="J339" s="24">
        <f>H339/1.05</f>
        <v>3401904.7619047617</v>
      </c>
      <c r="K339" s="24">
        <f t="shared" si="23"/>
        <v>3401904.7619047617</v>
      </c>
      <c r="L339" s="123">
        <v>1</v>
      </c>
      <c r="M339" s="24">
        <f t="shared" si="24"/>
        <v>3401904.7619047617</v>
      </c>
      <c r="N339" s="124">
        <f t="shared" si="25"/>
        <v>0</v>
      </c>
      <c r="O339" s="107" t="s">
        <v>1216</v>
      </c>
      <c r="AE339" s="141"/>
      <c r="AF339" s="142"/>
      <c r="AG339" s="142"/>
      <c r="AH339" s="142"/>
      <c r="AI339" s="142"/>
      <c r="AJ339" s="142"/>
      <c r="AK339" s="142"/>
      <c r="AL339" s="143"/>
      <c r="BC339" s="141"/>
      <c r="BD339" s="142"/>
      <c r="BE339" s="142"/>
      <c r="BF339" s="142"/>
      <c r="BG339" s="142"/>
      <c r="BH339" s="142"/>
      <c r="BI339" s="142"/>
      <c r="BJ339" s="143"/>
      <c r="CA339" s="141"/>
      <c r="CB339" s="142"/>
      <c r="CC339" s="142"/>
      <c r="CD339" s="142"/>
      <c r="CE339" s="142"/>
      <c r="CF339" s="142"/>
      <c r="CG339" s="142"/>
      <c r="CH339" s="143"/>
      <c r="CY339" s="141"/>
      <c r="CZ339" s="142"/>
      <c r="DA339" s="142"/>
      <c r="DB339" s="142"/>
      <c r="DC339" s="142"/>
      <c r="DD339" s="142"/>
      <c r="DE339" s="142"/>
      <c r="DF339" s="143"/>
      <c r="DW339" s="141"/>
      <c r="DX339" s="142"/>
      <c r="DY339" s="142"/>
      <c r="DZ339" s="142"/>
      <c r="EA339" s="142"/>
      <c r="EB339" s="142"/>
      <c r="EC339" s="142"/>
      <c r="ED339" s="143"/>
      <c r="EU339" s="141"/>
      <c r="EV339" s="142"/>
      <c r="EW339" s="142"/>
      <c r="EX339" s="142"/>
      <c r="EY339" s="142"/>
      <c r="EZ339" s="142"/>
      <c r="FA339" s="142"/>
      <c r="FB339" s="143"/>
      <c r="FS339" s="141"/>
      <c r="FT339" s="142"/>
      <c r="FU339" s="142"/>
      <c r="FV339" s="142"/>
      <c r="FW339" s="142"/>
      <c r="FX339" s="142"/>
      <c r="FY339" s="142"/>
      <c r="FZ339" s="143"/>
    </row>
    <row r="340" spans="1:188" s="3" customFormat="1">
      <c r="A340" s="80">
        <v>51</v>
      </c>
      <c r="B340" s="17">
        <v>43112</v>
      </c>
      <c r="C340" s="18"/>
      <c r="D340" s="19" t="s">
        <v>1181</v>
      </c>
      <c r="E340" s="20" t="s">
        <v>363</v>
      </c>
      <c r="F340" s="57" t="s">
        <v>364</v>
      </c>
      <c r="G340" s="63">
        <v>1708</v>
      </c>
      <c r="H340" s="121">
        <v>3478000</v>
      </c>
      <c r="I340" s="24">
        <v>3312381</v>
      </c>
      <c r="J340" s="24"/>
      <c r="K340" s="24">
        <f t="shared" si="23"/>
        <v>3312381</v>
      </c>
      <c r="L340" s="123">
        <v>1</v>
      </c>
      <c r="M340" s="24">
        <f t="shared" si="24"/>
        <v>3312381</v>
      </c>
      <c r="N340" s="124">
        <f t="shared" si="25"/>
        <v>0</v>
      </c>
      <c r="O340" s="107" t="s">
        <v>1216</v>
      </c>
      <c r="AE340" s="130"/>
      <c r="AF340" s="130"/>
      <c r="AG340" s="130"/>
      <c r="AH340" s="130"/>
      <c r="AI340" s="130"/>
      <c r="AJ340" s="130"/>
      <c r="AK340" s="130"/>
      <c r="AL340" s="130"/>
      <c r="BC340" s="130"/>
      <c r="BD340" s="130"/>
      <c r="BE340" s="130"/>
      <c r="BF340" s="130"/>
      <c r="BG340" s="130"/>
      <c r="BH340" s="130"/>
      <c r="BI340" s="130"/>
      <c r="BJ340" s="130"/>
      <c r="CA340" s="130"/>
      <c r="CB340" s="130"/>
      <c r="CC340" s="130"/>
      <c r="CD340" s="130"/>
      <c r="CE340" s="130"/>
      <c r="CF340" s="130"/>
      <c r="CG340" s="130"/>
      <c r="CH340" s="130"/>
      <c r="CY340" s="130"/>
      <c r="CZ340" s="130"/>
      <c r="DA340" s="130"/>
      <c r="DB340" s="130"/>
      <c r="DC340" s="130"/>
      <c r="DD340" s="130"/>
      <c r="DE340" s="130"/>
      <c r="DF340" s="130"/>
      <c r="DW340" s="130"/>
      <c r="DX340" s="130"/>
      <c r="DY340" s="130"/>
      <c r="DZ340" s="130"/>
      <c r="EA340" s="130"/>
      <c r="EB340" s="130"/>
      <c r="EC340" s="130"/>
      <c r="ED340" s="130"/>
      <c r="EU340" s="130"/>
      <c r="EV340" s="130"/>
      <c r="EW340" s="130"/>
      <c r="EX340" s="130"/>
      <c r="EY340" s="130"/>
      <c r="EZ340" s="130"/>
      <c r="FA340" s="130"/>
      <c r="FB340" s="130"/>
      <c r="FS340" s="130"/>
      <c r="FT340" s="130"/>
      <c r="FU340" s="130"/>
      <c r="FV340" s="130"/>
      <c r="FW340" s="130"/>
      <c r="FX340" s="130"/>
      <c r="FY340" s="130"/>
      <c r="FZ340" s="130"/>
    </row>
    <row r="341" spans="1:188" s="3" customFormat="1">
      <c r="A341" s="80">
        <v>52</v>
      </c>
      <c r="B341" s="29">
        <v>43090</v>
      </c>
      <c r="C341" s="18"/>
      <c r="D341" s="19" t="s">
        <v>1181</v>
      </c>
      <c r="E341" s="20" t="s">
        <v>363</v>
      </c>
      <c r="F341" s="82" t="s">
        <v>365</v>
      </c>
      <c r="G341" s="58">
        <v>1708</v>
      </c>
      <c r="H341" s="121">
        <v>3478000</v>
      </c>
      <c r="I341" s="24">
        <v>3312381</v>
      </c>
      <c r="J341" s="24"/>
      <c r="K341" s="24">
        <f t="shared" si="23"/>
        <v>3312381</v>
      </c>
      <c r="L341" s="123">
        <v>1</v>
      </c>
      <c r="M341" s="24">
        <f t="shared" si="24"/>
        <v>3312381</v>
      </c>
      <c r="N341" s="124">
        <f t="shared" si="25"/>
        <v>0</v>
      </c>
      <c r="O341" s="107" t="s">
        <v>1216</v>
      </c>
      <c r="P341" s="125"/>
      <c r="Q341" s="125"/>
      <c r="R341" s="125"/>
      <c r="S341" s="125"/>
      <c r="T341" s="125"/>
      <c r="U341" s="125"/>
      <c r="V341" s="125"/>
      <c r="W341" s="125"/>
      <c r="X341" s="125"/>
      <c r="Y341" s="125"/>
      <c r="Z341" s="125"/>
      <c r="AA341" s="125"/>
      <c r="AB341" s="125"/>
      <c r="AC341" s="125"/>
      <c r="AD341" s="125"/>
      <c r="AE341" s="167"/>
      <c r="AF341" s="167"/>
      <c r="AG341" s="167"/>
      <c r="AH341" s="167"/>
      <c r="AI341" s="167"/>
      <c r="AJ341" s="167"/>
      <c r="AK341" s="167"/>
      <c r="AL341" s="167"/>
      <c r="AM341" s="125"/>
      <c r="AN341" s="125"/>
      <c r="AO341" s="125"/>
      <c r="AP341" s="125"/>
      <c r="AQ341" s="125"/>
      <c r="AR341" s="125"/>
      <c r="AS341" s="125"/>
      <c r="AT341" s="125"/>
      <c r="AU341" s="125"/>
      <c r="AV341" s="125"/>
      <c r="AW341" s="125"/>
      <c r="AX341" s="125"/>
      <c r="AY341" s="125"/>
      <c r="AZ341" s="125"/>
      <c r="BA341" s="125"/>
      <c r="BB341" s="125"/>
      <c r="BC341" s="167"/>
      <c r="BD341" s="167"/>
      <c r="BE341" s="167"/>
      <c r="BF341" s="167"/>
      <c r="BG341" s="167"/>
      <c r="BH341" s="167"/>
      <c r="BI341" s="167"/>
      <c r="BJ341" s="167"/>
      <c r="BK341" s="125"/>
      <c r="BL341" s="125"/>
      <c r="BM341" s="125"/>
      <c r="BN341" s="125"/>
      <c r="BO341" s="125"/>
      <c r="BP341" s="125"/>
      <c r="BQ341" s="125"/>
      <c r="BR341" s="125"/>
      <c r="BS341" s="125"/>
      <c r="BT341" s="125"/>
      <c r="BU341" s="125"/>
      <c r="BV341" s="125"/>
      <c r="BW341" s="125"/>
      <c r="BX341" s="125"/>
      <c r="BY341" s="125"/>
      <c r="BZ341" s="125"/>
      <c r="CA341" s="167"/>
      <c r="CB341" s="167"/>
      <c r="CC341" s="167"/>
      <c r="CD341" s="167"/>
      <c r="CE341" s="167"/>
      <c r="CF341" s="167"/>
      <c r="CG341" s="167"/>
      <c r="CH341" s="167"/>
      <c r="CI341" s="125"/>
      <c r="CJ341" s="125"/>
      <c r="CK341" s="125"/>
      <c r="CL341" s="125"/>
      <c r="CM341" s="125"/>
      <c r="CN341" s="125"/>
      <c r="CO341" s="125"/>
      <c r="CP341" s="125"/>
      <c r="CQ341" s="125"/>
      <c r="CR341" s="125"/>
      <c r="CS341" s="125"/>
      <c r="CT341" s="125"/>
      <c r="CU341" s="125"/>
      <c r="CV341" s="125"/>
      <c r="CW341" s="125"/>
      <c r="CX341" s="125"/>
      <c r="CY341" s="167"/>
      <c r="CZ341" s="167"/>
      <c r="DA341" s="167"/>
      <c r="DB341" s="167"/>
      <c r="DC341" s="167"/>
      <c r="DD341" s="167"/>
      <c r="DE341" s="167"/>
      <c r="DF341" s="167"/>
      <c r="DG341" s="125"/>
      <c r="DH341" s="125"/>
      <c r="DI341" s="125"/>
      <c r="DJ341" s="125"/>
      <c r="DK341" s="125"/>
      <c r="DL341" s="125"/>
      <c r="DM341" s="125"/>
      <c r="DN341" s="125"/>
      <c r="DO341" s="125"/>
      <c r="DP341" s="125"/>
      <c r="DQ341" s="125"/>
      <c r="DR341" s="125"/>
      <c r="DS341" s="125"/>
      <c r="DT341" s="125"/>
      <c r="DU341" s="125"/>
      <c r="DV341" s="125"/>
      <c r="DW341" s="167"/>
      <c r="DX341" s="167"/>
      <c r="DY341" s="167"/>
      <c r="DZ341" s="167"/>
      <c r="EA341" s="167"/>
      <c r="EB341" s="167"/>
      <c r="EC341" s="167"/>
      <c r="ED341" s="167"/>
      <c r="EE341" s="125"/>
      <c r="EF341" s="125"/>
      <c r="EG341" s="125"/>
      <c r="EH341" s="125"/>
      <c r="EI341" s="125"/>
      <c r="EJ341" s="125"/>
      <c r="EK341" s="125"/>
      <c r="EL341" s="125"/>
      <c r="EM341" s="125"/>
      <c r="EN341" s="125"/>
      <c r="EO341" s="125"/>
      <c r="EP341" s="125"/>
      <c r="EQ341" s="125"/>
      <c r="ER341" s="125"/>
      <c r="ES341" s="125"/>
      <c r="ET341" s="125"/>
      <c r="EU341" s="167"/>
      <c r="EV341" s="167"/>
      <c r="EW341" s="167"/>
      <c r="EX341" s="167"/>
      <c r="EY341" s="167"/>
      <c r="EZ341" s="167"/>
      <c r="FA341" s="167"/>
      <c r="FB341" s="167"/>
      <c r="FC341" s="125"/>
      <c r="FD341" s="125"/>
      <c r="FE341" s="125"/>
      <c r="FF341" s="125"/>
      <c r="FG341" s="125"/>
      <c r="FH341" s="125"/>
      <c r="FI341" s="125"/>
      <c r="FJ341" s="125"/>
      <c r="FK341" s="125"/>
      <c r="FL341" s="125"/>
      <c r="FM341" s="125"/>
      <c r="FN341" s="125"/>
      <c r="FO341" s="125"/>
      <c r="FP341" s="125"/>
      <c r="FQ341" s="125"/>
      <c r="FR341" s="125"/>
      <c r="FS341" s="167"/>
      <c r="FT341" s="167"/>
      <c r="FU341" s="167"/>
      <c r="FV341" s="167"/>
      <c r="FW341" s="167"/>
      <c r="FX341" s="167"/>
      <c r="FY341" s="167"/>
      <c r="FZ341" s="167"/>
      <c r="GA341" s="125"/>
      <c r="GB341" s="125"/>
      <c r="GC341" s="125"/>
      <c r="GD341" s="125"/>
      <c r="GE341" s="125"/>
      <c r="GF341" s="125"/>
    </row>
    <row r="342" spans="1:188" s="3" customFormat="1">
      <c r="A342" s="80">
        <v>53</v>
      </c>
      <c r="B342" s="17">
        <v>43091</v>
      </c>
      <c r="C342" s="18"/>
      <c r="D342" s="19" t="s">
        <v>1181</v>
      </c>
      <c r="E342" s="20" t="s">
        <v>363</v>
      </c>
      <c r="F342" s="62" t="s">
        <v>1253</v>
      </c>
      <c r="G342" s="63">
        <v>1711</v>
      </c>
      <c r="H342" s="121">
        <f>100000+3478000</f>
        <v>3578000</v>
      </c>
      <c r="I342" s="24"/>
      <c r="J342" s="24">
        <f>H342/1.05</f>
        <v>3407619.0476190476</v>
      </c>
      <c r="K342" s="24">
        <f t="shared" si="23"/>
        <v>3407619.0476190476</v>
      </c>
      <c r="L342" s="123">
        <v>1</v>
      </c>
      <c r="M342" s="24">
        <f t="shared" si="24"/>
        <v>3407619.0476190476</v>
      </c>
      <c r="N342" s="124">
        <f t="shared" si="25"/>
        <v>0</v>
      </c>
      <c r="O342" s="107" t="s">
        <v>1216</v>
      </c>
      <c r="V342" s="131"/>
      <c r="W342" s="15"/>
      <c r="AC342" s="131"/>
      <c r="AD342" s="15"/>
      <c r="AE342" s="132"/>
      <c r="AF342" s="133"/>
      <c r="AG342" s="134"/>
      <c r="AH342" s="134"/>
      <c r="AI342" s="135"/>
      <c r="AJ342" s="136"/>
      <c r="AK342" s="137"/>
      <c r="AL342" s="137"/>
      <c r="AN342" s="138"/>
      <c r="AO342" s="2"/>
      <c r="AP342" s="139"/>
      <c r="BA342" s="131"/>
      <c r="BB342" s="15"/>
      <c r="BC342" s="132"/>
      <c r="BD342" s="133"/>
      <c r="BE342" s="134"/>
      <c r="BF342" s="134"/>
      <c r="BG342" s="135"/>
      <c r="BH342" s="136"/>
      <c r="BI342" s="137"/>
      <c r="BJ342" s="137"/>
      <c r="BL342" s="138"/>
      <c r="BM342" s="2"/>
      <c r="BN342" s="139"/>
      <c r="BY342" s="131"/>
      <c r="BZ342" s="15"/>
      <c r="CA342" s="132"/>
      <c r="CB342" s="133"/>
      <c r="CC342" s="134"/>
      <c r="CD342" s="134"/>
      <c r="CE342" s="135"/>
      <c r="CF342" s="136"/>
      <c r="CG342" s="137"/>
      <c r="CH342" s="137"/>
      <c r="CJ342" s="138"/>
      <c r="CK342" s="2"/>
      <c r="CL342" s="139"/>
      <c r="CW342" s="131"/>
      <c r="CX342" s="15"/>
      <c r="CY342" s="132"/>
      <c r="CZ342" s="133"/>
      <c r="DA342" s="134"/>
      <c r="DB342" s="134"/>
      <c r="DC342" s="135"/>
      <c r="DD342" s="136"/>
      <c r="DE342" s="137"/>
      <c r="DF342" s="137"/>
      <c r="DH342" s="138"/>
      <c r="DI342" s="2"/>
      <c r="DJ342" s="139"/>
      <c r="DU342" s="131"/>
      <c r="DV342" s="15"/>
      <c r="DW342" s="132"/>
      <c r="DX342" s="133"/>
      <c r="DY342" s="134"/>
      <c r="DZ342" s="134"/>
      <c r="EA342" s="135"/>
      <c r="EB342" s="136"/>
      <c r="EC342" s="137"/>
      <c r="ED342" s="137"/>
      <c r="EF342" s="138"/>
      <c r="EG342" s="2"/>
      <c r="EH342" s="139"/>
      <c r="ES342" s="131"/>
      <c r="ET342" s="15"/>
      <c r="EU342" s="132"/>
      <c r="EV342" s="133"/>
      <c r="EW342" s="134"/>
      <c r="EX342" s="134"/>
      <c r="EY342" s="135"/>
      <c r="EZ342" s="136"/>
      <c r="FA342" s="137"/>
      <c r="FB342" s="137"/>
      <c r="FD342" s="138"/>
      <c r="FE342" s="2"/>
      <c r="FF342" s="139"/>
      <c r="FQ342" s="131"/>
      <c r="FR342" s="15"/>
      <c r="FS342" s="132"/>
      <c r="FT342" s="133"/>
      <c r="FU342" s="134"/>
      <c r="FV342" s="134"/>
      <c r="FW342" s="135"/>
      <c r="FX342" s="136"/>
      <c r="FY342" s="137"/>
      <c r="FZ342" s="137"/>
      <c r="GB342" s="138"/>
      <c r="GC342" s="2"/>
      <c r="GD342" s="139"/>
    </row>
    <row r="343" spans="1:188" s="3" customFormat="1">
      <c r="A343" s="80">
        <v>54</v>
      </c>
      <c r="B343" s="17">
        <v>43126</v>
      </c>
      <c r="C343" s="18"/>
      <c r="D343" s="19" t="s">
        <v>1181</v>
      </c>
      <c r="E343" s="20" t="s">
        <v>368</v>
      </c>
      <c r="F343" s="197" t="s">
        <v>369</v>
      </c>
      <c r="G343" s="181">
        <v>1707</v>
      </c>
      <c r="H343" s="121">
        <v>4342800</v>
      </c>
      <c r="I343" s="24">
        <v>4136000</v>
      </c>
      <c r="J343" s="24"/>
      <c r="K343" s="24">
        <f t="shared" si="23"/>
        <v>4136000</v>
      </c>
      <c r="L343" s="123">
        <v>1</v>
      </c>
      <c r="M343" s="24">
        <f t="shared" si="24"/>
        <v>4136000</v>
      </c>
      <c r="N343" s="124">
        <f t="shared" si="25"/>
        <v>0</v>
      </c>
      <c r="O343" s="107" t="s">
        <v>1216</v>
      </c>
      <c r="AE343" s="130"/>
      <c r="AF343" s="130"/>
      <c r="AG343" s="130"/>
      <c r="AH343" s="130"/>
      <c r="AI343" s="130"/>
      <c r="AJ343" s="130"/>
      <c r="AK343" s="130"/>
      <c r="AL343" s="130"/>
      <c r="BC343" s="130"/>
      <c r="BD343" s="130"/>
      <c r="BE343" s="130"/>
      <c r="BF343" s="130"/>
      <c r="BG343" s="130"/>
      <c r="BH343" s="130"/>
      <c r="BI343" s="130"/>
      <c r="BJ343" s="130"/>
      <c r="CA343" s="130"/>
      <c r="CB343" s="130"/>
      <c r="CC343" s="130"/>
      <c r="CD343" s="130"/>
      <c r="CE343" s="130"/>
      <c r="CF343" s="130"/>
      <c r="CG343" s="130"/>
      <c r="CH343" s="130"/>
      <c r="CY343" s="130"/>
      <c r="CZ343" s="130"/>
      <c r="DA343" s="130"/>
      <c r="DB343" s="130"/>
      <c r="DC343" s="130"/>
      <c r="DD343" s="130"/>
      <c r="DE343" s="130"/>
      <c r="DF343" s="130"/>
      <c r="DW343" s="130"/>
      <c r="DX343" s="130"/>
      <c r="DY343" s="130"/>
      <c r="DZ343" s="130"/>
      <c r="EA343" s="130"/>
      <c r="EB343" s="130"/>
      <c r="EC343" s="130"/>
      <c r="ED343" s="130"/>
      <c r="EU343" s="130"/>
      <c r="EV343" s="130"/>
      <c r="EW343" s="130"/>
      <c r="EX343" s="130"/>
      <c r="EY343" s="130"/>
      <c r="EZ343" s="130"/>
      <c r="FA343" s="130"/>
      <c r="FB343" s="130"/>
      <c r="FS343" s="130"/>
      <c r="FT343" s="130"/>
      <c r="FU343" s="130"/>
      <c r="FV343" s="130"/>
      <c r="FW343" s="130"/>
      <c r="FX343" s="130"/>
      <c r="FY343" s="130"/>
      <c r="FZ343" s="130"/>
    </row>
    <row r="344" spans="1:188" s="3" customFormat="1">
      <c r="A344" s="80">
        <v>55</v>
      </c>
      <c r="B344" s="17">
        <v>43045</v>
      </c>
      <c r="C344" s="18"/>
      <c r="D344" s="19" t="s">
        <v>1181</v>
      </c>
      <c r="E344" s="20" t="s">
        <v>1254</v>
      </c>
      <c r="F344" s="62" t="s">
        <v>371</v>
      </c>
      <c r="G344" s="63">
        <v>1705</v>
      </c>
      <c r="H344" s="121">
        <v>5063500</v>
      </c>
      <c r="I344" s="24">
        <v>4822381</v>
      </c>
      <c r="J344" s="24"/>
      <c r="K344" s="24">
        <f t="shared" si="23"/>
        <v>4822381</v>
      </c>
      <c r="L344" s="123">
        <v>1</v>
      </c>
      <c r="M344" s="24">
        <f t="shared" si="24"/>
        <v>4822381</v>
      </c>
      <c r="N344" s="124">
        <f t="shared" si="25"/>
        <v>0</v>
      </c>
      <c r="O344" s="107" t="s">
        <v>1216</v>
      </c>
      <c r="P344" s="125"/>
      <c r="Q344" s="125"/>
      <c r="R344" s="125"/>
      <c r="S344" s="125"/>
      <c r="T344" s="125"/>
      <c r="U344" s="125"/>
      <c r="V344" s="125"/>
      <c r="W344" s="125"/>
      <c r="X344" s="125"/>
      <c r="Y344" s="125"/>
      <c r="Z344" s="125"/>
      <c r="AA344" s="125"/>
      <c r="AB344" s="125"/>
      <c r="AC344" s="125"/>
      <c r="AD344" s="125"/>
      <c r="AE344" s="167"/>
      <c r="AF344" s="167"/>
      <c r="AG344" s="167"/>
      <c r="AH344" s="167"/>
      <c r="AI344" s="167"/>
      <c r="AJ344" s="167"/>
      <c r="AK344" s="167"/>
      <c r="AL344" s="167"/>
      <c r="AM344" s="125"/>
      <c r="AN344" s="125"/>
      <c r="AO344" s="125"/>
      <c r="AP344" s="125"/>
      <c r="AQ344" s="125"/>
      <c r="AR344" s="125"/>
      <c r="AS344" s="125"/>
      <c r="AT344" s="125"/>
      <c r="AU344" s="125"/>
      <c r="AV344" s="125"/>
      <c r="AW344" s="125"/>
      <c r="AX344" s="125"/>
      <c r="AY344" s="125"/>
      <c r="AZ344" s="125"/>
      <c r="BA344" s="125"/>
      <c r="BB344" s="125"/>
      <c r="BC344" s="167"/>
      <c r="BD344" s="167"/>
      <c r="BE344" s="167"/>
      <c r="BF344" s="167"/>
      <c r="BG344" s="167"/>
      <c r="BH344" s="167"/>
      <c r="BI344" s="167"/>
      <c r="BJ344" s="167"/>
      <c r="BK344" s="125"/>
      <c r="BL344" s="125"/>
      <c r="BM344" s="125"/>
      <c r="BN344" s="125"/>
      <c r="BO344" s="125"/>
      <c r="BP344" s="125"/>
      <c r="BQ344" s="125"/>
      <c r="BR344" s="125"/>
      <c r="BS344" s="125"/>
      <c r="BT344" s="125"/>
      <c r="BU344" s="125"/>
      <c r="BV344" s="125"/>
      <c r="BW344" s="125"/>
      <c r="BX344" s="125"/>
      <c r="BY344" s="125"/>
      <c r="BZ344" s="125"/>
      <c r="CA344" s="167"/>
      <c r="CB344" s="167"/>
      <c r="CC344" s="167"/>
      <c r="CD344" s="167"/>
      <c r="CE344" s="167"/>
      <c r="CF344" s="167"/>
      <c r="CG344" s="167"/>
      <c r="CH344" s="167"/>
      <c r="CI344" s="125"/>
      <c r="CJ344" s="125"/>
      <c r="CK344" s="125"/>
      <c r="CL344" s="125"/>
      <c r="CM344" s="125"/>
      <c r="CN344" s="125"/>
      <c r="CO344" s="125"/>
      <c r="CP344" s="125"/>
      <c r="CQ344" s="125"/>
      <c r="CR344" s="125"/>
      <c r="CS344" s="125"/>
      <c r="CT344" s="125"/>
      <c r="CU344" s="125"/>
      <c r="CV344" s="125"/>
      <c r="CW344" s="125"/>
      <c r="CX344" s="125"/>
      <c r="CY344" s="167"/>
      <c r="CZ344" s="167"/>
      <c r="DA344" s="167"/>
      <c r="DB344" s="167"/>
      <c r="DC344" s="167"/>
      <c r="DD344" s="167"/>
      <c r="DE344" s="167"/>
      <c r="DF344" s="167"/>
      <c r="DG344" s="125"/>
      <c r="DH344" s="125"/>
      <c r="DI344" s="125"/>
      <c r="DJ344" s="125"/>
      <c r="DK344" s="125"/>
      <c r="DL344" s="125"/>
      <c r="DM344" s="125"/>
      <c r="DN344" s="125"/>
      <c r="DO344" s="125"/>
      <c r="DP344" s="125"/>
      <c r="DQ344" s="125"/>
      <c r="DR344" s="125"/>
      <c r="DS344" s="125"/>
      <c r="DT344" s="125"/>
      <c r="DU344" s="125"/>
      <c r="DV344" s="125"/>
      <c r="DW344" s="167"/>
      <c r="DX344" s="167"/>
      <c r="DY344" s="167"/>
      <c r="DZ344" s="167"/>
      <c r="EA344" s="167"/>
      <c r="EB344" s="167"/>
      <c r="EC344" s="167"/>
      <c r="ED344" s="167"/>
      <c r="EE344" s="125"/>
      <c r="EF344" s="125"/>
      <c r="EG344" s="125"/>
      <c r="EH344" s="125"/>
      <c r="EI344" s="125"/>
      <c r="EJ344" s="125"/>
      <c r="EK344" s="125"/>
      <c r="EL344" s="125"/>
      <c r="EM344" s="125"/>
      <c r="EN344" s="125"/>
      <c r="EO344" s="125"/>
      <c r="EP344" s="125"/>
      <c r="EQ344" s="125"/>
      <c r="ER344" s="125"/>
      <c r="ES344" s="125"/>
      <c r="ET344" s="125"/>
      <c r="EU344" s="167"/>
      <c r="EV344" s="167"/>
      <c r="EW344" s="167"/>
      <c r="EX344" s="167"/>
      <c r="EY344" s="167"/>
      <c r="EZ344" s="167"/>
      <c r="FA344" s="167"/>
      <c r="FB344" s="167"/>
      <c r="FC344" s="125"/>
      <c r="FD344" s="125"/>
      <c r="FE344" s="125"/>
      <c r="FF344" s="125"/>
      <c r="FG344" s="125"/>
      <c r="FH344" s="125"/>
      <c r="FI344" s="125"/>
      <c r="FJ344" s="125"/>
      <c r="FK344" s="125"/>
      <c r="FL344" s="125"/>
      <c r="FM344" s="125"/>
      <c r="FN344" s="125"/>
      <c r="FO344" s="125"/>
      <c r="FP344" s="125"/>
      <c r="FQ344" s="125"/>
      <c r="FR344" s="125"/>
      <c r="FS344" s="167"/>
      <c r="FT344" s="167"/>
      <c r="FU344" s="167"/>
      <c r="FV344" s="167"/>
      <c r="FW344" s="167"/>
      <c r="FX344" s="167"/>
      <c r="FY344" s="167"/>
      <c r="FZ344" s="167"/>
      <c r="GA344" s="125"/>
      <c r="GB344" s="125"/>
      <c r="GC344" s="125"/>
      <c r="GD344" s="125"/>
      <c r="GE344" s="125"/>
      <c r="GF344" s="125"/>
    </row>
    <row r="345" spans="1:188" s="3" customFormat="1">
      <c r="A345" s="80">
        <v>56</v>
      </c>
      <c r="B345" s="17">
        <v>42962</v>
      </c>
      <c r="C345" s="18"/>
      <c r="D345" s="19">
        <v>7</v>
      </c>
      <c r="E345" s="20" t="s">
        <v>1255</v>
      </c>
      <c r="F345" s="82" t="s">
        <v>1256</v>
      </c>
      <c r="G345" s="58">
        <v>1707</v>
      </c>
      <c r="H345" s="121">
        <v>4696650</v>
      </c>
      <c r="I345" s="24"/>
      <c r="J345" s="24">
        <v>4492274</v>
      </c>
      <c r="K345" s="24">
        <f t="shared" si="23"/>
        <v>4492274</v>
      </c>
      <c r="L345" s="123">
        <v>1</v>
      </c>
      <c r="M345" s="24">
        <f t="shared" si="24"/>
        <v>4492274</v>
      </c>
      <c r="N345" s="124">
        <f t="shared" si="25"/>
        <v>0</v>
      </c>
      <c r="O345" s="107" t="s">
        <v>1216</v>
      </c>
      <c r="P345" s="125"/>
      <c r="Q345" s="125"/>
      <c r="R345" s="125"/>
      <c r="S345" s="125"/>
      <c r="T345" s="125"/>
      <c r="U345" s="125"/>
      <c r="V345" s="125"/>
      <c r="W345" s="125"/>
      <c r="X345" s="125"/>
      <c r="Y345" s="125"/>
      <c r="Z345" s="125"/>
      <c r="AA345" s="125"/>
      <c r="AB345" s="125"/>
      <c r="AC345" s="125"/>
      <c r="AD345" s="125"/>
      <c r="AE345" s="167"/>
      <c r="AF345" s="167"/>
      <c r="AG345" s="167"/>
      <c r="AH345" s="167"/>
      <c r="AI345" s="167"/>
      <c r="AJ345" s="167"/>
      <c r="AK345" s="167"/>
      <c r="AL345" s="167"/>
      <c r="AM345" s="125"/>
      <c r="AN345" s="125"/>
      <c r="AO345" s="125"/>
      <c r="AP345" s="125"/>
      <c r="AQ345" s="125"/>
      <c r="AR345" s="125"/>
      <c r="AS345" s="125"/>
      <c r="AT345" s="125"/>
      <c r="AU345" s="125"/>
      <c r="AV345" s="125"/>
      <c r="AW345" s="125"/>
      <c r="AX345" s="125"/>
      <c r="AY345" s="125"/>
      <c r="AZ345" s="125"/>
      <c r="BA345" s="125"/>
      <c r="BB345" s="125"/>
      <c r="BC345" s="167"/>
      <c r="BD345" s="167"/>
      <c r="BE345" s="167"/>
      <c r="BF345" s="167"/>
      <c r="BG345" s="167"/>
      <c r="BH345" s="167"/>
      <c r="BI345" s="167"/>
      <c r="BJ345" s="167"/>
      <c r="BK345" s="125"/>
      <c r="BL345" s="125"/>
      <c r="BM345" s="125"/>
      <c r="BN345" s="125"/>
      <c r="BO345" s="125"/>
      <c r="BP345" s="125"/>
      <c r="BQ345" s="125"/>
      <c r="BR345" s="125"/>
      <c r="BS345" s="125"/>
      <c r="BT345" s="125"/>
      <c r="BU345" s="125"/>
      <c r="BV345" s="125"/>
      <c r="BW345" s="125"/>
      <c r="BX345" s="125"/>
      <c r="BY345" s="125"/>
      <c r="BZ345" s="125"/>
      <c r="CA345" s="167"/>
      <c r="CB345" s="167"/>
      <c r="CC345" s="167"/>
      <c r="CD345" s="167"/>
      <c r="CE345" s="167"/>
      <c r="CF345" s="167"/>
      <c r="CG345" s="167"/>
      <c r="CH345" s="167"/>
      <c r="CI345" s="125"/>
      <c r="CJ345" s="125"/>
      <c r="CK345" s="125"/>
      <c r="CL345" s="125"/>
      <c r="CM345" s="125"/>
      <c r="CN345" s="125"/>
      <c r="CO345" s="125"/>
      <c r="CP345" s="125"/>
      <c r="CQ345" s="125"/>
      <c r="CR345" s="125"/>
      <c r="CS345" s="125"/>
      <c r="CT345" s="125"/>
      <c r="CU345" s="125"/>
      <c r="CV345" s="125"/>
      <c r="CW345" s="125"/>
      <c r="CX345" s="125"/>
      <c r="CY345" s="167"/>
      <c r="CZ345" s="167"/>
      <c r="DA345" s="167"/>
      <c r="DB345" s="167"/>
      <c r="DC345" s="167"/>
      <c r="DD345" s="167"/>
      <c r="DE345" s="167"/>
      <c r="DF345" s="167"/>
      <c r="DG345" s="125"/>
      <c r="DH345" s="125"/>
      <c r="DI345" s="125"/>
      <c r="DJ345" s="125"/>
      <c r="DK345" s="125"/>
      <c r="DL345" s="125"/>
      <c r="DM345" s="125"/>
      <c r="DN345" s="125"/>
      <c r="DO345" s="125"/>
      <c r="DP345" s="125"/>
      <c r="DQ345" s="125"/>
      <c r="DR345" s="125"/>
      <c r="DS345" s="125"/>
      <c r="DT345" s="125"/>
      <c r="DU345" s="125"/>
      <c r="DV345" s="125"/>
      <c r="DW345" s="167"/>
      <c r="DX345" s="167"/>
      <c r="DY345" s="167"/>
      <c r="DZ345" s="167"/>
      <c r="EA345" s="167"/>
      <c r="EB345" s="167"/>
      <c r="EC345" s="167"/>
      <c r="ED345" s="167"/>
      <c r="EE345" s="125"/>
      <c r="EF345" s="125"/>
      <c r="EG345" s="125"/>
      <c r="EH345" s="125"/>
      <c r="EI345" s="125"/>
      <c r="EJ345" s="125"/>
      <c r="EK345" s="125"/>
      <c r="EL345" s="125"/>
      <c r="EM345" s="125"/>
      <c r="EN345" s="125"/>
      <c r="EO345" s="125"/>
      <c r="EP345" s="125"/>
      <c r="EQ345" s="125"/>
      <c r="ER345" s="125"/>
      <c r="ES345" s="125"/>
      <c r="ET345" s="125"/>
      <c r="EU345" s="167"/>
      <c r="EV345" s="167"/>
      <c r="EW345" s="167"/>
      <c r="EX345" s="167"/>
      <c r="EY345" s="167"/>
      <c r="EZ345" s="167"/>
      <c r="FA345" s="167"/>
      <c r="FB345" s="167"/>
      <c r="FC345" s="125"/>
      <c r="FD345" s="125"/>
      <c r="FE345" s="125"/>
      <c r="FF345" s="125"/>
      <c r="FG345" s="125"/>
      <c r="FH345" s="125"/>
      <c r="FI345" s="125"/>
      <c r="FJ345" s="125"/>
      <c r="FK345" s="125"/>
      <c r="FL345" s="125"/>
      <c r="FM345" s="125"/>
      <c r="FN345" s="125"/>
      <c r="FO345" s="125"/>
      <c r="FP345" s="125"/>
      <c r="FQ345" s="125"/>
      <c r="FR345" s="125"/>
      <c r="FS345" s="167"/>
      <c r="FT345" s="167"/>
      <c r="FU345" s="167"/>
      <c r="FV345" s="167"/>
      <c r="FW345" s="167"/>
      <c r="FX345" s="167"/>
      <c r="FY345" s="167"/>
      <c r="FZ345" s="167"/>
      <c r="GA345" s="125"/>
      <c r="GB345" s="125"/>
      <c r="GC345" s="125"/>
      <c r="GD345" s="125"/>
      <c r="GE345" s="125"/>
      <c r="GF345" s="125"/>
    </row>
    <row r="346" spans="1:188" s="3" customFormat="1">
      <c r="A346" s="80">
        <v>57</v>
      </c>
      <c r="B346" s="128">
        <v>43111</v>
      </c>
      <c r="C346" s="18" t="s">
        <v>1257</v>
      </c>
      <c r="D346" s="19" t="s">
        <v>1181</v>
      </c>
      <c r="E346" s="20" t="s">
        <v>372</v>
      </c>
      <c r="F346" s="62" t="s">
        <v>373</v>
      </c>
      <c r="G346" s="63">
        <v>1708</v>
      </c>
      <c r="H346" s="121">
        <v>4671800</v>
      </c>
      <c r="I346" s="24">
        <v>4449333</v>
      </c>
      <c r="J346" s="24"/>
      <c r="K346" s="24">
        <f t="shared" si="23"/>
        <v>4449333</v>
      </c>
      <c r="L346" s="123">
        <v>1</v>
      </c>
      <c r="M346" s="24">
        <f t="shared" si="24"/>
        <v>4449333</v>
      </c>
      <c r="N346" s="124">
        <f t="shared" si="25"/>
        <v>0</v>
      </c>
      <c r="O346" s="107" t="s">
        <v>1216</v>
      </c>
      <c r="AE346" s="130"/>
      <c r="AF346" s="130"/>
      <c r="AG346" s="130"/>
      <c r="AH346" s="130"/>
      <c r="AI346" s="130"/>
      <c r="AJ346" s="130"/>
      <c r="AK346" s="130"/>
      <c r="AL346" s="130"/>
      <c r="BC346" s="130"/>
      <c r="BD346" s="130"/>
      <c r="BE346" s="130"/>
      <c r="BF346" s="130"/>
      <c r="BG346" s="130"/>
      <c r="BH346" s="130"/>
      <c r="BI346" s="130"/>
      <c r="BJ346" s="130"/>
      <c r="CA346" s="130"/>
      <c r="CB346" s="130"/>
      <c r="CC346" s="130"/>
      <c r="CD346" s="130"/>
      <c r="CE346" s="130"/>
      <c r="CF346" s="130"/>
      <c r="CG346" s="130"/>
      <c r="CH346" s="130"/>
      <c r="CY346" s="130"/>
      <c r="CZ346" s="130"/>
      <c r="DA346" s="130"/>
      <c r="DB346" s="130"/>
      <c r="DC346" s="130"/>
      <c r="DD346" s="130"/>
      <c r="DE346" s="130"/>
      <c r="DF346" s="130"/>
      <c r="DW346" s="130"/>
      <c r="DX346" s="130"/>
      <c r="DY346" s="130"/>
      <c r="DZ346" s="130"/>
      <c r="EA346" s="130"/>
      <c r="EB346" s="130"/>
      <c r="EC346" s="130"/>
      <c r="ED346" s="130"/>
      <c r="EU346" s="130"/>
      <c r="EV346" s="130"/>
      <c r="EW346" s="130"/>
      <c r="EX346" s="130"/>
      <c r="EY346" s="130"/>
      <c r="EZ346" s="130"/>
      <c r="FA346" s="130"/>
      <c r="FB346" s="130"/>
      <c r="FS346" s="130"/>
      <c r="FT346" s="130"/>
      <c r="FU346" s="130"/>
      <c r="FV346" s="130"/>
      <c r="FW346" s="130"/>
      <c r="FX346" s="130"/>
      <c r="FY346" s="130"/>
      <c r="FZ346" s="130"/>
    </row>
    <row r="347" spans="1:188" s="3" customFormat="1">
      <c r="A347" s="80">
        <v>58</v>
      </c>
      <c r="B347" s="29">
        <v>43041</v>
      </c>
      <c r="C347" s="18"/>
      <c r="D347" s="19" t="s">
        <v>1181</v>
      </c>
      <c r="E347" s="20" t="s">
        <v>372</v>
      </c>
      <c r="F347" s="168" t="s">
        <v>376</v>
      </c>
      <c r="G347" s="63">
        <v>1709</v>
      </c>
      <c r="H347" s="121">
        <v>4671800</v>
      </c>
      <c r="I347" s="24">
        <v>4449333</v>
      </c>
      <c r="J347" s="24"/>
      <c r="K347" s="24">
        <f t="shared" si="23"/>
        <v>4449333</v>
      </c>
      <c r="L347" s="123">
        <v>1</v>
      </c>
      <c r="M347" s="24">
        <f t="shared" si="24"/>
        <v>4449333</v>
      </c>
      <c r="N347" s="124">
        <f t="shared" si="25"/>
        <v>0</v>
      </c>
      <c r="O347" s="107" t="s">
        <v>1216</v>
      </c>
      <c r="P347" s="125"/>
      <c r="Q347" s="125"/>
      <c r="R347" s="125"/>
      <c r="S347" s="125"/>
      <c r="T347" s="125"/>
      <c r="U347" s="125"/>
      <c r="V347" s="125"/>
      <c r="W347" s="125"/>
      <c r="X347" s="125"/>
      <c r="Y347" s="125"/>
      <c r="Z347" s="125"/>
      <c r="AA347" s="125"/>
      <c r="AB347" s="125"/>
      <c r="AC347" s="125"/>
      <c r="AD347" s="125"/>
      <c r="AE347" s="179"/>
      <c r="AF347" s="177"/>
      <c r="AG347" s="177"/>
      <c r="AH347" s="177"/>
      <c r="AI347" s="177"/>
      <c r="AJ347" s="177"/>
      <c r="AK347" s="177"/>
      <c r="AL347" s="178"/>
      <c r="AM347" s="125"/>
      <c r="AN347" s="125"/>
      <c r="AO347" s="125"/>
      <c r="AP347" s="125"/>
      <c r="AQ347" s="125"/>
      <c r="AR347" s="125"/>
      <c r="AS347" s="125"/>
      <c r="AT347" s="125"/>
      <c r="AU347" s="125"/>
      <c r="AV347" s="125"/>
      <c r="AW347" s="125"/>
      <c r="AX347" s="125"/>
      <c r="AY347" s="125"/>
      <c r="AZ347" s="125"/>
      <c r="BA347" s="125"/>
      <c r="BB347" s="125"/>
      <c r="BC347" s="179"/>
      <c r="BD347" s="177"/>
      <c r="BE347" s="177"/>
      <c r="BF347" s="177"/>
      <c r="BG347" s="177"/>
      <c r="BH347" s="177"/>
      <c r="BI347" s="177"/>
      <c r="BJ347" s="178"/>
      <c r="BK347" s="125"/>
      <c r="BL347" s="125"/>
      <c r="BM347" s="125"/>
      <c r="BN347" s="125"/>
      <c r="BO347" s="125"/>
      <c r="BP347" s="125"/>
      <c r="BQ347" s="125"/>
      <c r="BR347" s="125"/>
      <c r="BS347" s="125"/>
      <c r="BT347" s="125"/>
      <c r="BU347" s="125"/>
      <c r="BV347" s="125"/>
      <c r="BW347" s="125"/>
      <c r="BX347" s="125"/>
      <c r="BY347" s="125"/>
      <c r="BZ347" s="125"/>
      <c r="CA347" s="179"/>
      <c r="CB347" s="177"/>
      <c r="CC347" s="177"/>
      <c r="CD347" s="177"/>
      <c r="CE347" s="177"/>
      <c r="CF347" s="177"/>
      <c r="CG347" s="177"/>
      <c r="CH347" s="178"/>
      <c r="CI347" s="125"/>
      <c r="CJ347" s="125"/>
      <c r="CK347" s="125"/>
      <c r="CL347" s="125"/>
      <c r="CM347" s="125"/>
      <c r="CN347" s="125"/>
      <c r="CO347" s="125"/>
      <c r="CP347" s="125"/>
      <c r="CQ347" s="125"/>
      <c r="CR347" s="125"/>
      <c r="CS347" s="125"/>
      <c r="CT347" s="125"/>
      <c r="CU347" s="125"/>
      <c r="CV347" s="125"/>
      <c r="CW347" s="125"/>
      <c r="CX347" s="125"/>
      <c r="CY347" s="179"/>
      <c r="CZ347" s="177"/>
      <c r="DA347" s="177"/>
      <c r="DB347" s="177"/>
      <c r="DC347" s="177"/>
      <c r="DD347" s="177"/>
      <c r="DE347" s="177"/>
      <c r="DF347" s="178"/>
      <c r="DG347" s="125"/>
      <c r="DH347" s="125"/>
      <c r="DI347" s="125"/>
      <c r="DJ347" s="125"/>
      <c r="DK347" s="125"/>
      <c r="DL347" s="125"/>
      <c r="DM347" s="125"/>
      <c r="DN347" s="125"/>
      <c r="DO347" s="125"/>
      <c r="DP347" s="125"/>
      <c r="DQ347" s="125"/>
      <c r="DR347" s="125"/>
      <c r="DS347" s="125"/>
      <c r="DT347" s="125"/>
      <c r="DU347" s="125"/>
      <c r="DV347" s="125"/>
      <c r="DW347" s="179"/>
      <c r="DX347" s="177"/>
      <c r="DY347" s="177"/>
      <c r="DZ347" s="177"/>
      <c r="EA347" s="177"/>
      <c r="EB347" s="177"/>
      <c r="EC347" s="177"/>
      <c r="ED347" s="178"/>
      <c r="EE347" s="125"/>
      <c r="EF347" s="125"/>
      <c r="EG347" s="125"/>
      <c r="EH347" s="125"/>
      <c r="EI347" s="125"/>
      <c r="EJ347" s="125"/>
      <c r="EK347" s="125"/>
      <c r="EL347" s="125"/>
      <c r="EM347" s="125"/>
      <c r="EN347" s="125"/>
      <c r="EO347" s="125"/>
      <c r="EP347" s="125"/>
      <c r="EQ347" s="125"/>
      <c r="ER347" s="125"/>
      <c r="ES347" s="125"/>
      <c r="ET347" s="125"/>
      <c r="EU347" s="179"/>
      <c r="EV347" s="177"/>
      <c r="EW347" s="177"/>
      <c r="EX347" s="177"/>
      <c r="EY347" s="177"/>
      <c r="EZ347" s="177"/>
      <c r="FA347" s="177"/>
      <c r="FB347" s="178"/>
      <c r="FC347" s="125"/>
      <c r="FD347" s="125"/>
      <c r="FE347" s="125"/>
      <c r="FF347" s="125"/>
      <c r="FG347" s="125"/>
      <c r="FH347" s="125"/>
      <c r="FI347" s="125"/>
      <c r="FJ347" s="125"/>
      <c r="FK347" s="125"/>
      <c r="FL347" s="125"/>
      <c r="FM347" s="125"/>
      <c r="FN347" s="125"/>
      <c r="FO347" s="125"/>
      <c r="FP347" s="125"/>
      <c r="FQ347" s="125"/>
      <c r="FR347" s="125"/>
      <c r="FS347" s="179"/>
      <c r="FT347" s="177"/>
      <c r="FU347" s="177"/>
      <c r="FV347" s="177"/>
      <c r="FW347" s="177"/>
      <c r="FX347" s="177"/>
      <c r="FY347" s="177"/>
      <c r="FZ347" s="178"/>
      <c r="GA347" s="125"/>
      <c r="GB347" s="125"/>
      <c r="GC347" s="125"/>
      <c r="GD347" s="125"/>
      <c r="GE347" s="125"/>
      <c r="GF347" s="125"/>
    </row>
    <row r="348" spans="1:188" s="3" customFormat="1">
      <c r="A348" s="80">
        <v>59</v>
      </c>
      <c r="B348" s="17">
        <v>43094</v>
      </c>
      <c r="C348" s="18"/>
      <c r="D348" s="19" t="s">
        <v>1181</v>
      </c>
      <c r="E348" s="20" t="s">
        <v>1186</v>
      </c>
      <c r="F348" s="62" t="s">
        <v>1258</v>
      </c>
      <c r="G348" s="63">
        <v>1707</v>
      </c>
      <c r="H348" s="121">
        <v>3111400</v>
      </c>
      <c r="I348" s="24"/>
      <c r="J348" s="24">
        <v>2963238</v>
      </c>
      <c r="K348" s="24">
        <f t="shared" si="23"/>
        <v>2963238</v>
      </c>
      <c r="L348" s="123">
        <v>1</v>
      </c>
      <c r="M348" s="24">
        <f t="shared" si="24"/>
        <v>2963238</v>
      </c>
      <c r="N348" s="124">
        <f t="shared" si="25"/>
        <v>0</v>
      </c>
      <c r="O348" s="107" t="s">
        <v>1216</v>
      </c>
      <c r="P348" s="125"/>
      <c r="Q348" s="125"/>
      <c r="R348" s="125"/>
      <c r="S348" s="125"/>
      <c r="T348" s="125"/>
      <c r="U348" s="125"/>
      <c r="V348" s="125"/>
      <c r="W348" s="125"/>
      <c r="X348" s="125"/>
      <c r="Y348" s="125"/>
      <c r="Z348" s="125"/>
      <c r="AA348" s="125"/>
      <c r="AB348" s="125"/>
      <c r="AC348" s="125"/>
      <c r="AD348" s="125"/>
      <c r="AE348" s="167"/>
      <c r="AF348" s="167"/>
      <c r="AG348" s="167"/>
      <c r="AH348" s="167"/>
      <c r="AI348" s="167"/>
      <c r="AJ348" s="167"/>
      <c r="AK348" s="167"/>
      <c r="AL348" s="167"/>
      <c r="AM348" s="125"/>
      <c r="AN348" s="125"/>
      <c r="AO348" s="125"/>
      <c r="AP348" s="125"/>
      <c r="AQ348" s="125"/>
      <c r="AR348" s="125"/>
      <c r="AS348" s="125"/>
      <c r="AT348" s="125"/>
      <c r="AU348" s="125"/>
      <c r="AV348" s="125"/>
      <c r="AW348" s="125"/>
      <c r="AX348" s="125"/>
      <c r="AY348" s="125"/>
      <c r="AZ348" s="125"/>
      <c r="BA348" s="125"/>
      <c r="BB348" s="125"/>
      <c r="BC348" s="167"/>
      <c r="BD348" s="167"/>
      <c r="BE348" s="167"/>
      <c r="BF348" s="167"/>
      <c r="BG348" s="167"/>
      <c r="BH348" s="167"/>
      <c r="BI348" s="167"/>
      <c r="BJ348" s="167"/>
      <c r="BK348" s="125"/>
      <c r="BL348" s="125"/>
      <c r="BM348" s="125"/>
      <c r="BN348" s="125"/>
      <c r="BO348" s="125"/>
      <c r="BP348" s="125"/>
      <c r="BQ348" s="125"/>
      <c r="BR348" s="125"/>
      <c r="BS348" s="125"/>
      <c r="BT348" s="125"/>
      <c r="BU348" s="125"/>
      <c r="BV348" s="125"/>
      <c r="BW348" s="125"/>
      <c r="BX348" s="125"/>
      <c r="BY348" s="125"/>
      <c r="BZ348" s="125"/>
      <c r="CA348" s="167"/>
      <c r="CB348" s="167"/>
      <c r="CC348" s="167"/>
      <c r="CD348" s="167"/>
      <c r="CE348" s="167"/>
      <c r="CF348" s="167"/>
      <c r="CG348" s="167"/>
      <c r="CH348" s="167"/>
      <c r="CI348" s="125"/>
      <c r="CJ348" s="125"/>
      <c r="CK348" s="125"/>
      <c r="CL348" s="125"/>
      <c r="CM348" s="125"/>
      <c r="CN348" s="125"/>
      <c r="CO348" s="125"/>
      <c r="CP348" s="125"/>
      <c r="CQ348" s="125"/>
      <c r="CR348" s="125"/>
      <c r="CS348" s="125"/>
      <c r="CT348" s="125"/>
      <c r="CU348" s="125"/>
      <c r="CV348" s="125"/>
      <c r="CW348" s="125"/>
      <c r="CX348" s="125"/>
      <c r="CY348" s="167"/>
      <c r="CZ348" s="167"/>
      <c r="DA348" s="167"/>
      <c r="DB348" s="167"/>
      <c r="DC348" s="167"/>
      <c r="DD348" s="167"/>
      <c r="DE348" s="167"/>
      <c r="DF348" s="167"/>
      <c r="DG348" s="125"/>
      <c r="DH348" s="125"/>
      <c r="DI348" s="125"/>
      <c r="DJ348" s="125"/>
      <c r="DK348" s="125"/>
      <c r="DL348" s="125"/>
      <c r="DM348" s="125"/>
      <c r="DN348" s="125"/>
      <c r="DO348" s="125"/>
      <c r="DP348" s="125"/>
      <c r="DQ348" s="125"/>
      <c r="DR348" s="125"/>
      <c r="DS348" s="125"/>
      <c r="DT348" s="125"/>
      <c r="DU348" s="125"/>
      <c r="DV348" s="125"/>
      <c r="DW348" s="167"/>
      <c r="DX348" s="167"/>
      <c r="DY348" s="167"/>
      <c r="DZ348" s="167"/>
      <c r="EA348" s="167"/>
      <c r="EB348" s="167"/>
      <c r="EC348" s="167"/>
      <c r="ED348" s="167"/>
      <c r="EE348" s="125"/>
      <c r="EF348" s="125"/>
      <c r="EG348" s="125"/>
      <c r="EH348" s="125"/>
      <c r="EI348" s="125"/>
      <c r="EJ348" s="125"/>
      <c r="EK348" s="125"/>
      <c r="EL348" s="125"/>
      <c r="EM348" s="125"/>
      <c r="EN348" s="125"/>
      <c r="EO348" s="125"/>
      <c r="EP348" s="125"/>
      <c r="EQ348" s="125"/>
      <c r="ER348" s="125"/>
      <c r="ES348" s="125"/>
      <c r="ET348" s="125"/>
      <c r="EU348" s="167"/>
      <c r="EV348" s="167"/>
      <c r="EW348" s="167"/>
      <c r="EX348" s="167"/>
      <c r="EY348" s="167"/>
      <c r="EZ348" s="167"/>
      <c r="FA348" s="167"/>
      <c r="FB348" s="167"/>
      <c r="FC348" s="125"/>
      <c r="FD348" s="125"/>
      <c r="FE348" s="125"/>
      <c r="FF348" s="125"/>
      <c r="FG348" s="125"/>
      <c r="FH348" s="125"/>
      <c r="FI348" s="125"/>
      <c r="FJ348" s="125"/>
      <c r="FK348" s="125"/>
      <c r="FL348" s="125"/>
      <c r="FM348" s="125"/>
      <c r="FN348" s="125"/>
      <c r="FO348" s="125"/>
      <c r="FP348" s="125"/>
      <c r="FQ348" s="125"/>
      <c r="FR348" s="125"/>
      <c r="FS348" s="167"/>
      <c r="FT348" s="167"/>
      <c r="FU348" s="167"/>
      <c r="FV348" s="167"/>
      <c r="FW348" s="167"/>
      <c r="FX348" s="167"/>
      <c r="FY348" s="167"/>
      <c r="FZ348" s="167"/>
      <c r="GA348" s="125"/>
      <c r="GB348" s="125"/>
      <c r="GC348" s="125"/>
      <c r="GD348" s="125"/>
      <c r="GE348" s="125"/>
      <c r="GF348" s="125"/>
    </row>
    <row r="349" spans="1:188" s="3" customFormat="1">
      <c r="A349" s="80">
        <v>60</v>
      </c>
      <c r="B349" s="17">
        <v>43108</v>
      </c>
      <c r="C349" s="18" t="s">
        <v>1234</v>
      </c>
      <c r="D349" s="19" t="s">
        <v>1186</v>
      </c>
      <c r="E349" s="20" t="s">
        <v>428</v>
      </c>
      <c r="F349" s="62" t="s">
        <v>430</v>
      </c>
      <c r="G349" s="63">
        <v>1708</v>
      </c>
      <c r="H349" s="121">
        <v>3115500</v>
      </c>
      <c r="I349" s="24">
        <v>2967143</v>
      </c>
      <c r="J349" s="24"/>
      <c r="K349" s="24">
        <f t="shared" si="23"/>
        <v>2967143</v>
      </c>
      <c r="L349" s="123">
        <v>1</v>
      </c>
      <c r="M349" s="24">
        <f t="shared" si="24"/>
        <v>2967143</v>
      </c>
      <c r="N349" s="124">
        <f t="shared" si="25"/>
        <v>0</v>
      </c>
      <c r="O349" s="107" t="s">
        <v>1216</v>
      </c>
      <c r="P349" s="125"/>
      <c r="Q349" s="125"/>
      <c r="R349" s="125"/>
      <c r="S349" s="125"/>
      <c r="T349" s="125"/>
      <c r="U349" s="125"/>
      <c r="V349" s="125"/>
      <c r="W349" s="125"/>
      <c r="X349" s="125"/>
      <c r="Y349" s="125"/>
      <c r="Z349" s="125"/>
      <c r="AA349" s="125"/>
      <c r="AB349" s="125"/>
      <c r="AC349" s="125"/>
      <c r="AD349" s="125"/>
      <c r="AE349" s="167"/>
      <c r="AF349" s="167"/>
      <c r="AG349" s="167"/>
      <c r="AH349" s="167"/>
      <c r="AI349" s="167"/>
      <c r="AJ349" s="167"/>
      <c r="AK349" s="167"/>
      <c r="AL349" s="167"/>
      <c r="AM349" s="125"/>
      <c r="AN349" s="125"/>
      <c r="AO349" s="125"/>
      <c r="AP349" s="125"/>
      <c r="AQ349" s="125"/>
      <c r="AR349" s="125"/>
      <c r="AS349" s="125"/>
      <c r="AT349" s="125"/>
      <c r="AU349" s="125"/>
      <c r="AV349" s="125"/>
      <c r="AW349" s="125"/>
      <c r="AX349" s="125"/>
      <c r="AY349" s="125"/>
      <c r="AZ349" s="125"/>
      <c r="BA349" s="125"/>
      <c r="BB349" s="125"/>
      <c r="BC349" s="167"/>
      <c r="BD349" s="167"/>
      <c r="BE349" s="167"/>
      <c r="BF349" s="167"/>
      <c r="BG349" s="167"/>
      <c r="BH349" s="167"/>
      <c r="BI349" s="167"/>
      <c r="BJ349" s="167"/>
      <c r="BK349" s="125"/>
      <c r="BL349" s="125"/>
      <c r="BM349" s="125"/>
      <c r="BN349" s="125"/>
      <c r="BO349" s="125"/>
      <c r="BP349" s="125"/>
      <c r="BQ349" s="125"/>
      <c r="BR349" s="125"/>
      <c r="BS349" s="125"/>
      <c r="BT349" s="125"/>
      <c r="BU349" s="125"/>
      <c r="BV349" s="125"/>
      <c r="BW349" s="125"/>
      <c r="BX349" s="125"/>
      <c r="BY349" s="125"/>
      <c r="BZ349" s="125"/>
      <c r="CA349" s="167"/>
      <c r="CB349" s="167"/>
      <c r="CC349" s="167"/>
      <c r="CD349" s="167"/>
      <c r="CE349" s="167"/>
      <c r="CF349" s="167"/>
      <c r="CG349" s="167"/>
      <c r="CH349" s="167"/>
      <c r="CI349" s="125"/>
      <c r="CJ349" s="125"/>
      <c r="CK349" s="125"/>
      <c r="CL349" s="125"/>
      <c r="CM349" s="125"/>
      <c r="CN349" s="125"/>
      <c r="CO349" s="125"/>
      <c r="CP349" s="125"/>
      <c r="CQ349" s="125"/>
      <c r="CR349" s="125"/>
      <c r="CS349" s="125"/>
      <c r="CT349" s="125"/>
      <c r="CU349" s="125"/>
      <c r="CV349" s="125"/>
      <c r="CW349" s="125"/>
      <c r="CX349" s="125"/>
      <c r="CY349" s="167"/>
      <c r="CZ349" s="167"/>
      <c r="DA349" s="167"/>
      <c r="DB349" s="167"/>
      <c r="DC349" s="167"/>
      <c r="DD349" s="167"/>
      <c r="DE349" s="167"/>
      <c r="DF349" s="167"/>
      <c r="DG349" s="125"/>
      <c r="DH349" s="125"/>
      <c r="DI349" s="125"/>
      <c r="DJ349" s="125"/>
      <c r="DK349" s="125"/>
      <c r="DL349" s="125"/>
      <c r="DM349" s="125"/>
      <c r="DN349" s="125"/>
      <c r="DO349" s="125"/>
      <c r="DP349" s="125"/>
      <c r="DQ349" s="125"/>
      <c r="DR349" s="125"/>
      <c r="DS349" s="125"/>
      <c r="DT349" s="125"/>
      <c r="DU349" s="125"/>
      <c r="DV349" s="125"/>
      <c r="DW349" s="167"/>
      <c r="DX349" s="167"/>
      <c r="DY349" s="167"/>
      <c r="DZ349" s="167"/>
      <c r="EA349" s="167"/>
      <c r="EB349" s="167"/>
      <c r="EC349" s="167"/>
      <c r="ED349" s="167"/>
      <c r="EE349" s="125"/>
      <c r="EF349" s="125"/>
      <c r="EG349" s="125"/>
      <c r="EH349" s="125"/>
      <c r="EI349" s="125"/>
      <c r="EJ349" s="125"/>
      <c r="EK349" s="125"/>
      <c r="EL349" s="125"/>
      <c r="EM349" s="125"/>
      <c r="EN349" s="125"/>
      <c r="EO349" s="125"/>
      <c r="EP349" s="125"/>
      <c r="EQ349" s="125"/>
      <c r="ER349" s="125"/>
      <c r="ES349" s="125"/>
      <c r="ET349" s="125"/>
      <c r="EU349" s="167"/>
      <c r="EV349" s="167"/>
      <c r="EW349" s="167"/>
      <c r="EX349" s="167"/>
      <c r="EY349" s="167"/>
      <c r="EZ349" s="167"/>
      <c r="FA349" s="167"/>
      <c r="FB349" s="167"/>
      <c r="FC349" s="125"/>
      <c r="FD349" s="125"/>
      <c r="FE349" s="125"/>
      <c r="FF349" s="125"/>
      <c r="FG349" s="125"/>
      <c r="FH349" s="125"/>
      <c r="FI349" s="125"/>
      <c r="FJ349" s="125"/>
      <c r="FK349" s="125"/>
      <c r="FL349" s="125"/>
      <c r="FM349" s="125"/>
      <c r="FN349" s="125"/>
      <c r="FO349" s="125"/>
      <c r="FP349" s="125"/>
      <c r="FQ349" s="125"/>
      <c r="FR349" s="125"/>
      <c r="FS349" s="167"/>
      <c r="FT349" s="167"/>
      <c r="FU349" s="167"/>
      <c r="FV349" s="167"/>
      <c r="FW349" s="167"/>
      <c r="FX349" s="167"/>
      <c r="FY349" s="167"/>
      <c r="FZ349" s="167"/>
      <c r="GA349" s="125"/>
      <c r="GB349" s="125"/>
      <c r="GC349" s="125"/>
      <c r="GD349" s="125"/>
      <c r="GE349" s="125"/>
      <c r="GF349" s="125"/>
    </row>
    <row r="350" spans="1:188" s="125" customFormat="1">
      <c r="A350" s="80">
        <v>61</v>
      </c>
      <c r="B350" s="17">
        <v>43048</v>
      </c>
      <c r="C350" s="18"/>
      <c r="D350" s="19" t="s">
        <v>1186</v>
      </c>
      <c r="E350" s="20" t="s">
        <v>428</v>
      </c>
      <c r="F350" s="82" t="s">
        <v>433</v>
      </c>
      <c r="G350" s="63">
        <v>1709</v>
      </c>
      <c r="H350" s="121">
        <v>3115500</v>
      </c>
      <c r="I350" s="24">
        <v>2967143</v>
      </c>
      <c r="J350" s="24"/>
      <c r="K350" s="24">
        <f t="shared" si="23"/>
        <v>2967143</v>
      </c>
      <c r="L350" s="123">
        <v>1</v>
      </c>
      <c r="M350" s="24">
        <f t="shared" si="24"/>
        <v>2967143</v>
      </c>
      <c r="N350" s="124">
        <f t="shared" si="25"/>
        <v>0</v>
      </c>
      <c r="O350" s="107" t="s">
        <v>1216</v>
      </c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130"/>
      <c r="AF350" s="130"/>
      <c r="AG350" s="130"/>
      <c r="AH350" s="130"/>
      <c r="AI350" s="130"/>
      <c r="AJ350" s="130"/>
      <c r="AK350" s="130"/>
      <c r="AL350" s="130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130"/>
      <c r="BD350" s="130"/>
      <c r="BE350" s="130"/>
      <c r="BF350" s="130"/>
      <c r="BG350" s="130"/>
      <c r="BH350" s="130"/>
      <c r="BI350" s="130"/>
      <c r="BJ350" s="130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130"/>
      <c r="CB350" s="130"/>
      <c r="CC350" s="130"/>
      <c r="CD350" s="130"/>
      <c r="CE350" s="130"/>
      <c r="CF350" s="130"/>
      <c r="CG350" s="130"/>
      <c r="CH350" s="130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  <c r="CX350" s="3"/>
      <c r="CY350" s="130"/>
      <c r="CZ350" s="130"/>
      <c r="DA350" s="130"/>
      <c r="DB350" s="130"/>
      <c r="DC350" s="130"/>
      <c r="DD350" s="130"/>
      <c r="DE350" s="130"/>
      <c r="DF350" s="130"/>
      <c r="DG350" s="3"/>
      <c r="DH350" s="3"/>
      <c r="DI350" s="3"/>
      <c r="DJ350" s="3"/>
      <c r="DK350" s="3"/>
      <c r="DL350" s="3"/>
      <c r="DM350" s="3"/>
      <c r="DN350" s="3"/>
      <c r="DO350" s="3"/>
      <c r="DP350" s="3"/>
      <c r="DQ350" s="3"/>
      <c r="DR350" s="3"/>
      <c r="DS350" s="3"/>
      <c r="DT350" s="3"/>
      <c r="DU350" s="3"/>
      <c r="DV350" s="3"/>
      <c r="DW350" s="130"/>
      <c r="DX350" s="130"/>
      <c r="DY350" s="130"/>
      <c r="DZ350" s="130"/>
      <c r="EA350" s="130"/>
      <c r="EB350" s="130"/>
      <c r="EC350" s="130"/>
      <c r="ED350" s="130"/>
      <c r="EE350" s="3"/>
      <c r="EF350" s="3"/>
      <c r="EG350" s="3"/>
      <c r="EH350" s="3"/>
      <c r="EI350" s="3"/>
      <c r="EJ350" s="3"/>
      <c r="EK350" s="3"/>
      <c r="EL350" s="3"/>
      <c r="EM350" s="3"/>
      <c r="EN350" s="3"/>
      <c r="EO350" s="3"/>
      <c r="EP350" s="3"/>
      <c r="EQ350" s="3"/>
      <c r="ER350" s="3"/>
      <c r="ES350" s="3"/>
      <c r="ET350" s="3"/>
      <c r="EU350" s="130"/>
      <c r="EV350" s="130"/>
      <c r="EW350" s="130"/>
      <c r="EX350" s="130"/>
      <c r="EY350" s="130"/>
      <c r="EZ350" s="130"/>
      <c r="FA350" s="130"/>
      <c r="FB350" s="130"/>
      <c r="FC350" s="3"/>
      <c r="FD350" s="3"/>
      <c r="FE350" s="3"/>
      <c r="FF350" s="3"/>
      <c r="FG350" s="3"/>
      <c r="FH350" s="3"/>
      <c r="FI350" s="3"/>
      <c r="FJ350" s="3"/>
      <c r="FK350" s="3"/>
      <c r="FL350" s="3"/>
      <c r="FM350" s="3"/>
      <c r="FN350" s="3"/>
      <c r="FO350" s="3"/>
      <c r="FP350" s="3"/>
      <c r="FQ350" s="3"/>
      <c r="FR350" s="3"/>
      <c r="FS350" s="130"/>
      <c r="FT350" s="130"/>
      <c r="FU350" s="130"/>
      <c r="FV350" s="130"/>
      <c r="FW350" s="130"/>
      <c r="FX350" s="130"/>
      <c r="FY350" s="130"/>
      <c r="FZ350" s="130"/>
      <c r="GA350" s="3"/>
      <c r="GB350" s="3"/>
      <c r="GC350" s="3"/>
      <c r="GD350" s="3"/>
      <c r="GE350" s="3"/>
      <c r="GF350" s="3"/>
    </row>
    <row r="351" spans="1:188" s="3" customFormat="1">
      <c r="A351" s="80">
        <v>62</v>
      </c>
      <c r="B351" s="29">
        <v>43074</v>
      </c>
      <c r="C351" s="18"/>
      <c r="D351" s="19" t="s">
        <v>1186</v>
      </c>
      <c r="E351" s="20" t="s">
        <v>428</v>
      </c>
      <c r="F351" s="82" t="s">
        <v>434</v>
      </c>
      <c r="G351" s="58">
        <v>1709</v>
      </c>
      <c r="H351" s="121">
        <v>3111400</v>
      </c>
      <c r="I351" s="24">
        <v>2963238</v>
      </c>
      <c r="J351" s="24"/>
      <c r="K351" s="24">
        <f t="shared" si="23"/>
        <v>2963238</v>
      </c>
      <c r="L351" s="123">
        <v>1</v>
      </c>
      <c r="M351" s="24">
        <f t="shared" si="24"/>
        <v>2963238</v>
      </c>
      <c r="N351" s="124">
        <f t="shared" si="25"/>
        <v>0</v>
      </c>
      <c r="O351" s="107" t="s">
        <v>1216</v>
      </c>
      <c r="P351" s="125"/>
      <c r="Q351" s="125"/>
      <c r="R351" s="125"/>
      <c r="S351" s="125"/>
      <c r="T351" s="125"/>
      <c r="U351" s="125"/>
      <c r="V351" s="125"/>
      <c r="W351" s="125"/>
      <c r="X351" s="125"/>
      <c r="Y351" s="125"/>
      <c r="Z351" s="125"/>
      <c r="AA351" s="125"/>
      <c r="AB351" s="125"/>
      <c r="AC351" s="125"/>
      <c r="AD351" s="125"/>
      <c r="AE351" s="167"/>
      <c r="AF351" s="167"/>
      <c r="AG351" s="167"/>
      <c r="AH351" s="167"/>
      <c r="AI351" s="167"/>
      <c r="AJ351" s="167"/>
      <c r="AK351" s="167"/>
      <c r="AL351" s="167"/>
      <c r="AM351" s="125"/>
      <c r="AN351" s="125"/>
      <c r="AO351" s="125"/>
      <c r="AP351" s="125"/>
      <c r="AQ351" s="125"/>
      <c r="AR351" s="125"/>
      <c r="AS351" s="125"/>
      <c r="AT351" s="125"/>
      <c r="AU351" s="125"/>
      <c r="AV351" s="125"/>
      <c r="AW351" s="125"/>
      <c r="AX351" s="125"/>
      <c r="AY351" s="125"/>
      <c r="AZ351" s="125"/>
      <c r="BA351" s="125"/>
      <c r="BB351" s="125"/>
      <c r="BC351" s="167"/>
      <c r="BD351" s="167"/>
      <c r="BE351" s="167"/>
      <c r="BF351" s="167"/>
      <c r="BG351" s="167"/>
      <c r="BH351" s="167"/>
      <c r="BI351" s="167"/>
      <c r="BJ351" s="167"/>
      <c r="BK351" s="125"/>
      <c r="BL351" s="125"/>
      <c r="BM351" s="125"/>
      <c r="BN351" s="125"/>
      <c r="BO351" s="125"/>
      <c r="BP351" s="125"/>
      <c r="BQ351" s="125"/>
      <c r="BR351" s="125"/>
      <c r="BS351" s="125"/>
      <c r="BT351" s="125"/>
      <c r="BU351" s="125"/>
      <c r="BV351" s="125"/>
      <c r="BW351" s="125"/>
      <c r="BX351" s="125"/>
      <c r="BY351" s="125"/>
      <c r="BZ351" s="125"/>
      <c r="CA351" s="167"/>
      <c r="CB351" s="167"/>
      <c r="CC351" s="167"/>
      <c r="CD351" s="167"/>
      <c r="CE351" s="167"/>
      <c r="CF351" s="167"/>
      <c r="CG351" s="167"/>
      <c r="CH351" s="167"/>
      <c r="CI351" s="125"/>
      <c r="CJ351" s="125"/>
      <c r="CK351" s="125"/>
      <c r="CL351" s="125"/>
      <c r="CM351" s="125"/>
      <c r="CN351" s="125"/>
      <c r="CO351" s="125"/>
      <c r="CP351" s="125"/>
      <c r="CQ351" s="125"/>
      <c r="CR351" s="125"/>
      <c r="CS351" s="125"/>
      <c r="CT351" s="125"/>
      <c r="CU351" s="125"/>
      <c r="CV351" s="125"/>
      <c r="CW351" s="125"/>
      <c r="CX351" s="125"/>
      <c r="CY351" s="167"/>
      <c r="CZ351" s="167"/>
      <c r="DA351" s="167"/>
      <c r="DB351" s="167"/>
      <c r="DC351" s="167"/>
      <c r="DD351" s="167"/>
      <c r="DE351" s="167"/>
      <c r="DF351" s="167"/>
      <c r="DG351" s="125"/>
      <c r="DH351" s="125"/>
      <c r="DI351" s="125"/>
      <c r="DJ351" s="125"/>
      <c r="DK351" s="125"/>
      <c r="DL351" s="125"/>
      <c r="DM351" s="125"/>
      <c r="DN351" s="125"/>
      <c r="DO351" s="125"/>
      <c r="DP351" s="125"/>
      <c r="DQ351" s="125"/>
      <c r="DR351" s="125"/>
      <c r="DS351" s="125"/>
      <c r="DT351" s="125"/>
      <c r="DU351" s="125"/>
      <c r="DV351" s="125"/>
      <c r="DW351" s="167"/>
      <c r="DX351" s="167"/>
      <c r="DY351" s="167"/>
      <c r="DZ351" s="167"/>
      <c r="EA351" s="167"/>
      <c r="EB351" s="167"/>
      <c r="EC351" s="167"/>
      <c r="ED351" s="167"/>
      <c r="EE351" s="125"/>
      <c r="EF351" s="125"/>
      <c r="EG351" s="125"/>
      <c r="EH351" s="125"/>
      <c r="EI351" s="125"/>
      <c r="EJ351" s="125"/>
      <c r="EK351" s="125"/>
      <c r="EL351" s="125"/>
      <c r="EM351" s="125"/>
      <c r="EN351" s="125"/>
      <c r="EO351" s="125"/>
      <c r="EP351" s="125"/>
      <c r="EQ351" s="125"/>
      <c r="ER351" s="125"/>
      <c r="ES351" s="125"/>
      <c r="ET351" s="125"/>
      <c r="EU351" s="167"/>
      <c r="EV351" s="167"/>
      <c r="EW351" s="167"/>
      <c r="EX351" s="167"/>
      <c r="EY351" s="167"/>
      <c r="EZ351" s="167"/>
      <c r="FA351" s="167"/>
      <c r="FB351" s="167"/>
      <c r="FC351" s="125"/>
      <c r="FD351" s="125"/>
      <c r="FE351" s="125"/>
      <c r="FF351" s="125"/>
      <c r="FG351" s="125"/>
      <c r="FH351" s="125"/>
      <c r="FI351" s="125"/>
      <c r="FJ351" s="125"/>
      <c r="FK351" s="125"/>
      <c r="FL351" s="125"/>
      <c r="FM351" s="125"/>
      <c r="FN351" s="125"/>
      <c r="FO351" s="125"/>
      <c r="FP351" s="125"/>
      <c r="FQ351" s="125"/>
      <c r="FR351" s="125"/>
      <c r="FS351" s="167"/>
      <c r="FT351" s="167"/>
      <c r="FU351" s="167"/>
      <c r="FV351" s="167"/>
      <c r="FW351" s="167"/>
      <c r="FX351" s="167"/>
      <c r="FY351" s="167"/>
      <c r="FZ351" s="167"/>
      <c r="GA351" s="125"/>
      <c r="GB351" s="125"/>
      <c r="GC351" s="125"/>
      <c r="GD351" s="125"/>
      <c r="GE351" s="125"/>
      <c r="GF351" s="125"/>
    </row>
    <row r="352" spans="1:188" s="3" customFormat="1">
      <c r="A352" s="80">
        <v>63</v>
      </c>
      <c r="B352" s="29">
        <v>43075</v>
      </c>
      <c r="C352" s="18"/>
      <c r="D352" s="19" t="s">
        <v>1186</v>
      </c>
      <c r="E352" s="20" t="s">
        <v>442</v>
      </c>
      <c r="F352" s="62" t="s">
        <v>444</v>
      </c>
      <c r="G352" s="63">
        <v>1708</v>
      </c>
      <c r="H352" s="121">
        <v>1710800</v>
      </c>
      <c r="I352" s="24">
        <v>1629333</v>
      </c>
      <c r="J352" s="24"/>
      <c r="K352" s="24">
        <f t="shared" si="23"/>
        <v>1629333</v>
      </c>
      <c r="L352" s="123">
        <v>1</v>
      </c>
      <c r="M352" s="24">
        <f t="shared" si="24"/>
        <v>1629333</v>
      </c>
      <c r="N352" s="124">
        <f t="shared" si="25"/>
        <v>0</v>
      </c>
      <c r="O352" s="107" t="s">
        <v>1216</v>
      </c>
      <c r="P352" s="125"/>
      <c r="Q352" s="125"/>
      <c r="R352" s="125"/>
      <c r="S352" s="125"/>
      <c r="T352" s="125"/>
      <c r="U352" s="125"/>
      <c r="V352" s="125"/>
      <c r="W352" s="125"/>
      <c r="X352" s="125"/>
      <c r="Y352" s="125"/>
      <c r="Z352" s="125"/>
      <c r="AA352" s="125"/>
      <c r="AB352" s="125"/>
      <c r="AC352" s="125"/>
      <c r="AD352" s="125"/>
      <c r="AE352" s="167"/>
      <c r="AF352" s="167"/>
      <c r="AG352" s="167"/>
      <c r="AH352" s="167"/>
      <c r="AI352" s="167"/>
      <c r="AJ352" s="167"/>
      <c r="AK352" s="167"/>
      <c r="AL352" s="167"/>
      <c r="AM352" s="125"/>
      <c r="AN352" s="125"/>
      <c r="AO352" s="125"/>
      <c r="AP352" s="125"/>
      <c r="AQ352" s="125"/>
      <c r="AR352" s="125"/>
      <c r="AS352" s="125"/>
      <c r="AT352" s="125"/>
      <c r="AU352" s="125"/>
      <c r="AV352" s="125"/>
      <c r="AW352" s="125"/>
      <c r="AX352" s="125"/>
      <c r="AY352" s="125"/>
      <c r="AZ352" s="125"/>
      <c r="BA352" s="125"/>
      <c r="BB352" s="125"/>
      <c r="BC352" s="167"/>
      <c r="BD352" s="167"/>
      <c r="BE352" s="167"/>
      <c r="BF352" s="167"/>
      <c r="BG352" s="167"/>
      <c r="BH352" s="167"/>
      <c r="BI352" s="167"/>
      <c r="BJ352" s="167"/>
      <c r="BK352" s="125"/>
      <c r="BL352" s="125"/>
      <c r="BM352" s="125"/>
      <c r="BN352" s="125"/>
      <c r="BO352" s="125"/>
      <c r="BP352" s="125"/>
      <c r="BQ352" s="125"/>
      <c r="BR352" s="125"/>
      <c r="BS352" s="125"/>
      <c r="BT352" s="125"/>
      <c r="BU352" s="125"/>
      <c r="BV352" s="125"/>
      <c r="BW352" s="125"/>
      <c r="BX352" s="125"/>
      <c r="BY352" s="125"/>
      <c r="BZ352" s="125"/>
      <c r="CA352" s="167"/>
      <c r="CB352" s="167"/>
      <c r="CC352" s="167"/>
      <c r="CD352" s="167"/>
      <c r="CE352" s="167"/>
      <c r="CF352" s="167"/>
      <c r="CG352" s="167"/>
      <c r="CH352" s="167"/>
      <c r="CI352" s="125"/>
      <c r="CJ352" s="125"/>
      <c r="CK352" s="125"/>
      <c r="CL352" s="125"/>
      <c r="CM352" s="125"/>
      <c r="CN352" s="125"/>
      <c r="CO352" s="125"/>
      <c r="CP352" s="125"/>
      <c r="CQ352" s="125"/>
      <c r="CR352" s="125"/>
      <c r="CS352" s="125"/>
      <c r="CT352" s="125"/>
      <c r="CU352" s="125"/>
      <c r="CV352" s="125"/>
      <c r="CW352" s="125"/>
      <c r="CX352" s="125"/>
      <c r="CY352" s="167"/>
      <c r="CZ352" s="167"/>
      <c r="DA352" s="167"/>
      <c r="DB352" s="167"/>
      <c r="DC352" s="167"/>
      <c r="DD352" s="167"/>
      <c r="DE352" s="167"/>
      <c r="DF352" s="167"/>
      <c r="DG352" s="125"/>
      <c r="DH352" s="125"/>
      <c r="DI352" s="125"/>
      <c r="DJ352" s="125"/>
      <c r="DK352" s="125"/>
      <c r="DL352" s="125"/>
      <c r="DM352" s="125"/>
      <c r="DN352" s="125"/>
      <c r="DO352" s="125"/>
      <c r="DP352" s="125"/>
      <c r="DQ352" s="125"/>
      <c r="DR352" s="125"/>
      <c r="DS352" s="125"/>
      <c r="DT352" s="125"/>
      <c r="DU352" s="125"/>
      <c r="DV352" s="125"/>
      <c r="DW352" s="167"/>
      <c r="DX352" s="167"/>
      <c r="DY352" s="167"/>
      <c r="DZ352" s="167"/>
      <c r="EA352" s="167"/>
      <c r="EB352" s="167"/>
      <c r="EC352" s="167"/>
      <c r="ED352" s="167"/>
      <c r="EE352" s="125"/>
      <c r="EF352" s="125"/>
      <c r="EG352" s="125"/>
      <c r="EH352" s="125"/>
      <c r="EI352" s="125"/>
      <c r="EJ352" s="125"/>
      <c r="EK352" s="125"/>
      <c r="EL352" s="125"/>
      <c r="EM352" s="125"/>
      <c r="EN352" s="125"/>
      <c r="EO352" s="125"/>
      <c r="EP352" s="125"/>
      <c r="EQ352" s="125"/>
      <c r="ER352" s="125"/>
      <c r="ES352" s="125"/>
      <c r="ET352" s="125"/>
      <c r="EU352" s="167"/>
      <c r="EV352" s="167"/>
      <c r="EW352" s="167"/>
      <c r="EX352" s="167"/>
      <c r="EY352" s="167"/>
      <c r="EZ352" s="167"/>
      <c r="FA352" s="167"/>
      <c r="FB352" s="167"/>
      <c r="FC352" s="125"/>
      <c r="FD352" s="125"/>
      <c r="FE352" s="125"/>
      <c r="FF352" s="125"/>
      <c r="FG352" s="125"/>
      <c r="FH352" s="125"/>
      <c r="FI352" s="125"/>
      <c r="FJ352" s="125"/>
      <c r="FK352" s="125"/>
      <c r="FL352" s="125"/>
      <c r="FM352" s="125"/>
      <c r="FN352" s="125"/>
      <c r="FO352" s="125"/>
      <c r="FP352" s="125"/>
      <c r="FQ352" s="125"/>
      <c r="FR352" s="125"/>
      <c r="FS352" s="167"/>
      <c r="FT352" s="167"/>
      <c r="FU352" s="167"/>
      <c r="FV352" s="167"/>
      <c r="FW352" s="167"/>
      <c r="FX352" s="167"/>
      <c r="FY352" s="167"/>
      <c r="FZ352" s="167"/>
      <c r="GA352" s="125"/>
      <c r="GB352" s="125"/>
      <c r="GC352" s="125"/>
      <c r="GD352" s="125"/>
      <c r="GE352" s="125"/>
      <c r="GF352" s="125"/>
    </row>
    <row r="353" spans="1:188" s="3" customFormat="1">
      <c r="A353" s="80">
        <v>64</v>
      </c>
      <c r="B353" s="29">
        <v>43091</v>
      </c>
      <c r="C353" s="18"/>
      <c r="D353" s="19" t="s">
        <v>1189</v>
      </c>
      <c r="E353" s="20" t="s">
        <v>447</v>
      </c>
      <c r="F353" s="82" t="s">
        <v>451</v>
      </c>
      <c r="G353" s="63">
        <v>1710</v>
      </c>
      <c r="H353" s="121">
        <v>1626200</v>
      </c>
      <c r="I353" s="24">
        <v>1548762</v>
      </c>
      <c r="J353" s="24"/>
      <c r="K353" s="24">
        <f t="shared" si="23"/>
        <v>1548762</v>
      </c>
      <c r="L353" s="123">
        <v>1</v>
      </c>
      <c r="M353" s="24">
        <f t="shared" si="24"/>
        <v>1548762</v>
      </c>
      <c r="N353" s="124">
        <f t="shared" si="25"/>
        <v>0</v>
      </c>
      <c r="O353" s="107" t="s">
        <v>1216</v>
      </c>
      <c r="P353" s="125"/>
      <c r="Q353" s="125"/>
      <c r="R353" s="125"/>
      <c r="S353" s="125"/>
      <c r="T353" s="125"/>
      <c r="U353" s="125"/>
      <c r="V353" s="125"/>
      <c r="W353" s="125"/>
      <c r="X353" s="125"/>
      <c r="Y353" s="125"/>
      <c r="Z353" s="125"/>
      <c r="AA353" s="125"/>
      <c r="AB353" s="125"/>
      <c r="AC353" s="125"/>
      <c r="AD353" s="125"/>
      <c r="AE353" s="167"/>
      <c r="AF353" s="167"/>
      <c r="AG353" s="167"/>
      <c r="AH353" s="167"/>
      <c r="AI353" s="167"/>
      <c r="AJ353" s="167"/>
      <c r="AK353" s="167"/>
      <c r="AL353" s="167"/>
      <c r="AM353" s="125"/>
      <c r="AN353" s="125"/>
      <c r="AO353" s="125"/>
      <c r="AP353" s="125"/>
      <c r="AQ353" s="125"/>
      <c r="AR353" s="125"/>
      <c r="AS353" s="125"/>
      <c r="AT353" s="125"/>
      <c r="AU353" s="125"/>
      <c r="AV353" s="125"/>
      <c r="AW353" s="125"/>
      <c r="AX353" s="125"/>
      <c r="AY353" s="125"/>
      <c r="AZ353" s="125"/>
      <c r="BA353" s="125"/>
      <c r="BB353" s="125"/>
      <c r="BC353" s="167"/>
      <c r="BD353" s="167"/>
      <c r="BE353" s="167"/>
      <c r="BF353" s="167"/>
      <c r="BG353" s="167"/>
      <c r="BH353" s="167"/>
      <c r="BI353" s="167"/>
      <c r="BJ353" s="167"/>
      <c r="BK353" s="125"/>
      <c r="BL353" s="125"/>
      <c r="BM353" s="125"/>
      <c r="BN353" s="125"/>
      <c r="BO353" s="125"/>
      <c r="BP353" s="125"/>
      <c r="BQ353" s="125"/>
      <c r="BR353" s="125"/>
      <c r="BS353" s="125"/>
      <c r="BT353" s="125"/>
      <c r="BU353" s="125"/>
      <c r="BV353" s="125"/>
      <c r="BW353" s="125"/>
      <c r="BX353" s="125"/>
      <c r="BY353" s="125"/>
      <c r="BZ353" s="125"/>
      <c r="CA353" s="167"/>
      <c r="CB353" s="167"/>
      <c r="CC353" s="167"/>
      <c r="CD353" s="167"/>
      <c r="CE353" s="167"/>
      <c r="CF353" s="167"/>
      <c r="CG353" s="167"/>
      <c r="CH353" s="167"/>
      <c r="CI353" s="125"/>
      <c r="CJ353" s="125"/>
      <c r="CK353" s="125"/>
      <c r="CL353" s="125"/>
      <c r="CM353" s="125"/>
      <c r="CN353" s="125"/>
      <c r="CO353" s="125"/>
      <c r="CP353" s="125"/>
      <c r="CQ353" s="125"/>
      <c r="CR353" s="125"/>
      <c r="CS353" s="125"/>
      <c r="CT353" s="125"/>
      <c r="CU353" s="125"/>
      <c r="CV353" s="125"/>
      <c r="CW353" s="125"/>
      <c r="CX353" s="125"/>
      <c r="CY353" s="167"/>
      <c r="CZ353" s="167"/>
      <c r="DA353" s="167"/>
      <c r="DB353" s="167"/>
      <c r="DC353" s="167"/>
      <c r="DD353" s="167"/>
      <c r="DE353" s="167"/>
      <c r="DF353" s="167"/>
      <c r="DG353" s="125"/>
      <c r="DH353" s="125"/>
      <c r="DI353" s="125"/>
      <c r="DJ353" s="125"/>
      <c r="DK353" s="125"/>
      <c r="DL353" s="125"/>
      <c r="DM353" s="125"/>
      <c r="DN353" s="125"/>
      <c r="DO353" s="125"/>
      <c r="DP353" s="125"/>
      <c r="DQ353" s="125"/>
      <c r="DR353" s="125"/>
      <c r="DS353" s="125"/>
      <c r="DT353" s="125"/>
      <c r="DU353" s="125"/>
      <c r="DV353" s="125"/>
      <c r="DW353" s="167"/>
      <c r="DX353" s="167"/>
      <c r="DY353" s="167"/>
      <c r="DZ353" s="167"/>
      <c r="EA353" s="167"/>
      <c r="EB353" s="167"/>
      <c r="EC353" s="167"/>
      <c r="ED353" s="167"/>
      <c r="EE353" s="125"/>
      <c r="EF353" s="125"/>
      <c r="EG353" s="125"/>
      <c r="EH353" s="125"/>
      <c r="EI353" s="125"/>
      <c r="EJ353" s="125"/>
      <c r="EK353" s="125"/>
      <c r="EL353" s="125"/>
      <c r="EM353" s="125"/>
      <c r="EN353" s="125"/>
      <c r="EO353" s="125"/>
      <c r="EP353" s="125"/>
      <c r="EQ353" s="125"/>
      <c r="ER353" s="125"/>
      <c r="ES353" s="125"/>
      <c r="ET353" s="125"/>
      <c r="EU353" s="167"/>
      <c r="EV353" s="167"/>
      <c r="EW353" s="167"/>
      <c r="EX353" s="167"/>
      <c r="EY353" s="167"/>
      <c r="EZ353" s="167"/>
      <c r="FA353" s="167"/>
      <c r="FB353" s="167"/>
      <c r="FC353" s="125"/>
      <c r="FD353" s="125"/>
      <c r="FE353" s="125"/>
      <c r="FF353" s="125"/>
      <c r="FG353" s="125"/>
      <c r="FH353" s="125"/>
      <c r="FI353" s="125"/>
      <c r="FJ353" s="125"/>
      <c r="FK353" s="125"/>
      <c r="FL353" s="125"/>
      <c r="FM353" s="125"/>
      <c r="FN353" s="125"/>
      <c r="FO353" s="125"/>
      <c r="FP353" s="125"/>
      <c r="FQ353" s="125"/>
      <c r="FR353" s="125"/>
      <c r="FS353" s="167"/>
      <c r="FT353" s="167"/>
      <c r="FU353" s="167"/>
      <c r="FV353" s="167"/>
      <c r="FW353" s="167"/>
      <c r="FX353" s="167"/>
      <c r="FY353" s="167"/>
      <c r="FZ353" s="167"/>
      <c r="GA353" s="125"/>
      <c r="GB353" s="125"/>
      <c r="GC353" s="125"/>
      <c r="GD353" s="125"/>
      <c r="GE353" s="125"/>
      <c r="GF353" s="125"/>
    </row>
    <row r="354" spans="1:188" s="3" customFormat="1">
      <c r="A354" s="80">
        <v>65</v>
      </c>
      <c r="B354" s="17">
        <v>43091</v>
      </c>
      <c r="C354" s="18"/>
      <c r="D354" s="19" t="s">
        <v>1189</v>
      </c>
      <c r="E354" s="20" t="s">
        <v>447</v>
      </c>
      <c r="F354" s="82" t="s">
        <v>1259</v>
      </c>
      <c r="G354" s="63">
        <v>1710</v>
      </c>
      <c r="H354" s="121">
        <v>1626200</v>
      </c>
      <c r="I354" s="24"/>
      <c r="J354" s="24">
        <f t="shared" ref="J354:J359" si="26">H354/1.05</f>
        <v>1548761.9047619046</v>
      </c>
      <c r="K354" s="24">
        <f t="shared" si="23"/>
        <v>1548761.9047619046</v>
      </c>
      <c r="L354" s="123">
        <v>1</v>
      </c>
      <c r="M354" s="24">
        <f t="shared" si="24"/>
        <v>1548761.9047619046</v>
      </c>
      <c r="N354" s="124">
        <f t="shared" si="25"/>
        <v>0</v>
      </c>
      <c r="O354" s="107" t="s">
        <v>1216</v>
      </c>
      <c r="AE354" s="130"/>
      <c r="AF354" s="130"/>
      <c r="AG354" s="130"/>
      <c r="AH354" s="130"/>
      <c r="AI354" s="130"/>
      <c r="AJ354" s="130"/>
      <c r="AK354" s="130"/>
      <c r="AL354" s="130"/>
      <c r="BC354" s="130"/>
      <c r="BD354" s="130"/>
      <c r="BE354" s="130"/>
      <c r="BF354" s="130"/>
      <c r="BG354" s="130"/>
      <c r="BH354" s="130"/>
      <c r="BI354" s="130"/>
      <c r="BJ354" s="130"/>
      <c r="CA354" s="130"/>
      <c r="CB354" s="130"/>
      <c r="CC354" s="130"/>
      <c r="CD354" s="130"/>
      <c r="CE354" s="130"/>
      <c r="CF354" s="130"/>
      <c r="CG354" s="130"/>
      <c r="CH354" s="130"/>
      <c r="CY354" s="130"/>
      <c r="CZ354" s="130"/>
      <c r="DA354" s="130"/>
      <c r="DB354" s="130"/>
      <c r="DC354" s="130"/>
      <c r="DD354" s="130"/>
      <c r="DE354" s="130"/>
      <c r="DF354" s="130"/>
      <c r="DW354" s="130"/>
      <c r="DX354" s="130"/>
      <c r="DY354" s="130"/>
      <c r="DZ354" s="130"/>
      <c r="EA354" s="130"/>
      <c r="EB354" s="130"/>
      <c r="EC354" s="130"/>
      <c r="ED354" s="130"/>
      <c r="EU354" s="130"/>
      <c r="EV354" s="130"/>
      <c r="EW354" s="130"/>
      <c r="EX354" s="130"/>
      <c r="EY354" s="130"/>
      <c r="EZ354" s="130"/>
      <c r="FA354" s="130"/>
      <c r="FB354" s="130"/>
      <c r="FS354" s="130"/>
      <c r="FT354" s="130"/>
      <c r="FU354" s="130"/>
      <c r="FV354" s="130"/>
      <c r="FW354" s="130"/>
      <c r="FX354" s="130"/>
      <c r="FY354" s="130"/>
      <c r="FZ354" s="130"/>
    </row>
    <row r="355" spans="1:188" s="3" customFormat="1">
      <c r="A355" s="80">
        <v>66</v>
      </c>
      <c r="B355" s="17">
        <v>43129</v>
      </c>
      <c r="C355" s="18"/>
      <c r="D355" s="19" t="s">
        <v>1189</v>
      </c>
      <c r="E355" s="20" t="s">
        <v>447</v>
      </c>
      <c r="F355" s="120" t="s">
        <v>1260</v>
      </c>
      <c r="G355" s="58">
        <v>1710</v>
      </c>
      <c r="H355" s="121">
        <v>1626200</v>
      </c>
      <c r="I355" s="24"/>
      <c r="J355" s="24">
        <f t="shared" si="26"/>
        <v>1548761.9047619046</v>
      </c>
      <c r="K355" s="24">
        <f t="shared" si="23"/>
        <v>1548761.9047619046</v>
      </c>
      <c r="L355" s="123">
        <v>1</v>
      </c>
      <c r="M355" s="24">
        <f t="shared" si="24"/>
        <v>1548761.9047619046</v>
      </c>
      <c r="N355" s="124">
        <f t="shared" si="25"/>
        <v>0</v>
      </c>
      <c r="O355" s="107" t="s">
        <v>1216</v>
      </c>
      <c r="AE355" s="130"/>
      <c r="AF355" s="130"/>
      <c r="AG355" s="130"/>
      <c r="AH355" s="130"/>
      <c r="AI355" s="130"/>
      <c r="AJ355" s="130"/>
      <c r="AK355" s="130"/>
      <c r="AL355" s="130"/>
      <c r="BC355" s="130"/>
      <c r="BD355" s="130"/>
      <c r="BE355" s="130"/>
      <c r="BF355" s="130"/>
      <c r="BG355" s="130"/>
      <c r="BH355" s="130"/>
      <c r="BI355" s="130"/>
      <c r="BJ355" s="130"/>
      <c r="CA355" s="130"/>
      <c r="CB355" s="130"/>
      <c r="CC355" s="130"/>
      <c r="CD355" s="130"/>
      <c r="CE355" s="130"/>
      <c r="CF355" s="130"/>
      <c r="CG355" s="130"/>
      <c r="CH355" s="130"/>
      <c r="CY355" s="130"/>
      <c r="CZ355" s="130"/>
      <c r="DA355" s="130"/>
      <c r="DB355" s="130"/>
      <c r="DC355" s="130"/>
      <c r="DD355" s="130"/>
      <c r="DE355" s="130"/>
      <c r="DF355" s="130"/>
      <c r="DW355" s="130"/>
      <c r="DX355" s="130"/>
      <c r="DY355" s="130"/>
      <c r="DZ355" s="130"/>
      <c r="EA355" s="130"/>
      <c r="EB355" s="130"/>
      <c r="EC355" s="130"/>
      <c r="ED355" s="130"/>
      <c r="EU355" s="130"/>
      <c r="EV355" s="130"/>
      <c r="EW355" s="130"/>
      <c r="EX355" s="130"/>
      <c r="EY355" s="130"/>
      <c r="EZ355" s="130"/>
      <c r="FA355" s="130"/>
      <c r="FB355" s="130"/>
      <c r="FS355" s="130"/>
      <c r="FT355" s="130"/>
      <c r="FU355" s="130"/>
      <c r="FV355" s="130"/>
      <c r="FW355" s="130"/>
      <c r="FX355" s="130"/>
      <c r="FY355" s="130"/>
      <c r="FZ355" s="130"/>
    </row>
    <row r="356" spans="1:188" s="3" customFormat="1">
      <c r="A356" s="80">
        <v>67</v>
      </c>
      <c r="B356" s="17">
        <v>43129</v>
      </c>
      <c r="C356" s="18"/>
      <c r="D356" s="19" t="s">
        <v>1189</v>
      </c>
      <c r="E356" s="20" t="s">
        <v>447</v>
      </c>
      <c r="F356" s="82" t="s">
        <v>1261</v>
      </c>
      <c r="G356" s="58">
        <v>1710</v>
      </c>
      <c r="H356" s="121">
        <v>1626200</v>
      </c>
      <c r="I356" s="24"/>
      <c r="J356" s="24">
        <f t="shared" si="26"/>
        <v>1548761.9047619046</v>
      </c>
      <c r="K356" s="24">
        <f t="shared" si="23"/>
        <v>1548761.9047619046</v>
      </c>
      <c r="L356" s="123">
        <v>1</v>
      </c>
      <c r="M356" s="24">
        <f t="shared" si="24"/>
        <v>1548761.9047619046</v>
      </c>
      <c r="N356" s="124">
        <f t="shared" si="25"/>
        <v>0</v>
      </c>
      <c r="O356" s="107" t="s">
        <v>1216</v>
      </c>
      <c r="AE356" s="141"/>
      <c r="AF356" s="142"/>
      <c r="AG356" s="142"/>
      <c r="AH356" s="142"/>
      <c r="AI356" s="142"/>
      <c r="AJ356" s="142"/>
      <c r="AK356" s="142"/>
      <c r="AL356" s="143"/>
      <c r="BC356" s="141"/>
      <c r="BD356" s="142"/>
      <c r="BE356" s="142"/>
      <c r="BF356" s="142"/>
      <c r="BG356" s="142"/>
      <c r="BH356" s="142"/>
      <c r="BI356" s="142"/>
      <c r="BJ356" s="143"/>
      <c r="CA356" s="141"/>
      <c r="CB356" s="142"/>
      <c r="CC356" s="142"/>
      <c r="CD356" s="142"/>
      <c r="CE356" s="142"/>
      <c r="CF356" s="142"/>
      <c r="CG356" s="142"/>
      <c r="CH356" s="143"/>
      <c r="CY356" s="141"/>
      <c r="CZ356" s="142"/>
      <c r="DA356" s="142"/>
      <c r="DB356" s="142"/>
      <c r="DC356" s="142"/>
      <c r="DD356" s="142"/>
      <c r="DE356" s="142"/>
      <c r="DF356" s="143"/>
      <c r="DW356" s="141"/>
      <c r="DX356" s="142"/>
      <c r="DY356" s="142"/>
      <c r="DZ356" s="142"/>
      <c r="EA356" s="142"/>
      <c r="EB356" s="142"/>
      <c r="EC356" s="142"/>
      <c r="ED356" s="143"/>
      <c r="EU356" s="141"/>
      <c r="EV356" s="142"/>
      <c r="EW356" s="142"/>
      <c r="EX356" s="142"/>
      <c r="EY356" s="142"/>
      <c r="EZ356" s="142"/>
      <c r="FA356" s="142"/>
      <c r="FB356" s="143"/>
      <c r="FS356" s="141"/>
      <c r="FT356" s="142"/>
      <c r="FU356" s="142"/>
      <c r="FV356" s="142"/>
      <c r="FW356" s="142"/>
      <c r="FX356" s="142"/>
      <c r="FY356" s="142"/>
      <c r="FZ356" s="143"/>
    </row>
    <row r="357" spans="1:188" s="3" customFormat="1">
      <c r="A357" s="80">
        <v>68</v>
      </c>
      <c r="B357" s="29">
        <v>43116</v>
      </c>
      <c r="C357" s="18"/>
      <c r="D357" s="19" t="s">
        <v>1189</v>
      </c>
      <c r="E357" s="20" t="s">
        <v>447</v>
      </c>
      <c r="F357" s="168" t="s">
        <v>1262</v>
      </c>
      <c r="G357" s="63">
        <v>1710</v>
      </c>
      <c r="H357" s="121">
        <v>1626200</v>
      </c>
      <c r="I357" s="24"/>
      <c r="J357" s="24">
        <f t="shared" si="26"/>
        <v>1548761.9047619046</v>
      </c>
      <c r="K357" s="24">
        <f t="shared" si="23"/>
        <v>1548761.9047619046</v>
      </c>
      <c r="L357" s="123">
        <v>1</v>
      </c>
      <c r="M357" s="24">
        <f t="shared" si="24"/>
        <v>1548761.9047619046</v>
      </c>
      <c r="N357" s="124">
        <f t="shared" si="25"/>
        <v>0</v>
      </c>
      <c r="O357" s="107" t="s">
        <v>1216</v>
      </c>
      <c r="P357" s="125"/>
      <c r="Q357" s="125"/>
      <c r="R357" s="125"/>
      <c r="S357" s="125"/>
      <c r="T357" s="125"/>
      <c r="U357" s="125"/>
      <c r="V357" s="125"/>
      <c r="W357" s="125"/>
      <c r="X357" s="125"/>
      <c r="Y357" s="125"/>
      <c r="Z357" s="125"/>
      <c r="AA357" s="125"/>
      <c r="AB357" s="125"/>
      <c r="AC357" s="125"/>
      <c r="AD357" s="125"/>
      <c r="AE357" s="167"/>
      <c r="AF357" s="167"/>
      <c r="AG357" s="167"/>
      <c r="AH357" s="167"/>
      <c r="AI357" s="167"/>
      <c r="AJ357" s="167"/>
      <c r="AK357" s="167"/>
      <c r="AL357" s="167"/>
      <c r="AM357" s="125"/>
      <c r="AN357" s="125"/>
      <c r="AO357" s="125"/>
      <c r="AP357" s="125"/>
      <c r="AQ357" s="125"/>
      <c r="AR357" s="125"/>
      <c r="AS357" s="125"/>
      <c r="AT357" s="125"/>
      <c r="AU357" s="125"/>
      <c r="AV357" s="125"/>
      <c r="AW357" s="125"/>
      <c r="AX357" s="125"/>
      <c r="AY357" s="125"/>
      <c r="AZ357" s="125"/>
      <c r="BA357" s="125"/>
      <c r="BB357" s="125"/>
      <c r="BC357" s="167"/>
      <c r="BD357" s="167"/>
      <c r="BE357" s="167"/>
      <c r="BF357" s="167"/>
      <c r="BG357" s="167"/>
      <c r="BH357" s="167"/>
      <c r="BI357" s="167"/>
      <c r="BJ357" s="167"/>
      <c r="BK357" s="125"/>
      <c r="BL357" s="125"/>
      <c r="BM357" s="125"/>
      <c r="BN357" s="125"/>
      <c r="BO357" s="125"/>
      <c r="BP357" s="125"/>
      <c r="BQ357" s="125"/>
      <c r="BR357" s="125"/>
      <c r="BS357" s="125"/>
      <c r="BT357" s="125"/>
      <c r="BU357" s="125"/>
      <c r="BV357" s="125"/>
      <c r="BW357" s="125"/>
      <c r="BX357" s="125"/>
      <c r="BY357" s="125"/>
      <c r="BZ357" s="125"/>
      <c r="CA357" s="167"/>
      <c r="CB357" s="167"/>
      <c r="CC357" s="167"/>
      <c r="CD357" s="167"/>
      <c r="CE357" s="167"/>
      <c r="CF357" s="167"/>
      <c r="CG357" s="167"/>
      <c r="CH357" s="167"/>
      <c r="CI357" s="125"/>
      <c r="CJ357" s="125"/>
      <c r="CK357" s="125"/>
      <c r="CL357" s="125"/>
      <c r="CM357" s="125"/>
      <c r="CN357" s="125"/>
      <c r="CO357" s="125"/>
      <c r="CP357" s="125"/>
      <c r="CQ357" s="125"/>
      <c r="CR357" s="125"/>
      <c r="CS357" s="125"/>
      <c r="CT357" s="125"/>
      <c r="CU357" s="125"/>
      <c r="CV357" s="125"/>
      <c r="CW357" s="125"/>
      <c r="CX357" s="125"/>
      <c r="CY357" s="167"/>
      <c r="CZ357" s="167"/>
      <c r="DA357" s="167"/>
      <c r="DB357" s="167"/>
      <c r="DC357" s="167"/>
      <c r="DD357" s="167"/>
      <c r="DE357" s="167"/>
      <c r="DF357" s="167"/>
      <c r="DG357" s="125"/>
      <c r="DH357" s="125"/>
      <c r="DI357" s="125"/>
      <c r="DJ357" s="125"/>
      <c r="DK357" s="125"/>
      <c r="DL357" s="125"/>
      <c r="DM357" s="125"/>
      <c r="DN357" s="125"/>
      <c r="DO357" s="125"/>
      <c r="DP357" s="125"/>
      <c r="DQ357" s="125"/>
      <c r="DR357" s="125"/>
      <c r="DS357" s="125"/>
      <c r="DT357" s="125"/>
      <c r="DU357" s="125"/>
      <c r="DV357" s="125"/>
      <c r="DW357" s="167"/>
      <c r="DX357" s="167"/>
      <c r="DY357" s="167"/>
      <c r="DZ357" s="167"/>
      <c r="EA357" s="167"/>
      <c r="EB357" s="167"/>
      <c r="EC357" s="167"/>
      <c r="ED357" s="167"/>
      <c r="EE357" s="125"/>
      <c r="EF357" s="125"/>
      <c r="EG357" s="125"/>
      <c r="EH357" s="125"/>
      <c r="EI357" s="125"/>
      <c r="EJ357" s="125"/>
      <c r="EK357" s="125"/>
      <c r="EL357" s="125"/>
      <c r="EM357" s="125"/>
      <c r="EN357" s="125"/>
      <c r="EO357" s="125"/>
      <c r="EP357" s="125"/>
      <c r="EQ357" s="125"/>
      <c r="ER357" s="125"/>
      <c r="ES357" s="125"/>
      <c r="ET357" s="125"/>
      <c r="EU357" s="167"/>
      <c r="EV357" s="167"/>
      <c r="EW357" s="167"/>
      <c r="EX357" s="167"/>
      <c r="EY357" s="167"/>
      <c r="EZ357" s="167"/>
      <c r="FA357" s="167"/>
      <c r="FB357" s="167"/>
      <c r="FC357" s="125"/>
      <c r="FD357" s="125"/>
      <c r="FE357" s="125"/>
      <c r="FF357" s="125"/>
      <c r="FG357" s="125"/>
      <c r="FH357" s="125"/>
      <c r="FI357" s="125"/>
      <c r="FJ357" s="125"/>
      <c r="FK357" s="125"/>
      <c r="FL357" s="125"/>
      <c r="FM357" s="125"/>
      <c r="FN357" s="125"/>
      <c r="FO357" s="125"/>
      <c r="FP357" s="125"/>
      <c r="FQ357" s="125"/>
      <c r="FR357" s="125"/>
      <c r="FS357" s="167"/>
      <c r="FT357" s="167"/>
      <c r="FU357" s="167"/>
      <c r="FV357" s="167"/>
      <c r="FW357" s="167"/>
      <c r="FX357" s="167"/>
      <c r="FY357" s="167"/>
      <c r="FZ357" s="167"/>
      <c r="GA357" s="125"/>
      <c r="GB357" s="125"/>
      <c r="GC357" s="125"/>
      <c r="GD357" s="125"/>
      <c r="GE357" s="125"/>
      <c r="GF357" s="125"/>
    </row>
    <row r="358" spans="1:188" s="212" customFormat="1">
      <c r="A358" s="80">
        <v>69</v>
      </c>
      <c r="B358" s="17">
        <v>43122</v>
      </c>
      <c r="C358" s="18"/>
      <c r="D358" s="19" t="s">
        <v>1189</v>
      </c>
      <c r="E358" s="20" t="s">
        <v>447</v>
      </c>
      <c r="F358" s="168" t="s">
        <v>1263</v>
      </c>
      <c r="G358" s="63">
        <v>1710</v>
      </c>
      <c r="H358" s="121">
        <v>1626200</v>
      </c>
      <c r="I358" s="24"/>
      <c r="J358" s="24">
        <f t="shared" si="26"/>
        <v>1548761.9047619046</v>
      </c>
      <c r="K358" s="199">
        <f t="shared" si="23"/>
        <v>1548761.9047619046</v>
      </c>
      <c r="L358" s="123">
        <v>1</v>
      </c>
      <c r="M358" s="24">
        <f t="shared" si="24"/>
        <v>1548761.9047619046</v>
      </c>
      <c r="N358" s="124">
        <f t="shared" si="25"/>
        <v>0</v>
      </c>
      <c r="O358" s="107" t="s">
        <v>1216</v>
      </c>
      <c r="P358" s="125"/>
      <c r="Q358" s="125"/>
      <c r="R358" s="125"/>
      <c r="S358" s="125"/>
      <c r="T358" s="125"/>
      <c r="U358" s="125"/>
      <c r="V358" s="125"/>
      <c r="W358" s="125"/>
      <c r="X358" s="125"/>
      <c r="Y358" s="125"/>
      <c r="Z358" s="125"/>
      <c r="AA358" s="125"/>
      <c r="AB358" s="125"/>
      <c r="AC358" s="125"/>
      <c r="AD358" s="125"/>
      <c r="AE358" s="167"/>
      <c r="AF358" s="167"/>
      <c r="AG358" s="167"/>
      <c r="AH358" s="167"/>
      <c r="AI358" s="167"/>
      <c r="AJ358" s="167"/>
      <c r="AK358" s="167"/>
      <c r="AL358" s="167"/>
      <c r="AM358" s="125"/>
      <c r="AN358" s="125"/>
      <c r="AO358" s="125"/>
      <c r="AP358" s="125"/>
      <c r="AQ358" s="125"/>
      <c r="AR358" s="125"/>
      <c r="AS358" s="125"/>
      <c r="AT358" s="125"/>
      <c r="AU358" s="125"/>
      <c r="AV358" s="125"/>
      <c r="AW358" s="125"/>
      <c r="AX358" s="125"/>
      <c r="AY358" s="125"/>
      <c r="AZ358" s="125"/>
      <c r="BA358" s="125"/>
      <c r="BB358" s="125"/>
      <c r="BC358" s="167"/>
      <c r="BD358" s="167"/>
      <c r="BE358" s="167"/>
      <c r="BF358" s="167"/>
      <c r="BG358" s="167"/>
      <c r="BH358" s="167"/>
      <c r="BI358" s="167"/>
      <c r="BJ358" s="167"/>
      <c r="BK358" s="125"/>
      <c r="BL358" s="125"/>
      <c r="BM358" s="125"/>
      <c r="BN358" s="125"/>
      <c r="BO358" s="125"/>
      <c r="BP358" s="125"/>
      <c r="BQ358" s="125"/>
      <c r="BR358" s="125"/>
      <c r="BS358" s="125"/>
      <c r="BT358" s="125"/>
      <c r="BU358" s="125"/>
      <c r="BV358" s="125"/>
      <c r="BW358" s="125"/>
      <c r="BX358" s="125"/>
      <c r="BY358" s="125"/>
      <c r="BZ358" s="125"/>
      <c r="CA358" s="167"/>
      <c r="CB358" s="167"/>
      <c r="CC358" s="167"/>
      <c r="CD358" s="167"/>
      <c r="CE358" s="167"/>
      <c r="CF358" s="167"/>
      <c r="CG358" s="167"/>
      <c r="CH358" s="167"/>
      <c r="CI358" s="125"/>
      <c r="CJ358" s="125"/>
      <c r="CK358" s="125"/>
      <c r="CL358" s="125"/>
      <c r="CM358" s="125"/>
      <c r="CN358" s="125"/>
      <c r="CO358" s="125"/>
      <c r="CP358" s="125"/>
      <c r="CQ358" s="125"/>
      <c r="CR358" s="125"/>
      <c r="CS358" s="125"/>
      <c r="CT358" s="125"/>
      <c r="CU358" s="125"/>
      <c r="CV358" s="125"/>
      <c r="CW358" s="125"/>
      <c r="CX358" s="125"/>
      <c r="CY358" s="167"/>
      <c r="CZ358" s="167"/>
      <c r="DA358" s="167"/>
      <c r="DB358" s="167"/>
      <c r="DC358" s="167"/>
      <c r="DD358" s="167"/>
      <c r="DE358" s="167"/>
      <c r="DF358" s="167"/>
      <c r="DG358" s="125"/>
      <c r="DH358" s="125"/>
      <c r="DI358" s="125"/>
      <c r="DJ358" s="125"/>
      <c r="DK358" s="125"/>
      <c r="DL358" s="125"/>
      <c r="DM358" s="125"/>
      <c r="DN358" s="125"/>
      <c r="DO358" s="125"/>
      <c r="DP358" s="125"/>
      <c r="DQ358" s="125"/>
      <c r="DR358" s="125"/>
      <c r="DS358" s="125"/>
      <c r="DT358" s="125"/>
      <c r="DU358" s="125"/>
      <c r="DV358" s="125"/>
      <c r="DW358" s="167"/>
      <c r="DX358" s="167"/>
      <c r="DY358" s="167"/>
      <c r="DZ358" s="167"/>
      <c r="EA358" s="167"/>
      <c r="EB358" s="167"/>
      <c r="EC358" s="167"/>
      <c r="ED358" s="167"/>
      <c r="EE358" s="125"/>
      <c r="EF358" s="125"/>
      <c r="EG358" s="125"/>
      <c r="EH358" s="125"/>
      <c r="EI358" s="125"/>
      <c r="EJ358" s="125"/>
      <c r="EK358" s="125"/>
      <c r="EL358" s="125"/>
      <c r="EM358" s="125"/>
      <c r="EN358" s="125"/>
      <c r="EO358" s="125"/>
      <c r="EP358" s="125"/>
      <c r="EQ358" s="125"/>
      <c r="ER358" s="125"/>
      <c r="ES358" s="125"/>
      <c r="ET358" s="125"/>
      <c r="EU358" s="167"/>
      <c r="EV358" s="167"/>
      <c r="EW358" s="167"/>
      <c r="EX358" s="167"/>
      <c r="EY358" s="167"/>
      <c r="EZ358" s="167"/>
      <c r="FA358" s="167"/>
      <c r="FB358" s="167"/>
      <c r="FC358" s="125"/>
      <c r="FD358" s="125"/>
      <c r="FE358" s="125"/>
      <c r="FF358" s="125"/>
      <c r="FG358" s="125"/>
      <c r="FH358" s="125"/>
      <c r="FI358" s="125"/>
      <c r="FJ358" s="125"/>
      <c r="FK358" s="125"/>
      <c r="FL358" s="125"/>
      <c r="FM358" s="125"/>
      <c r="FN358" s="125"/>
      <c r="FO358" s="125"/>
      <c r="FP358" s="125"/>
      <c r="FQ358" s="125"/>
      <c r="FR358" s="125"/>
      <c r="FS358" s="167"/>
      <c r="FT358" s="167"/>
      <c r="FU358" s="167"/>
      <c r="FV358" s="167"/>
      <c r="FW358" s="167"/>
      <c r="FX358" s="167"/>
      <c r="FY358" s="167"/>
      <c r="FZ358" s="167"/>
      <c r="GA358" s="125"/>
      <c r="GB358" s="125"/>
      <c r="GC358" s="125"/>
      <c r="GD358" s="125"/>
      <c r="GE358" s="125"/>
      <c r="GF358" s="125"/>
    </row>
    <row r="359" spans="1:188" s="125" customFormat="1">
      <c r="A359" s="80">
        <v>70</v>
      </c>
      <c r="B359" s="17">
        <v>43130</v>
      </c>
      <c r="C359" s="18"/>
      <c r="D359" s="198" t="s">
        <v>1189</v>
      </c>
      <c r="E359" s="20" t="s">
        <v>447</v>
      </c>
      <c r="F359" s="168" t="s">
        <v>1264</v>
      </c>
      <c r="G359" s="63">
        <v>1710</v>
      </c>
      <c r="H359" s="121">
        <v>1626200</v>
      </c>
      <c r="I359" s="24"/>
      <c r="J359" s="24">
        <f t="shared" si="26"/>
        <v>1548761.9047619046</v>
      </c>
      <c r="K359" s="24">
        <f t="shared" si="23"/>
        <v>1548761.9047619046</v>
      </c>
      <c r="L359" s="123">
        <v>1</v>
      </c>
      <c r="M359" s="24">
        <f t="shared" si="24"/>
        <v>1548761.9047619046</v>
      </c>
      <c r="N359" s="124">
        <f t="shared" si="25"/>
        <v>0</v>
      </c>
      <c r="O359" s="107" t="s">
        <v>1216</v>
      </c>
      <c r="AE359" s="167"/>
      <c r="AF359" s="167"/>
      <c r="AG359" s="167"/>
      <c r="AH359" s="167"/>
      <c r="AI359" s="167"/>
      <c r="AJ359" s="167"/>
      <c r="AK359" s="167"/>
      <c r="AL359" s="167"/>
      <c r="BC359" s="167"/>
      <c r="BD359" s="167"/>
      <c r="BE359" s="167"/>
      <c r="BF359" s="167"/>
      <c r="BG359" s="167"/>
      <c r="BH359" s="167"/>
      <c r="BI359" s="167"/>
      <c r="BJ359" s="167"/>
      <c r="CA359" s="167"/>
      <c r="CB359" s="167"/>
      <c r="CC359" s="167"/>
      <c r="CD359" s="167"/>
      <c r="CE359" s="167"/>
      <c r="CF359" s="167"/>
      <c r="CG359" s="167"/>
      <c r="CH359" s="167"/>
      <c r="CY359" s="167"/>
      <c r="CZ359" s="167"/>
      <c r="DA359" s="167"/>
      <c r="DB359" s="167"/>
      <c r="DC359" s="167"/>
      <c r="DD359" s="167"/>
      <c r="DE359" s="167"/>
      <c r="DF359" s="167"/>
      <c r="DW359" s="167"/>
      <c r="DX359" s="167"/>
      <c r="DY359" s="167"/>
      <c r="DZ359" s="167"/>
      <c r="EA359" s="167"/>
      <c r="EB359" s="167"/>
      <c r="EC359" s="167"/>
      <c r="ED359" s="167"/>
      <c r="EU359" s="167"/>
      <c r="EV359" s="167"/>
      <c r="EW359" s="167"/>
      <c r="EX359" s="167"/>
      <c r="EY359" s="167"/>
      <c r="EZ359" s="167"/>
      <c r="FA359" s="167"/>
      <c r="FB359" s="167"/>
      <c r="FS359" s="167"/>
      <c r="FT359" s="167"/>
      <c r="FU359" s="167"/>
      <c r="FV359" s="167"/>
      <c r="FW359" s="167"/>
      <c r="FX359" s="167"/>
      <c r="FY359" s="167"/>
      <c r="FZ359" s="167"/>
    </row>
    <row r="360" spans="1:188" s="3" customFormat="1">
      <c r="A360" s="80">
        <v>71</v>
      </c>
      <c r="B360" s="17">
        <v>43126</v>
      </c>
      <c r="C360" s="18"/>
      <c r="D360" s="19" t="s">
        <v>1189</v>
      </c>
      <c r="E360" s="20" t="s">
        <v>1265</v>
      </c>
      <c r="F360" s="168" t="s">
        <v>1266</v>
      </c>
      <c r="G360" s="63">
        <v>1710</v>
      </c>
      <c r="H360" s="121">
        <f>1833300</f>
        <v>1833300</v>
      </c>
      <c r="I360" s="24"/>
      <c r="J360" s="24">
        <v>1746000</v>
      </c>
      <c r="K360" s="24">
        <f t="shared" si="23"/>
        <v>1746000</v>
      </c>
      <c r="L360" s="123">
        <v>1</v>
      </c>
      <c r="M360" s="24">
        <f t="shared" si="24"/>
        <v>1746000</v>
      </c>
      <c r="N360" s="124">
        <f t="shared" si="25"/>
        <v>0</v>
      </c>
      <c r="O360" s="107" t="s">
        <v>1216</v>
      </c>
      <c r="P360" s="125"/>
      <c r="Q360" s="125"/>
      <c r="R360" s="125"/>
      <c r="S360" s="125"/>
      <c r="T360" s="125"/>
      <c r="U360" s="125"/>
      <c r="V360" s="125"/>
      <c r="W360" s="125"/>
      <c r="X360" s="125"/>
      <c r="Y360" s="125"/>
      <c r="Z360" s="125"/>
      <c r="AA360" s="125"/>
      <c r="AB360" s="125"/>
      <c r="AC360" s="125"/>
      <c r="AD360" s="125"/>
      <c r="AE360" s="167"/>
      <c r="AF360" s="167"/>
      <c r="AG360" s="167"/>
      <c r="AH360" s="167"/>
      <c r="AI360" s="167"/>
      <c r="AJ360" s="167"/>
      <c r="AK360" s="167"/>
      <c r="AL360" s="167"/>
      <c r="AM360" s="125"/>
      <c r="AN360" s="125"/>
      <c r="AO360" s="125"/>
      <c r="AP360" s="125"/>
      <c r="AQ360" s="125"/>
      <c r="AR360" s="125"/>
      <c r="AS360" s="125"/>
      <c r="AT360" s="125"/>
      <c r="AU360" s="125"/>
      <c r="AV360" s="125"/>
      <c r="AW360" s="125"/>
      <c r="AX360" s="125"/>
      <c r="AY360" s="125"/>
      <c r="AZ360" s="125"/>
      <c r="BA360" s="125"/>
      <c r="BB360" s="125"/>
      <c r="BC360" s="167"/>
      <c r="BD360" s="167"/>
      <c r="BE360" s="167"/>
      <c r="BF360" s="167"/>
      <c r="BG360" s="167"/>
      <c r="BH360" s="167"/>
      <c r="BI360" s="167"/>
      <c r="BJ360" s="167"/>
      <c r="BK360" s="125"/>
      <c r="BL360" s="125"/>
      <c r="BM360" s="125"/>
      <c r="BN360" s="125"/>
      <c r="BO360" s="125"/>
      <c r="BP360" s="125"/>
      <c r="BQ360" s="125"/>
      <c r="BR360" s="125"/>
      <c r="BS360" s="125"/>
      <c r="BT360" s="125"/>
      <c r="BU360" s="125"/>
      <c r="BV360" s="125"/>
      <c r="BW360" s="125"/>
      <c r="BX360" s="125"/>
      <c r="BY360" s="125"/>
      <c r="BZ360" s="125"/>
      <c r="CA360" s="167"/>
      <c r="CB360" s="167"/>
      <c r="CC360" s="167"/>
      <c r="CD360" s="167"/>
      <c r="CE360" s="167"/>
      <c r="CF360" s="167"/>
      <c r="CG360" s="167"/>
      <c r="CH360" s="167"/>
      <c r="CI360" s="125"/>
      <c r="CJ360" s="125"/>
      <c r="CK360" s="125"/>
      <c r="CL360" s="125"/>
      <c r="CM360" s="125"/>
      <c r="CN360" s="125"/>
      <c r="CO360" s="125"/>
      <c r="CP360" s="125"/>
      <c r="CQ360" s="125"/>
      <c r="CR360" s="125"/>
      <c r="CS360" s="125"/>
      <c r="CT360" s="125"/>
      <c r="CU360" s="125"/>
      <c r="CV360" s="125"/>
      <c r="CW360" s="125"/>
      <c r="CX360" s="125"/>
      <c r="CY360" s="167"/>
      <c r="CZ360" s="167"/>
      <c r="DA360" s="167"/>
      <c r="DB360" s="167"/>
      <c r="DC360" s="167"/>
      <c r="DD360" s="167"/>
      <c r="DE360" s="167"/>
      <c r="DF360" s="167"/>
      <c r="DG360" s="125"/>
      <c r="DH360" s="125"/>
      <c r="DI360" s="125"/>
      <c r="DJ360" s="125"/>
      <c r="DK360" s="125"/>
      <c r="DL360" s="125"/>
      <c r="DM360" s="125"/>
      <c r="DN360" s="125"/>
      <c r="DO360" s="125"/>
      <c r="DP360" s="125"/>
      <c r="DQ360" s="125"/>
      <c r="DR360" s="125"/>
      <c r="DS360" s="125"/>
      <c r="DT360" s="125"/>
      <c r="DU360" s="125"/>
      <c r="DV360" s="125"/>
      <c r="DW360" s="167"/>
      <c r="DX360" s="167"/>
      <c r="DY360" s="167"/>
      <c r="DZ360" s="167"/>
      <c r="EA360" s="167"/>
      <c r="EB360" s="167"/>
      <c r="EC360" s="167"/>
      <c r="ED360" s="167"/>
      <c r="EE360" s="125"/>
      <c r="EF360" s="125"/>
      <c r="EG360" s="125"/>
      <c r="EH360" s="125"/>
      <c r="EI360" s="125"/>
      <c r="EJ360" s="125"/>
      <c r="EK360" s="125"/>
      <c r="EL360" s="125"/>
      <c r="EM360" s="125"/>
      <c r="EN360" s="125"/>
      <c r="EO360" s="125"/>
      <c r="EP360" s="125"/>
      <c r="EQ360" s="125"/>
      <c r="ER360" s="125"/>
      <c r="ES360" s="125"/>
      <c r="ET360" s="125"/>
      <c r="EU360" s="167"/>
      <c r="EV360" s="167"/>
      <c r="EW360" s="167"/>
      <c r="EX360" s="167"/>
      <c r="EY360" s="167"/>
      <c r="EZ360" s="167"/>
      <c r="FA360" s="167"/>
      <c r="FB360" s="167"/>
      <c r="FC360" s="125"/>
      <c r="FD360" s="125"/>
      <c r="FE360" s="125"/>
      <c r="FF360" s="125"/>
      <c r="FG360" s="125"/>
      <c r="FH360" s="125"/>
      <c r="FI360" s="125"/>
      <c r="FJ360" s="125"/>
      <c r="FK360" s="125"/>
      <c r="FL360" s="125"/>
      <c r="FM360" s="125"/>
      <c r="FN360" s="125"/>
      <c r="FO360" s="125"/>
      <c r="FP360" s="125"/>
      <c r="FQ360" s="125"/>
      <c r="FR360" s="125"/>
      <c r="FS360" s="167"/>
      <c r="FT360" s="167"/>
      <c r="FU360" s="167"/>
      <c r="FV360" s="167"/>
      <c r="FW360" s="167"/>
      <c r="FX360" s="167"/>
      <c r="FY360" s="167"/>
      <c r="FZ360" s="167"/>
      <c r="GA360" s="125"/>
      <c r="GB360" s="125"/>
      <c r="GC360" s="125"/>
      <c r="GD360" s="125"/>
      <c r="GE360" s="125"/>
      <c r="GF360" s="125"/>
    </row>
    <row r="361" spans="1:188" s="3" customFormat="1">
      <c r="A361" s="80">
        <v>72</v>
      </c>
      <c r="B361" s="17">
        <v>43130</v>
      </c>
      <c r="C361" s="18" t="s">
        <v>1088</v>
      </c>
      <c r="D361" s="19" t="s">
        <v>1189</v>
      </c>
      <c r="E361" s="20" t="s">
        <v>462</v>
      </c>
      <c r="F361" s="82" t="s">
        <v>1267</v>
      </c>
      <c r="G361" s="63">
        <v>1711</v>
      </c>
      <c r="H361" s="121">
        <f>130000+2289200</f>
        <v>2419200</v>
      </c>
      <c r="I361" s="24"/>
      <c r="J361" s="24">
        <f>H361/1.05</f>
        <v>2304000</v>
      </c>
      <c r="K361" s="24">
        <f t="shared" ref="K361:K424" si="27">I361+J361</f>
        <v>2304000</v>
      </c>
      <c r="L361" s="123">
        <v>1</v>
      </c>
      <c r="M361" s="24">
        <f t="shared" ref="M361:M424" si="28">K361*L361</f>
        <v>2304000</v>
      </c>
      <c r="N361" s="124">
        <f t="shared" ref="N361:N424" si="29">K361-M361</f>
        <v>0</v>
      </c>
      <c r="O361" s="107" t="s">
        <v>1216</v>
      </c>
      <c r="P361" s="125"/>
      <c r="Q361" s="125"/>
      <c r="R361" s="125"/>
      <c r="S361" s="125"/>
      <c r="T361" s="125"/>
      <c r="U361" s="125"/>
      <c r="V361" s="125"/>
      <c r="W361" s="125"/>
      <c r="X361" s="125"/>
      <c r="Y361" s="125"/>
      <c r="Z361" s="125"/>
      <c r="AA361" s="125"/>
      <c r="AB361" s="125"/>
      <c r="AC361" s="125"/>
      <c r="AD361" s="125"/>
      <c r="AE361" s="167"/>
      <c r="AF361" s="167"/>
      <c r="AG361" s="167"/>
      <c r="AH361" s="167"/>
      <c r="AI361" s="167"/>
      <c r="AJ361" s="167"/>
      <c r="AK361" s="167"/>
      <c r="AL361" s="167"/>
      <c r="AM361" s="125"/>
      <c r="AN361" s="125"/>
      <c r="AO361" s="125"/>
      <c r="AP361" s="125"/>
      <c r="AQ361" s="125"/>
      <c r="AR361" s="125"/>
      <c r="AS361" s="125"/>
      <c r="AT361" s="125"/>
      <c r="AU361" s="125"/>
      <c r="AV361" s="125"/>
      <c r="AW361" s="125"/>
      <c r="AX361" s="125"/>
      <c r="AY361" s="125"/>
      <c r="AZ361" s="125"/>
      <c r="BA361" s="125"/>
      <c r="BB361" s="125"/>
      <c r="BC361" s="167"/>
      <c r="BD361" s="167"/>
      <c r="BE361" s="167"/>
      <c r="BF361" s="167"/>
      <c r="BG361" s="167"/>
      <c r="BH361" s="167"/>
      <c r="BI361" s="167"/>
      <c r="BJ361" s="167"/>
      <c r="BK361" s="125"/>
      <c r="BL361" s="125"/>
      <c r="BM361" s="125"/>
      <c r="BN361" s="125"/>
      <c r="BO361" s="125"/>
      <c r="BP361" s="125"/>
      <c r="BQ361" s="125"/>
      <c r="BR361" s="125"/>
      <c r="BS361" s="125"/>
      <c r="BT361" s="125"/>
      <c r="BU361" s="125"/>
      <c r="BV361" s="125"/>
      <c r="BW361" s="125"/>
      <c r="BX361" s="125"/>
      <c r="BY361" s="125"/>
      <c r="BZ361" s="125"/>
      <c r="CA361" s="167"/>
      <c r="CB361" s="167"/>
      <c r="CC361" s="167"/>
      <c r="CD361" s="167"/>
      <c r="CE361" s="167"/>
      <c r="CF361" s="167"/>
      <c r="CG361" s="167"/>
      <c r="CH361" s="167"/>
      <c r="CI361" s="125"/>
      <c r="CJ361" s="125"/>
      <c r="CK361" s="125"/>
      <c r="CL361" s="125"/>
      <c r="CM361" s="125"/>
      <c r="CN361" s="125"/>
      <c r="CO361" s="125"/>
      <c r="CP361" s="125"/>
      <c r="CQ361" s="125"/>
      <c r="CR361" s="125"/>
      <c r="CS361" s="125"/>
      <c r="CT361" s="125"/>
      <c r="CU361" s="125"/>
      <c r="CV361" s="125"/>
      <c r="CW361" s="125"/>
      <c r="CX361" s="125"/>
      <c r="CY361" s="167"/>
      <c r="CZ361" s="167"/>
      <c r="DA361" s="167"/>
      <c r="DB361" s="167"/>
      <c r="DC361" s="167"/>
      <c r="DD361" s="167"/>
      <c r="DE361" s="167"/>
      <c r="DF361" s="167"/>
      <c r="DG361" s="125"/>
      <c r="DH361" s="125"/>
      <c r="DI361" s="125"/>
      <c r="DJ361" s="125"/>
      <c r="DK361" s="125"/>
      <c r="DL361" s="125"/>
      <c r="DM361" s="125"/>
      <c r="DN361" s="125"/>
      <c r="DO361" s="125"/>
      <c r="DP361" s="125"/>
      <c r="DQ361" s="125"/>
      <c r="DR361" s="125"/>
      <c r="DS361" s="125"/>
      <c r="DT361" s="125"/>
      <c r="DU361" s="125"/>
      <c r="DV361" s="125"/>
      <c r="DW361" s="167"/>
      <c r="DX361" s="167"/>
      <c r="DY361" s="167"/>
      <c r="DZ361" s="167"/>
      <c r="EA361" s="167"/>
      <c r="EB361" s="167"/>
      <c r="EC361" s="167"/>
      <c r="ED361" s="167"/>
      <c r="EE361" s="125"/>
      <c r="EF361" s="125"/>
      <c r="EG361" s="125"/>
      <c r="EH361" s="125"/>
      <c r="EI361" s="125"/>
      <c r="EJ361" s="125"/>
      <c r="EK361" s="125"/>
      <c r="EL361" s="125"/>
      <c r="EM361" s="125"/>
      <c r="EN361" s="125"/>
      <c r="EO361" s="125"/>
      <c r="EP361" s="125"/>
      <c r="EQ361" s="125"/>
      <c r="ER361" s="125"/>
      <c r="ES361" s="125"/>
      <c r="ET361" s="125"/>
      <c r="EU361" s="167"/>
      <c r="EV361" s="167"/>
      <c r="EW361" s="167"/>
      <c r="EX361" s="167"/>
      <c r="EY361" s="167"/>
      <c r="EZ361" s="167"/>
      <c r="FA361" s="167"/>
      <c r="FB361" s="167"/>
      <c r="FC361" s="125"/>
      <c r="FD361" s="125"/>
      <c r="FE361" s="125"/>
      <c r="FF361" s="125"/>
      <c r="FG361" s="125"/>
      <c r="FH361" s="125"/>
      <c r="FI361" s="125"/>
      <c r="FJ361" s="125"/>
      <c r="FK361" s="125"/>
      <c r="FL361" s="125"/>
      <c r="FM361" s="125"/>
      <c r="FN361" s="125"/>
      <c r="FO361" s="125"/>
      <c r="FP361" s="125"/>
      <c r="FQ361" s="125"/>
      <c r="FR361" s="125"/>
      <c r="FS361" s="167"/>
      <c r="FT361" s="167"/>
      <c r="FU361" s="167"/>
      <c r="FV361" s="167"/>
      <c r="FW361" s="167"/>
      <c r="FX361" s="167"/>
      <c r="FY361" s="167"/>
      <c r="FZ361" s="167"/>
      <c r="GA361" s="125"/>
      <c r="GB361" s="125"/>
      <c r="GC361" s="125"/>
      <c r="GD361" s="125"/>
      <c r="GE361" s="125"/>
      <c r="GF361" s="125"/>
    </row>
    <row r="362" spans="1:188" s="3" customFormat="1">
      <c r="A362" s="80">
        <v>73</v>
      </c>
      <c r="B362" s="29">
        <v>43126</v>
      </c>
      <c r="C362" s="18"/>
      <c r="D362" s="19" t="s">
        <v>1203</v>
      </c>
      <c r="E362" s="20" t="s">
        <v>462</v>
      </c>
      <c r="F362" s="62" t="s">
        <v>1268</v>
      </c>
      <c r="G362" s="63">
        <v>1710</v>
      </c>
      <c r="H362" s="121">
        <f>130000+2289200</f>
        <v>2419200</v>
      </c>
      <c r="I362" s="24"/>
      <c r="J362" s="24">
        <f>H362/1.05</f>
        <v>2304000</v>
      </c>
      <c r="K362" s="24">
        <f t="shared" si="27"/>
        <v>2304000</v>
      </c>
      <c r="L362" s="123">
        <v>1</v>
      </c>
      <c r="M362" s="24">
        <f t="shared" si="28"/>
        <v>2304000</v>
      </c>
      <c r="N362" s="124">
        <f t="shared" si="29"/>
        <v>0</v>
      </c>
      <c r="O362" s="107" t="s">
        <v>1216</v>
      </c>
      <c r="AE362" s="130"/>
      <c r="AF362" s="130"/>
      <c r="AG362" s="130"/>
      <c r="AH362" s="130"/>
      <c r="AI362" s="130"/>
      <c r="AJ362" s="130"/>
      <c r="AK362" s="130"/>
      <c r="AL362" s="130"/>
      <c r="BC362" s="130"/>
      <c r="BD362" s="130"/>
      <c r="BE362" s="130"/>
      <c r="BF362" s="130"/>
      <c r="BG362" s="130"/>
      <c r="BH362" s="130"/>
      <c r="BI362" s="130"/>
      <c r="BJ362" s="130"/>
      <c r="CA362" s="130"/>
      <c r="CB362" s="130"/>
      <c r="CC362" s="130"/>
      <c r="CD362" s="130"/>
      <c r="CE362" s="130"/>
      <c r="CF362" s="130"/>
      <c r="CG362" s="130"/>
      <c r="CH362" s="130"/>
      <c r="CY362" s="130"/>
      <c r="CZ362" s="130"/>
      <c r="DA362" s="130"/>
      <c r="DB362" s="130"/>
      <c r="DC362" s="130"/>
      <c r="DD362" s="130"/>
      <c r="DE362" s="130"/>
      <c r="DF362" s="130"/>
      <c r="DW362" s="130"/>
      <c r="DX362" s="130"/>
      <c r="DY362" s="130"/>
      <c r="DZ362" s="130"/>
      <c r="EA362" s="130"/>
      <c r="EB362" s="130"/>
      <c r="EC362" s="130"/>
      <c r="ED362" s="130"/>
      <c r="EU362" s="130"/>
      <c r="EV362" s="130"/>
      <c r="EW362" s="130"/>
      <c r="EX362" s="130"/>
      <c r="EY362" s="130"/>
      <c r="EZ362" s="130"/>
      <c r="FA362" s="130"/>
      <c r="FB362" s="130"/>
      <c r="FS362" s="130"/>
      <c r="FT362" s="130"/>
      <c r="FU362" s="130"/>
      <c r="FV362" s="130"/>
      <c r="FW362" s="130"/>
      <c r="FX362" s="130"/>
      <c r="FY362" s="130"/>
      <c r="FZ362" s="130"/>
    </row>
    <row r="363" spans="1:188" s="3" customFormat="1">
      <c r="A363" s="80">
        <v>74</v>
      </c>
      <c r="B363" s="29">
        <v>43126</v>
      </c>
      <c r="C363" s="18"/>
      <c r="D363" s="19" t="s">
        <v>1203</v>
      </c>
      <c r="E363" s="20" t="s">
        <v>469</v>
      </c>
      <c r="F363" s="62" t="s">
        <v>470</v>
      </c>
      <c r="G363" s="63">
        <v>1710</v>
      </c>
      <c r="H363" s="121">
        <v>3433800</v>
      </c>
      <c r="I363" s="24">
        <v>3270286</v>
      </c>
      <c r="J363" s="24"/>
      <c r="K363" s="24">
        <f t="shared" si="27"/>
        <v>3270286</v>
      </c>
      <c r="L363" s="123">
        <v>1</v>
      </c>
      <c r="M363" s="24">
        <f t="shared" si="28"/>
        <v>3270286</v>
      </c>
      <c r="N363" s="124">
        <f t="shared" si="29"/>
        <v>0</v>
      </c>
      <c r="O363" s="107" t="s">
        <v>1216</v>
      </c>
      <c r="AE363" s="130"/>
      <c r="AF363" s="130"/>
      <c r="AG363" s="130"/>
      <c r="AH363" s="130"/>
      <c r="AI363" s="130"/>
      <c r="AJ363" s="130"/>
      <c r="AK363" s="130"/>
      <c r="AL363" s="130"/>
      <c r="BC363" s="130"/>
      <c r="BD363" s="130"/>
      <c r="BE363" s="130"/>
      <c r="BF363" s="130"/>
      <c r="BG363" s="130"/>
      <c r="BH363" s="130"/>
      <c r="BI363" s="130"/>
      <c r="BJ363" s="130"/>
      <c r="CA363" s="130"/>
      <c r="CB363" s="130"/>
      <c r="CC363" s="130"/>
      <c r="CD363" s="130"/>
      <c r="CE363" s="130"/>
      <c r="CF363" s="130"/>
      <c r="CG363" s="130"/>
      <c r="CH363" s="130"/>
      <c r="CY363" s="130"/>
      <c r="CZ363" s="130"/>
      <c r="DA363" s="130"/>
      <c r="DB363" s="130"/>
      <c r="DC363" s="130"/>
      <c r="DD363" s="130"/>
      <c r="DE363" s="130"/>
      <c r="DF363" s="130"/>
      <c r="DW363" s="130"/>
      <c r="DX363" s="130"/>
      <c r="DY363" s="130"/>
      <c r="DZ363" s="130"/>
      <c r="EA363" s="130"/>
      <c r="EB363" s="130"/>
      <c r="EC363" s="130"/>
      <c r="ED363" s="130"/>
      <c r="EU363" s="130"/>
      <c r="EV363" s="130"/>
      <c r="EW363" s="130"/>
      <c r="EX363" s="130"/>
      <c r="EY363" s="130"/>
      <c r="EZ363" s="130"/>
      <c r="FA363" s="130"/>
      <c r="FB363" s="130"/>
      <c r="FS363" s="130"/>
      <c r="FT363" s="130"/>
      <c r="FU363" s="130"/>
      <c r="FV363" s="130"/>
      <c r="FW363" s="130"/>
      <c r="FX363" s="130"/>
      <c r="FY363" s="130"/>
      <c r="FZ363" s="130"/>
    </row>
    <row r="364" spans="1:188" s="3" customFormat="1">
      <c r="A364" s="80">
        <v>75</v>
      </c>
      <c r="B364" s="29">
        <v>43097</v>
      </c>
      <c r="C364" s="18"/>
      <c r="D364" s="19" t="s">
        <v>1203</v>
      </c>
      <c r="E364" s="20" t="s">
        <v>469</v>
      </c>
      <c r="F364" s="168" t="s">
        <v>471</v>
      </c>
      <c r="G364" s="63">
        <v>1710</v>
      </c>
      <c r="H364" s="121">
        <v>3433800</v>
      </c>
      <c r="I364" s="24">
        <v>3270286</v>
      </c>
      <c r="J364" s="24"/>
      <c r="K364" s="24">
        <f t="shared" si="27"/>
        <v>3270286</v>
      </c>
      <c r="L364" s="123">
        <v>1</v>
      </c>
      <c r="M364" s="24">
        <f t="shared" si="28"/>
        <v>3270286</v>
      </c>
      <c r="N364" s="124">
        <f t="shared" si="29"/>
        <v>0</v>
      </c>
      <c r="O364" s="107" t="s">
        <v>1216</v>
      </c>
      <c r="P364" s="125"/>
      <c r="Q364" s="125"/>
      <c r="R364" s="125"/>
      <c r="S364" s="125"/>
      <c r="T364" s="125"/>
      <c r="U364" s="125"/>
      <c r="V364" s="187"/>
      <c r="W364" s="188"/>
      <c r="X364" s="125"/>
      <c r="Y364" s="125"/>
      <c r="Z364" s="125"/>
      <c r="AA364" s="125"/>
      <c r="AB364" s="125"/>
      <c r="AC364" s="187"/>
      <c r="AD364" s="188"/>
      <c r="AE364" s="189"/>
      <c r="AF364" s="190"/>
      <c r="AG364" s="191"/>
      <c r="AH364" s="191"/>
      <c r="AI364" s="192"/>
      <c r="AJ364" s="182"/>
      <c r="AK364" s="183"/>
      <c r="AL364" s="183"/>
      <c r="AM364" s="125"/>
      <c r="AN364" s="184"/>
      <c r="AO364" s="185"/>
      <c r="AP364" s="186"/>
      <c r="AQ364" s="125"/>
      <c r="AR364" s="125"/>
      <c r="AS364" s="125"/>
      <c r="AT364" s="125"/>
      <c r="AU364" s="125"/>
      <c r="AV364" s="125"/>
      <c r="AW364" s="125"/>
      <c r="AX364" s="125"/>
      <c r="AY364" s="125"/>
      <c r="AZ364" s="125"/>
      <c r="BA364" s="187"/>
      <c r="BB364" s="188"/>
      <c r="BC364" s="189"/>
      <c r="BD364" s="190"/>
      <c r="BE364" s="191"/>
      <c r="BF364" s="191"/>
      <c r="BG364" s="192"/>
      <c r="BH364" s="182"/>
      <c r="BI364" s="183"/>
      <c r="BJ364" s="183"/>
      <c r="BK364" s="125"/>
      <c r="BL364" s="184"/>
      <c r="BM364" s="185"/>
      <c r="BN364" s="186"/>
      <c r="BO364" s="125"/>
      <c r="BP364" s="125"/>
      <c r="BQ364" s="125"/>
      <c r="BR364" s="125"/>
      <c r="BS364" s="125"/>
      <c r="BT364" s="125"/>
      <c r="BU364" s="125"/>
      <c r="BV364" s="125"/>
      <c r="BW364" s="125"/>
      <c r="BX364" s="125"/>
      <c r="BY364" s="187"/>
      <c r="BZ364" s="188"/>
      <c r="CA364" s="189"/>
      <c r="CB364" s="190"/>
      <c r="CC364" s="191"/>
      <c r="CD364" s="191"/>
      <c r="CE364" s="192"/>
      <c r="CF364" s="182"/>
      <c r="CG364" s="183"/>
      <c r="CH364" s="183"/>
      <c r="CI364" s="125"/>
      <c r="CJ364" s="184"/>
      <c r="CK364" s="185"/>
      <c r="CL364" s="186"/>
      <c r="CM364" s="125"/>
      <c r="CN364" s="125"/>
      <c r="CO364" s="125"/>
      <c r="CP364" s="125"/>
      <c r="CQ364" s="125"/>
      <c r="CR364" s="125"/>
      <c r="CS364" s="125"/>
      <c r="CT364" s="125"/>
      <c r="CU364" s="125"/>
      <c r="CV364" s="125"/>
      <c r="CW364" s="187"/>
      <c r="CX364" s="188"/>
      <c r="CY364" s="189"/>
      <c r="CZ364" s="190"/>
      <c r="DA364" s="191"/>
      <c r="DB364" s="191"/>
      <c r="DC364" s="192"/>
      <c r="DD364" s="182"/>
      <c r="DE364" s="183"/>
      <c r="DF364" s="183"/>
      <c r="DG364" s="125"/>
      <c r="DH364" s="184"/>
      <c r="DI364" s="185"/>
      <c r="DJ364" s="186"/>
      <c r="DK364" s="125"/>
      <c r="DL364" s="125"/>
      <c r="DM364" s="125"/>
      <c r="DN364" s="125"/>
      <c r="DO364" s="125"/>
      <c r="DP364" s="125"/>
      <c r="DQ364" s="125"/>
      <c r="DR364" s="125"/>
      <c r="DS364" s="125"/>
      <c r="DT364" s="125"/>
      <c r="DU364" s="187"/>
      <c r="DV364" s="188"/>
      <c r="DW364" s="189"/>
      <c r="DX364" s="190"/>
      <c r="DY364" s="191"/>
      <c r="DZ364" s="191"/>
      <c r="EA364" s="192"/>
      <c r="EB364" s="182"/>
      <c r="EC364" s="183"/>
      <c r="ED364" s="183"/>
      <c r="EE364" s="125"/>
      <c r="EF364" s="184"/>
      <c r="EG364" s="185"/>
      <c r="EH364" s="186"/>
      <c r="EI364" s="125"/>
      <c r="EJ364" s="125"/>
      <c r="EK364" s="125"/>
      <c r="EL364" s="125"/>
      <c r="EM364" s="125"/>
      <c r="EN364" s="125"/>
      <c r="EO364" s="125"/>
      <c r="EP364" s="125"/>
      <c r="EQ364" s="125"/>
      <c r="ER364" s="125"/>
      <c r="ES364" s="187"/>
      <c r="ET364" s="188"/>
      <c r="EU364" s="189"/>
      <c r="EV364" s="190"/>
      <c r="EW364" s="191"/>
      <c r="EX364" s="191"/>
      <c r="EY364" s="192"/>
      <c r="EZ364" s="182"/>
      <c r="FA364" s="183"/>
      <c r="FB364" s="183"/>
      <c r="FC364" s="125"/>
      <c r="FD364" s="184"/>
      <c r="FE364" s="185"/>
      <c r="FF364" s="186"/>
      <c r="FG364" s="125"/>
      <c r="FH364" s="125"/>
      <c r="FI364" s="125"/>
      <c r="FJ364" s="125"/>
      <c r="FK364" s="125"/>
      <c r="FL364" s="125"/>
      <c r="FM364" s="125"/>
      <c r="FN364" s="125"/>
      <c r="FO364" s="125"/>
      <c r="FP364" s="125"/>
      <c r="FQ364" s="187"/>
      <c r="FR364" s="188"/>
      <c r="FS364" s="189"/>
      <c r="FT364" s="190"/>
      <c r="FU364" s="191"/>
      <c r="FV364" s="191"/>
      <c r="FW364" s="192"/>
      <c r="FX364" s="182"/>
      <c r="FY364" s="183"/>
      <c r="FZ364" s="183"/>
      <c r="GA364" s="125"/>
      <c r="GB364" s="184"/>
      <c r="GC364" s="185"/>
      <c r="GD364" s="186"/>
      <c r="GE364" s="125"/>
      <c r="GF364" s="125"/>
    </row>
    <row r="365" spans="1:188" s="3" customFormat="1">
      <c r="A365" s="80">
        <v>76</v>
      </c>
      <c r="B365" s="17">
        <v>43095</v>
      </c>
      <c r="C365" s="18"/>
      <c r="D365" s="19" t="s">
        <v>1203</v>
      </c>
      <c r="E365" s="20" t="s">
        <v>1269</v>
      </c>
      <c r="F365" s="82" t="s">
        <v>1270</v>
      </c>
      <c r="G365" s="63">
        <v>1709</v>
      </c>
      <c r="H365" s="121">
        <v>2220000</v>
      </c>
      <c r="I365" s="24"/>
      <c r="J365" s="24">
        <f>H365/1.05</f>
        <v>2114285.7142857141</v>
      </c>
      <c r="K365" s="24">
        <f t="shared" si="27"/>
        <v>2114285.7142857141</v>
      </c>
      <c r="L365" s="123">
        <v>1</v>
      </c>
      <c r="M365" s="24">
        <f t="shared" si="28"/>
        <v>2114285.7142857141</v>
      </c>
      <c r="N365" s="124">
        <f t="shared" si="29"/>
        <v>0</v>
      </c>
      <c r="O365" s="107" t="s">
        <v>1216</v>
      </c>
      <c r="P365" s="125"/>
      <c r="Q365" s="125"/>
      <c r="R365" s="125"/>
      <c r="S365" s="125"/>
      <c r="T365" s="125"/>
      <c r="U365" s="125"/>
      <c r="V365" s="187"/>
      <c r="W365" s="188"/>
      <c r="X365" s="125"/>
      <c r="Y365" s="125"/>
      <c r="Z365" s="125"/>
      <c r="AA365" s="125"/>
      <c r="AB365" s="125"/>
      <c r="AC365" s="187"/>
      <c r="AD365" s="188"/>
      <c r="AE365" s="189"/>
      <c r="AF365" s="190"/>
      <c r="AG365" s="191"/>
      <c r="AH365" s="191"/>
      <c r="AI365" s="192"/>
      <c r="AJ365" s="182"/>
      <c r="AK365" s="183"/>
      <c r="AL365" s="183"/>
      <c r="AM365" s="125"/>
      <c r="AN365" s="184"/>
      <c r="AO365" s="185"/>
      <c r="AP365" s="186"/>
      <c r="AQ365" s="125"/>
      <c r="AR365" s="125"/>
      <c r="AS365" s="125"/>
      <c r="AT365" s="125"/>
      <c r="AU365" s="125"/>
      <c r="AV365" s="125"/>
      <c r="AW365" s="125"/>
      <c r="AX365" s="125"/>
      <c r="AY365" s="125"/>
      <c r="AZ365" s="125"/>
      <c r="BA365" s="187"/>
      <c r="BB365" s="188"/>
      <c r="BC365" s="189"/>
      <c r="BD365" s="190"/>
      <c r="BE365" s="191"/>
      <c r="BF365" s="191"/>
      <c r="BG365" s="192"/>
      <c r="BH365" s="182"/>
      <c r="BI365" s="183"/>
      <c r="BJ365" s="183"/>
      <c r="BK365" s="125"/>
      <c r="BL365" s="184"/>
      <c r="BM365" s="185"/>
      <c r="BN365" s="186"/>
      <c r="BO365" s="125"/>
      <c r="BP365" s="125"/>
      <c r="BQ365" s="125"/>
      <c r="BR365" s="125"/>
      <c r="BS365" s="125"/>
      <c r="BT365" s="125"/>
      <c r="BU365" s="125"/>
      <c r="BV365" s="125"/>
      <c r="BW365" s="125"/>
      <c r="BX365" s="125"/>
      <c r="BY365" s="187"/>
      <c r="BZ365" s="188"/>
      <c r="CA365" s="189"/>
      <c r="CB365" s="190"/>
      <c r="CC365" s="191"/>
      <c r="CD365" s="191"/>
      <c r="CE365" s="192"/>
      <c r="CF365" s="182"/>
      <c r="CG365" s="183"/>
      <c r="CH365" s="183"/>
      <c r="CI365" s="125"/>
      <c r="CJ365" s="184"/>
      <c r="CK365" s="185"/>
      <c r="CL365" s="186"/>
      <c r="CM365" s="125"/>
      <c r="CN365" s="125"/>
      <c r="CO365" s="125"/>
      <c r="CP365" s="125"/>
      <c r="CQ365" s="125"/>
      <c r="CR365" s="125"/>
      <c r="CS365" s="125"/>
      <c r="CT365" s="125"/>
      <c r="CU365" s="125"/>
      <c r="CV365" s="125"/>
      <c r="CW365" s="187"/>
      <c r="CX365" s="188"/>
      <c r="CY365" s="189"/>
      <c r="CZ365" s="190"/>
      <c r="DA365" s="191"/>
      <c r="DB365" s="191"/>
      <c r="DC365" s="192"/>
      <c r="DD365" s="182"/>
      <c r="DE365" s="183"/>
      <c r="DF365" s="183"/>
      <c r="DG365" s="125"/>
      <c r="DH365" s="184"/>
      <c r="DI365" s="185"/>
      <c r="DJ365" s="186"/>
      <c r="DK365" s="125"/>
      <c r="DL365" s="125"/>
      <c r="DM365" s="125"/>
      <c r="DN365" s="125"/>
      <c r="DO365" s="125"/>
      <c r="DP365" s="125"/>
      <c r="DQ365" s="125"/>
      <c r="DR365" s="125"/>
      <c r="DS365" s="125"/>
      <c r="DT365" s="125"/>
      <c r="DU365" s="187"/>
      <c r="DV365" s="188"/>
      <c r="DW365" s="189"/>
      <c r="DX365" s="190"/>
      <c r="DY365" s="191"/>
      <c r="DZ365" s="191"/>
      <c r="EA365" s="192"/>
      <c r="EB365" s="182"/>
      <c r="EC365" s="183"/>
      <c r="ED365" s="183"/>
      <c r="EE365" s="125"/>
      <c r="EF365" s="184"/>
      <c r="EG365" s="185"/>
      <c r="EH365" s="186"/>
      <c r="EI365" s="125"/>
      <c r="EJ365" s="125"/>
      <c r="EK365" s="125"/>
      <c r="EL365" s="125"/>
      <c r="EM365" s="125"/>
      <c r="EN365" s="125"/>
      <c r="EO365" s="125"/>
      <c r="EP365" s="125"/>
      <c r="EQ365" s="125"/>
      <c r="ER365" s="125"/>
      <c r="ES365" s="187"/>
      <c r="ET365" s="188"/>
      <c r="EU365" s="189"/>
      <c r="EV365" s="190"/>
      <c r="EW365" s="191"/>
      <c r="EX365" s="191"/>
      <c r="EY365" s="192"/>
      <c r="EZ365" s="182"/>
      <c r="FA365" s="183"/>
      <c r="FB365" s="183"/>
      <c r="FC365" s="125"/>
      <c r="FD365" s="184"/>
      <c r="FE365" s="185"/>
      <c r="FF365" s="186"/>
      <c r="FG365" s="125"/>
      <c r="FH365" s="125"/>
      <c r="FI365" s="125"/>
      <c r="FJ365" s="125"/>
      <c r="FK365" s="125"/>
      <c r="FL365" s="125"/>
      <c r="FM365" s="125"/>
      <c r="FN365" s="125"/>
      <c r="FO365" s="125"/>
      <c r="FP365" s="125"/>
      <c r="FQ365" s="187"/>
      <c r="FR365" s="188"/>
      <c r="FS365" s="189"/>
      <c r="FT365" s="190"/>
      <c r="FU365" s="191"/>
      <c r="FV365" s="191"/>
      <c r="FW365" s="192"/>
      <c r="FX365" s="182"/>
      <c r="FY365" s="183"/>
      <c r="FZ365" s="183"/>
      <c r="GA365" s="125"/>
      <c r="GB365" s="184"/>
      <c r="GC365" s="185"/>
      <c r="GD365" s="186"/>
      <c r="GE365" s="125"/>
      <c r="GF365" s="125"/>
    </row>
    <row r="366" spans="1:188" s="3" customFormat="1">
      <c r="A366" s="80">
        <v>77</v>
      </c>
      <c r="B366" s="29">
        <v>43126</v>
      </c>
      <c r="C366" s="18"/>
      <c r="D366" s="19" t="s">
        <v>1205</v>
      </c>
      <c r="E366" s="20" t="s">
        <v>1271</v>
      </c>
      <c r="F366" s="62" t="s">
        <v>1272</v>
      </c>
      <c r="G366" s="63">
        <v>1708</v>
      </c>
      <c r="H366" s="121">
        <f>2220000+11600</f>
        <v>2231600</v>
      </c>
      <c r="I366" s="24"/>
      <c r="J366" s="24">
        <f>H366/1.05</f>
        <v>2125333.333333333</v>
      </c>
      <c r="K366" s="24">
        <f t="shared" si="27"/>
        <v>2125333.333333333</v>
      </c>
      <c r="L366" s="123">
        <v>1</v>
      </c>
      <c r="M366" s="24">
        <f t="shared" si="28"/>
        <v>2125333.333333333</v>
      </c>
      <c r="N366" s="124">
        <f t="shared" si="29"/>
        <v>0</v>
      </c>
      <c r="O366" s="107" t="s">
        <v>1216</v>
      </c>
      <c r="V366" s="131"/>
      <c r="W366" s="15"/>
      <c r="AC366" s="131"/>
      <c r="AD366" s="15"/>
      <c r="AE366" s="99"/>
      <c r="AF366" s="149"/>
      <c r="AG366" s="134"/>
      <c r="AH366" s="134"/>
      <c r="AI366" s="137"/>
      <c r="AJ366" s="150"/>
      <c r="AK366" s="137"/>
      <c r="AL366" s="137"/>
      <c r="AN366" s="138"/>
      <c r="AO366" s="2"/>
      <c r="AP366" s="139"/>
      <c r="BA366" s="131"/>
      <c r="BB366" s="15"/>
      <c r="BC366" s="99"/>
      <c r="BD366" s="149"/>
      <c r="BE366" s="134"/>
      <c r="BF366" s="134"/>
      <c r="BG366" s="137"/>
      <c r="BH366" s="150"/>
      <c r="BI366" s="137"/>
      <c r="BJ366" s="137"/>
      <c r="BL366" s="138"/>
      <c r="BM366" s="2"/>
      <c r="BN366" s="139"/>
      <c r="BY366" s="131"/>
      <c r="BZ366" s="15"/>
      <c r="CA366" s="99"/>
      <c r="CB366" s="149"/>
      <c r="CC366" s="134"/>
      <c r="CD366" s="134"/>
      <c r="CE366" s="137"/>
      <c r="CF366" s="150"/>
      <c r="CG366" s="137"/>
      <c r="CH366" s="137"/>
      <c r="CJ366" s="138"/>
      <c r="CK366" s="2"/>
      <c r="CL366" s="139"/>
      <c r="CW366" s="131"/>
      <c r="CX366" s="15"/>
      <c r="CY366" s="99"/>
      <c r="CZ366" s="149"/>
      <c r="DA366" s="134"/>
      <c r="DB366" s="134"/>
      <c r="DC366" s="137"/>
      <c r="DD366" s="150"/>
      <c r="DE366" s="137"/>
      <c r="DF366" s="137"/>
      <c r="DH366" s="138"/>
      <c r="DI366" s="2"/>
      <c r="DJ366" s="139"/>
      <c r="DU366" s="131"/>
      <c r="DV366" s="15"/>
      <c r="DW366" s="99"/>
      <c r="DX366" s="149"/>
      <c r="DY366" s="134"/>
      <c r="DZ366" s="134"/>
      <c r="EA366" s="137"/>
      <c r="EB366" s="150"/>
      <c r="EC366" s="137"/>
      <c r="ED366" s="137"/>
      <c r="EF366" s="138"/>
      <c r="EG366" s="2"/>
      <c r="EH366" s="139"/>
      <c r="ES366" s="131"/>
      <c r="ET366" s="15"/>
      <c r="EU366" s="99"/>
      <c r="EV366" s="149"/>
      <c r="EW366" s="134"/>
      <c r="EX366" s="134"/>
      <c r="EY366" s="137"/>
      <c r="EZ366" s="150"/>
      <c r="FA366" s="137"/>
      <c r="FB366" s="137"/>
      <c r="FD366" s="138"/>
      <c r="FE366" s="2"/>
      <c r="FF366" s="139"/>
      <c r="FQ366" s="131"/>
      <c r="FR366" s="15"/>
      <c r="FS366" s="99"/>
      <c r="FT366" s="149"/>
      <c r="FU366" s="134"/>
      <c r="FV366" s="134"/>
      <c r="FW366" s="137"/>
      <c r="FX366" s="150"/>
      <c r="FY366" s="137"/>
      <c r="FZ366" s="137"/>
      <c r="GB366" s="138"/>
      <c r="GC366" s="2"/>
      <c r="GD366" s="139"/>
    </row>
    <row r="367" spans="1:188" s="3" customFormat="1">
      <c r="A367" s="80">
        <v>78</v>
      </c>
      <c r="B367" s="29">
        <v>43119</v>
      </c>
      <c r="C367" s="18" t="s">
        <v>1088</v>
      </c>
      <c r="D367" s="19" t="s">
        <v>1205</v>
      </c>
      <c r="E367" s="20" t="s">
        <v>1273</v>
      </c>
      <c r="F367" s="62" t="s">
        <v>1274</v>
      </c>
      <c r="G367" s="63">
        <v>1705</v>
      </c>
      <c r="H367" s="121">
        <v>2400000</v>
      </c>
      <c r="I367" s="24"/>
      <c r="J367" s="24">
        <v>2285714</v>
      </c>
      <c r="K367" s="24">
        <f t="shared" si="27"/>
        <v>2285714</v>
      </c>
      <c r="L367" s="123">
        <v>1</v>
      </c>
      <c r="M367" s="24">
        <f t="shared" si="28"/>
        <v>2285714</v>
      </c>
      <c r="N367" s="124">
        <f t="shared" si="29"/>
        <v>0</v>
      </c>
      <c r="O367" s="107" t="s">
        <v>1216</v>
      </c>
      <c r="AE367" s="141"/>
      <c r="AF367" s="142"/>
      <c r="AG367" s="142"/>
      <c r="AH367" s="142"/>
      <c r="AI367" s="142"/>
      <c r="AJ367" s="142"/>
      <c r="AK367" s="142"/>
      <c r="AL367" s="143"/>
      <c r="BC367" s="141"/>
      <c r="BD367" s="142"/>
      <c r="BE367" s="142"/>
      <c r="BF367" s="142"/>
      <c r="BG367" s="142"/>
      <c r="BH367" s="142"/>
      <c r="BI367" s="142"/>
      <c r="BJ367" s="143"/>
      <c r="CA367" s="141"/>
      <c r="CB367" s="142"/>
      <c r="CC367" s="142"/>
      <c r="CD367" s="142"/>
      <c r="CE367" s="142"/>
      <c r="CF367" s="142"/>
      <c r="CG367" s="142"/>
      <c r="CH367" s="143"/>
      <c r="CY367" s="141"/>
      <c r="CZ367" s="142"/>
      <c r="DA367" s="142"/>
      <c r="DB367" s="142"/>
      <c r="DC367" s="142"/>
      <c r="DD367" s="142"/>
      <c r="DE367" s="142"/>
      <c r="DF367" s="143"/>
      <c r="DW367" s="141"/>
      <c r="DX367" s="142"/>
      <c r="DY367" s="142"/>
      <c r="DZ367" s="142"/>
      <c r="EA367" s="142"/>
      <c r="EB367" s="142"/>
      <c r="EC367" s="142"/>
      <c r="ED367" s="143"/>
      <c r="EU367" s="141"/>
      <c r="EV367" s="142"/>
      <c r="EW367" s="142"/>
      <c r="EX367" s="142"/>
      <c r="EY367" s="142"/>
      <c r="EZ367" s="142"/>
      <c r="FA367" s="142"/>
      <c r="FB367" s="143"/>
      <c r="FS367" s="141"/>
      <c r="FT367" s="142"/>
      <c r="FU367" s="142"/>
      <c r="FV367" s="142"/>
      <c r="FW367" s="142"/>
      <c r="FX367" s="142"/>
      <c r="FY367" s="142"/>
      <c r="FZ367" s="143"/>
    </row>
    <row r="368" spans="1:188" s="3" customFormat="1">
      <c r="A368" s="80">
        <v>79</v>
      </c>
      <c r="B368" s="29">
        <v>43109</v>
      </c>
      <c r="C368" s="18" t="s">
        <v>1275</v>
      </c>
      <c r="D368" s="19" t="s">
        <v>1205</v>
      </c>
      <c r="E368" s="20" t="s">
        <v>480</v>
      </c>
      <c r="F368" s="62" t="s">
        <v>1276</v>
      </c>
      <c r="G368" s="63">
        <v>1708</v>
      </c>
      <c r="H368" s="121">
        <v>2570000</v>
      </c>
      <c r="I368" s="24"/>
      <c r="J368" s="24">
        <f>H368/1.05</f>
        <v>2447619.0476190476</v>
      </c>
      <c r="K368" s="24">
        <f t="shared" si="27"/>
        <v>2447619.0476190476</v>
      </c>
      <c r="L368" s="123">
        <v>1</v>
      </c>
      <c r="M368" s="24">
        <f t="shared" si="28"/>
        <v>2447619.0476190476</v>
      </c>
      <c r="N368" s="124">
        <f t="shared" si="29"/>
        <v>0</v>
      </c>
      <c r="O368" s="107" t="s">
        <v>1216</v>
      </c>
      <c r="AE368" s="130"/>
      <c r="AF368" s="130"/>
      <c r="AG368" s="130"/>
      <c r="AH368" s="130"/>
      <c r="AI368" s="130"/>
      <c r="AJ368" s="130"/>
      <c r="AK368" s="130"/>
      <c r="AL368" s="130"/>
      <c r="BC368" s="130"/>
      <c r="BD368" s="130"/>
      <c r="BE368" s="130"/>
      <c r="BF368" s="130"/>
      <c r="BG368" s="130"/>
      <c r="BH368" s="130"/>
      <c r="BI368" s="130"/>
      <c r="BJ368" s="130"/>
      <c r="CA368" s="130"/>
      <c r="CB368" s="130"/>
      <c r="CC368" s="130"/>
      <c r="CD368" s="130"/>
      <c r="CE368" s="130"/>
      <c r="CF368" s="130"/>
      <c r="CG368" s="130"/>
      <c r="CH368" s="130"/>
      <c r="CY368" s="130"/>
      <c r="CZ368" s="130"/>
      <c r="DA368" s="130"/>
      <c r="DB368" s="130"/>
      <c r="DC368" s="130"/>
      <c r="DD368" s="130"/>
      <c r="DE368" s="130"/>
      <c r="DF368" s="130"/>
      <c r="DW368" s="130"/>
      <c r="DX368" s="130"/>
      <c r="DY368" s="130"/>
      <c r="DZ368" s="130"/>
      <c r="EA368" s="130"/>
      <c r="EB368" s="130"/>
      <c r="EC368" s="130"/>
      <c r="ED368" s="130"/>
      <c r="EU368" s="130"/>
      <c r="EV368" s="130"/>
      <c r="EW368" s="130"/>
      <c r="EX368" s="130"/>
      <c r="EY368" s="130"/>
      <c r="EZ368" s="130"/>
      <c r="FA368" s="130"/>
      <c r="FB368" s="130"/>
      <c r="FS368" s="130"/>
      <c r="FT368" s="130"/>
      <c r="FU368" s="130"/>
      <c r="FV368" s="130"/>
      <c r="FW368" s="130"/>
      <c r="FX368" s="130"/>
      <c r="FY368" s="130"/>
      <c r="FZ368" s="130"/>
    </row>
    <row r="369" spans="1:182" s="3" customFormat="1">
      <c r="A369" s="80">
        <v>80</v>
      </c>
      <c r="B369" s="17">
        <v>43110</v>
      </c>
      <c r="C369" s="18"/>
      <c r="D369" s="19" t="s">
        <v>1206</v>
      </c>
      <c r="E369" s="20" t="s">
        <v>480</v>
      </c>
      <c r="F369" s="82" t="s">
        <v>1277</v>
      </c>
      <c r="G369" s="58">
        <v>1709</v>
      </c>
      <c r="H369" s="121">
        <v>2570000</v>
      </c>
      <c r="I369" s="24"/>
      <c r="J369" s="24">
        <f>H369/1.05</f>
        <v>2447619.0476190476</v>
      </c>
      <c r="K369" s="24">
        <f t="shared" si="27"/>
        <v>2447619.0476190476</v>
      </c>
      <c r="L369" s="123">
        <v>1</v>
      </c>
      <c r="M369" s="24">
        <f t="shared" si="28"/>
        <v>2447619.0476190476</v>
      </c>
      <c r="N369" s="124">
        <f t="shared" si="29"/>
        <v>0</v>
      </c>
      <c r="O369" s="107" t="s">
        <v>1216</v>
      </c>
      <c r="AE369" s="130"/>
      <c r="AF369" s="130"/>
      <c r="AG369" s="130"/>
      <c r="AH369" s="130"/>
      <c r="AI369" s="130"/>
      <c r="AJ369" s="130"/>
      <c r="AK369" s="130"/>
      <c r="AL369" s="130"/>
      <c r="BC369" s="130"/>
      <c r="BD369" s="130"/>
      <c r="BE369" s="130"/>
      <c r="BF369" s="130"/>
      <c r="BG369" s="130"/>
      <c r="BH369" s="130"/>
      <c r="BI369" s="130"/>
      <c r="BJ369" s="130"/>
      <c r="CA369" s="130"/>
      <c r="CB369" s="130"/>
      <c r="CC369" s="130"/>
      <c r="CD369" s="130"/>
      <c r="CE369" s="130"/>
      <c r="CF369" s="130"/>
      <c r="CG369" s="130"/>
      <c r="CH369" s="130"/>
      <c r="CY369" s="130"/>
      <c r="CZ369" s="130"/>
      <c r="DA369" s="130"/>
      <c r="DB369" s="130"/>
      <c r="DC369" s="130"/>
      <c r="DD369" s="130"/>
      <c r="DE369" s="130"/>
      <c r="DF369" s="130"/>
      <c r="DW369" s="130"/>
      <c r="DX369" s="130"/>
      <c r="DY369" s="130"/>
      <c r="DZ369" s="130"/>
      <c r="EA369" s="130"/>
      <c r="EB369" s="130"/>
      <c r="EC369" s="130"/>
      <c r="ED369" s="130"/>
      <c r="EU369" s="130"/>
      <c r="EV369" s="130"/>
      <c r="EW369" s="130"/>
      <c r="EX369" s="130"/>
      <c r="EY369" s="130"/>
      <c r="EZ369" s="130"/>
      <c r="FA369" s="130"/>
      <c r="FB369" s="130"/>
      <c r="FS369" s="130"/>
      <c r="FT369" s="130"/>
      <c r="FU369" s="130"/>
      <c r="FV369" s="130"/>
      <c r="FW369" s="130"/>
      <c r="FX369" s="130"/>
      <c r="FY369" s="130"/>
      <c r="FZ369" s="130"/>
    </row>
    <row r="370" spans="1:182" s="3" customFormat="1">
      <c r="A370" s="80">
        <v>81</v>
      </c>
      <c r="B370" s="29">
        <v>43120</v>
      </c>
      <c r="C370" s="18"/>
      <c r="D370" s="19" t="s">
        <v>1206</v>
      </c>
      <c r="E370" s="20" t="s">
        <v>480</v>
      </c>
      <c r="F370" s="82" t="s">
        <v>1278</v>
      </c>
      <c r="G370" s="58">
        <v>1709</v>
      </c>
      <c r="H370" s="121">
        <v>2570000</v>
      </c>
      <c r="I370" s="24"/>
      <c r="J370" s="24">
        <f>H370/1.05</f>
        <v>2447619.0476190476</v>
      </c>
      <c r="K370" s="24">
        <f t="shared" si="27"/>
        <v>2447619.0476190476</v>
      </c>
      <c r="L370" s="123">
        <v>1</v>
      </c>
      <c r="M370" s="24">
        <f t="shared" si="28"/>
        <v>2447619.0476190476</v>
      </c>
      <c r="N370" s="124">
        <f t="shared" si="29"/>
        <v>0</v>
      </c>
      <c r="O370" s="107" t="s">
        <v>1216</v>
      </c>
      <c r="AE370" s="130"/>
      <c r="AF370" s="130"/>
      <c r="AG370" s="130"/>
      <c r="AH370" s="130"/>
      <c r="AI370" s="130"/>
      <c r="AJ370" s="130"/>
      <c r="AK370" s="130"/>
      <c r="AL370" s="130"/>
      <c r="BC370" s="130"/>
      <c r="BD370" s="130"/>
      <c r="BE370" s="130"/>
      <c r="BF370" s="130"/>
      <c r="BG370" s="130"/>
      <c r="BH370" s="130"/>
      <c r="BI370" s="130"/>
      <c r="BJ370" s="130"/>
      <c r="CA370" s="130"/>
      <c r="CB370" s="130"/>
      <c r="CC370" s="130"/>
      <c r="CD370" s="130"/>
      <c r="CE370" s="130"/>
      <c r="CF370" s="130"/>
      <c r="CG370" s="130"/>
      <c r="CH370" s="130"/>
      <c r="CY370" s="130"/>
      <c r="CZ370" s="130"/>
      <c r="DA370" s="130"/>
      <c r="DB370" s="130"/>
      <c r="DC370" s="130"/>
      <c r="DD370" s="130"/>
      <c r="DE370" s="130"/>
      <c r="DF370" s="130"/>
      <c r="DW370" s="130"/>
      <c r="DX370" s="130"/>
      <c r="DY370" s="130"/>
      <c r="DZ370" s="130"/>
      <c r="EA370" s="130"/>
      <c r="EB370" s="130"/>
      <c r="EC370" s="130"/>
      <c r="ED370" s="130"/>
      <c r="EU370" s="130"/>
      <c r="EV370" s="130"/>
      <c r="EW370" s="130"/>
      <c r="EX370" s="130"/>
      <c r="EY370" s="130"/>
      <c r="EZ370" s="130"/>
      <c r="FA370" s="130"/>
      <c r="FB370" s="130"/>
      <c r="FS370" s="130"/>
      <c r="FT370" s="130"/>
      <c r="FU370" s="130"/>
      <c r="FV370" s="130"/>
      <c r="FW370" s="130"/>
      <c r="FX370" s="130"/>
      <c r="FY370" s="130"/>
      <c r="FZ370" s="130"/>
    </row>
    <row r="371" spans="1:182" s="3" customFormat="1">
      <c r="A371" s="80">
        <v>82</v>
      </c>
      <c r="B371" s="29">
        <v>43121</v>
      </c>
      <c r="C371" s="18"/>
      <c r="D371" s="19" t="s">
        <v>1206</v>
      </c>
      <c r="E371" s="20" t="s">
        <v>480</v>
      </c>
      <c r="F371" s="62" t="s">
        <v>482</v>
      </c>
      <c r="G371" s="63">
        <v>1709</v>
      </c>
      <c r="H371" s="121">
        <v>2630000</v>
      </c>
      <c r="I371" s="24">
        <v>2504762</v>
      </c>
      <c r="J371" s="24"/>
      <c r="K371" s="24">
        <f t="shared" si="27"/>
        <v>2504762</v>
      </c>
      <c r="L371" s="123">
        <v>1</v>
      </c>
      <c r="M371" s="24">
        <f t="shared" si="28"/>
        <v>2504762</v>
      </c>
      <c r="N371" s="124">
        <f t="shared" si="29"/>
        <v>0</v>
      </c>
      <c r="O371" s="107" t="s">
        <v>1216</v>
      </c>
      <c r="AE371" s="130"/>
      <c r="AF371" s="130"/>
      <c r="AG371" s="130"/>
      <c r="AH371" s="130"/>
      <c r="AI371" s="130"/>
      <c r="AJ371" s="130"/>
      <c r="AK371" s="130"/>
      <c r="AL371" s="130"/>
      <c r="BC371" s="130"/>
      <c r="BD371" s="130"/>
      <c r="BE371" s="130"/>
      <c r="BF371" s="130"/>
      <c r="BG371" s="130"/>
      <c r="BH371" s="130"/>
      <c r="BI371" s="130"/>
      <c r="BJ371" s="130"/>
      <c r="CA371" s="130"/>
      <c r="CB371" s="130"/>
      <c r="CC371" s="130"/>
      <c r="CD371" s="130"/>
      <c r="CE371" s="130"/>
      <c r="CF371" s="130"/>
      <c r="CG371" s="130"/>
      <c r="CH371" s="130"/>
      <c r="CY371" s="130"/>
      <c r="CZ371" s="130"/>
      <c r="DA371" s="130"/>
      <c r="DB371" s="130"/>
      <c r="DC371" s="130"/>
      <c r="DD371" s="130"/>
      <c r="DE371" s="130"/>
      <c r="DF371" s="130"/>
      <c r="DW371" s="130"/>
      <c r="DX371" s="130"/>
      <c r="DY371" s="130"/>
      <c r="DZ371" s="130"/>
      <c r="EA371" s="130"/>
      <c r="EB371" s="130"/>
      <c r="EC371" s="130"/>
      <c r="ED371" s="130"/>
      <c r="EU371" s="130"/>
      <c r="EV371" s="130"/>
      <c r="EW371" s="130"/>
      <c r="EX371" s="130"/>
      <c r="EY371" s="130"/>
      <c r="EZ371" s="130"/>
      <c r="FA371" s="130"/>
      <c r="FB371" s="130"/>
      <c r="FS371" s="130"/>
      <c r="FT371" s="130"/>
      <c r="FU371" s="130"/>
      <c r="FV371" s="130"/>
      <c r="FW371" s="130"/>
      <c r="FX371" s="130"/>
      <c r="FY371" s="130"/>
      <c r="FZ371" s="130"/>
    </row>
    <row r="372" spans="1:182" s="3" customFormat="1">
      <c r="A372" s="80">
        <v>83</v>
      </c>
      <c r="B372" s="29">
        <v>43098</v>
      </c>
      <c r="C372" s="18"/>
      <c r="D372" s="19" t="s">
        <v>1206</v>
      </c>
      <c r="E372" s="20" t="s">
        <v>480</v>
      </c>
      <c r="F372" s="62" t="s">
        <v>1279</v>
      </c>
      <c r="G372" s="63">
        <v>1710</v>
      </c>
      <c r="H372" s="121">
        <v>2570000</v>
      </c>
      <c r="I372" s="24"/>
      <c r="J372" s="24">
        <f>H372/1.05</f>
        <v>2447619.0476190476</v>
      </c>
      <c r="K372" s="24">
        <f t="shared" si="27"/>
        <v>2447619.0476190476</v>
      </c>
      <c r="L372" s="123">
        <v>1</v>
      </c>
      <c r="M372" s="24">
        <f t="shared" si="28"/>
        <v>2447619.0476190476</v>
      </c>
      <c r="N372" s="124">
        <f t="shared" si="29"/>
        <v>0</v>
      </c>
      <c r="O372" s="107" t="s">
        <v>1216</v>
      </c>
      <c r="AE372" s="130"/>
      <c r="AF372" s="130"/>
      <c r="AG372" s="130"/>
      <c r="AH372" s="130"/>
      <c r="AI372" s="130"/>
      <c r="AJ372" s="130"/>
      <c r="AK372" s="130"/>
      <c r="AL372" s="130"/>
      <c r="BC372" s="130"/>
      <c r="BD372" s="130"/>
      <c r="BE372" s="130"/>
      <c r="BF372" s="130"/>
      <c r="BG372" s="130"/>
      <c r="BH372" s="130"/>
      <c r="BI372" s="130"/>
      <c r="BJ372" s="130"/>
      <c r="CA372" s="130"/>
      <c r="CB372" s="130"/>
      <c r="CC372" s="130"/>
      <c r="CD372" s="130"/>
      <c r="CE372" s="130"/>
      <c r="CF372" s="130"/>
      <c r="CG372" s="130"/>
      <c r="CH372" s="130"/>
      <c r="CY372" s="130"/>
      <c r="CZ372" s="130"/>
      <c r="DA372" s="130"/>
      <c r="DB372" s="130"/>
      <c r="DC372" s="130"/>
      <c r="DD372" s="130"/>
      <c r="DE372" s="130"/>
      <c r="DF372" s="130"/>
      <c r="DW372" s="130"/>
      <c r="DX372" s="130"/>
      <c r="DY372" s="130"/>
      <c r="DZ372" s="130"/>
      <c r="EA372" s="130"/>
      <c r="EB372" s="130"/>
      <c r="EC372" s="130"/>
      <c r="ED372" s="130"/>
      <c r="EU372" s="130"/>
      <c r="EV372" s="130"/>
      <c r="EW372" s="130"/>
      <c r="EX372" s="130"/>
      <c r="EY372" s="130"/>
      <c r="EZ372" s="130"/>
      <c r="FA372" s="130"/>
      <c r="FB372" s="130"/>
      <c r="FS372" s="130"/>
      <c r="FT372" s="130"/>
      <c r="FU372" s="130"/>
      <c r="FV372" s="130"/>
      <c r="FW372" s="130"/>
      <c r="FX372" s="130"/>
      <c r="FY372" s="130"/>
      <c r="FZ372" s="130"/>
    </row>
    <row r="373" spans="1:182" s="3" customFormat="1">
      <c r="A373" s="80">
        <v>84</v>
      </c>
      <c r="B373" s="29">
        <v>43111</v>
      </c>
      <c r="C373" s="18"/>
      <c r="D373" s="19" t="s">
        <v>1206</v>
      </c>
      <c r="E373" s="20" t="s">
        <v>480</v>
      </c>
      <c r="F373" s="62" t="s">
        <v>1280</v>
      </c>
      <c r="G373" s="63">
        <v>1710</v>
      </c>
      <c r="H373" s="121">
        <v>2570000</v>
      </c>
      <c r="I373" s="24"/>
      <c r="J373" s="24">
        <f>H373/1.05</f>
        <v>2447619.0476190476</v>
      </c>
      <c r="K373" s="24">
        <f t="shared" si="27"/>
        <v>2447619.0476190476</v>
      </c>
      <c r="L373" s="123">
        <v>1</v>
      </c>
      <c r="M373" s="24">
        <f t="shared" si="28"/>
        <v>2447619.0476190476</v>
      </c>
      <c r="N373" s="124">
        <f t="shared" si="29"/>
        <v>0</v>
      </c>
      <c r="O373" s="107" t="s">
        <v>1216</v>
      </c>
      <c r="AE373" s="130"/>
      <c r="AF373" s="130"/>
      <c r="AG373" s="130"/>
      <c r="AH373" s="130"/>
      <c r="AI373" s="130"/>
      <c r="AJ373" s="130"/>
      <c r="AK373" s="130"/>
      <c r="AL373" s="130"/>
      <c r="BC373" s="130"/>
      <c r="BD373" s="130"/>
      <c r="BE373" s="130"/>
      <c r="BF373" s="130"/>
      <c r="BG373" s="130"/>
      <c r="BH373" s="130"/>
      <c r="BI373" s="130"/>
      <c r="BJ373" s="130"/>
      <c r="CA373" s="130"/>
      <c r="CB373" s="130"/>
      <c r="CC373" s="130"/>
      <c r="CD373" s="130"/>
      <c r="CE373" s="130"/>
      <c r="CF373" s="130"/>
      <c r="CG373" s="130"/>
      <c r="CH373" s="130"/>
      <c r="CY373" s="130"/>
      <c r="CZ373" s="130"/>
      <c r="DA373" s="130"/>
      <c r="DB373" s="130"/>
      <c r="DC373" s="130"/>
      <c r="DD373" s="130"/>
      <c r="DE373" s="130"/>
      <c r="DF373" s="130"/>
      <c r="DW373" s="130"/>
      <c r="DX373" s="130"/>
      <c r="DY373" s="130"/>
      <c r="DZ373" s="130"/>
      <c r="EA373" s="130"/>
      <c r="EB373" s="130"/>
      <c r="EC373" s="130"/>
      <c r="ED373" s="130"/>
      <c r="EU373" s="130"/>
      <c r="EV373" s="130"/>
      <c r="EW373" s="130"/>
      <c r="EX373" s="130"/>
      <c r="EY373" s="130"/>
      <c r="EZ373" s="130"/>
      <c r="FA373" s="130"/>
      <c r="FB373" s="130"/>
      <c r="FS373" s="130"/>
      <c r="FT373" s="130"/>
      <c r="FU373" s="130"/>
      <c r="FV373" s="130"/>
      <c r="FW373" s="130"/>
      <c r="FX373" s="130"/>
      <c r="FY373" s="130"/>
      <c r="FZ373" s="130"/>
    </row>
    <row r="374" spans="1:182" s="3" customFormat="1">
      <c r="A374" s="80">
        <v>85</v>
      </c>
      <c r="B374" s="29">
        <v>43130</v>
      </c>
      <c r="C374" s="18"/>
      <c r="D374" s="19" t="s">
        <v>1206</v>
      </c>
      <c r="E374" s="20" t="s">
        <v>489</v>
      </c>
      <c r="F374" s="62" t="s">
        <v>491</v>
      </c>
      <c r="G374" s="63">
        <v>1705</v>
      </c>
      <c r="H374" s="121">
        <v>3130000</v>
      </c>
      <c r="I374" s="24">
        <v>2980952</v>
      </c>
      <c r="J374" s="24"/>
      <c r="K374" s="24">
        <f t="shared" si="27"/>
        <v>2980952</v>
      </c>
      <c r="L374" s="123">
        <v>1</v>
      </c>
      <c r="M374" s="24">
        <f t="shared" si="28"/>
        <v>2980952</v>
      </c>
      <c r="N374" s="124">
        <f t="shared" si="29"/>
        <v>0</v>
      </c>
      <c r="O374" s="107" t="s">
        <v>1216</v>
      </c>
      <c r="AE374" s="130"/>
      <c r="AF374" s="130"/>
      <c r="AG374" s="130"/>
      <c r="AH374" s="130"/>
      <c r="AI374" s="130"/>
      <c r="AJ374" s="130"/>
      <c r="AK374" s="130"/>
      <c r="AL374" s="130"/>
      <c r="BC374" s="130"/>
      <c r="BD374" s="130"/>
      <c r="BE374" s="130"/>
      <c r="BF374" s="130"/>
      <c r="BG374" s="130"/>
      <c r="BH374" s="130"/>
      <c r="BI374" s="130"/>
      <c r="BJ374" s="130"/>
      <c r="CA374" s="130"/>
      <c r="CB374" s="130"/>
      <c r="CC374" s="130"/>
      <c r="CD374" s="130"/>
      <c r="CE374" s="130"/>
      <c r="CF374" s="130"/>
      <c r="CG374" s="130"/>
      <c r="CH374" s="130"/>
      <c r="CY374" s="130"/>
      <c r="CZ374" s="130"/>
      <c r="DA374" s="130"/>
      <c r="DB374" s="130"/>
      <c r="DC374" s="130"/>
      <c r="DD374" s="130"/>
      <c r="DE374" s="130"/>
      <c r="DF374" s="130"/>
      <c r="DW374" s="130"/>
      <c r="DX374" s="130"/>
      <c r="DY374" s="130"/>
      <c r="DZ374" s="130"/>
      <c r="EA374" s="130"/>
      <c r="EB374" s="130"/>
      <c r="EC374" s="130"/>
      <c r="ED374" s="130"/>
      <c r="EU374" s="130"/>
      <c r="EV374" s="130"/>
      <c r="EW374" s="130"/>
      <c r="EX374" s="130"/>
      <c r="EY374" s="130"/>
      <c r="EZ374" s="130"/>
      <c r="FA374" s="130"/>
      <c r="FB374" s="130"/>
      <c r="FS374" s="130"/>
      <c r="FT374" s="130"/>
      <c r="FU374" s="130"/>
      <c r="FV374" s="130"/>
      <c r="FW374" s="130"/>
      <c r="FX374" s="130"/>
      <c r="FY374" s="130"/>
      <c r="FZ374" s="130"/>
    </row>
    <row r="375" spans="1:182" s="3" customFormat="1">
      <c r="A375" s="80">
        <v>86</v>
      </c>
      <c r="B375" s="17">
        <v>43082</v>
      </c>
      <c r="C375" s="18"/>
      <c r="D375" s="19" t="s">
        <v>1206</v>
      </c>
      <c r="E375" s="20" t="s">
        <v>489</v>
      </c>
      <c r="F375" s="168" t="s">
        <v>492</v>
      </c>
      <c r="G375" s="63">
        <v>1708</v>
      </c>
      <c r="H375" s="121">
        <v>3180000</v>
      </c>
      <c r="I375" s="24">
        <v>3028571</v>
      </c>
      <c r="J375" s="24"/>
      <c r="K375" s="24">
        <f t="shared" si="27"/>
        <v>3028571</v>
      </c>
      <c r="L375" s="123">
        <v>1</v>
      </c>
      <c r="M375" s="24">
        <f t="shared" si="28"/>
        <v>3028571</v>
      </c>
      <c r="N375" s="124">
        <f t="shared" si="29"/>
        <v>0</v>
      </c>
      <c r="O375" s="107" t="s">
        <v>1216</v>
      </c>
      <c r="AE375" s="130"/>
      <c r="AF375" s="130"/>
      <c r="AG375" s="130"/>
      <c r="AH375" s="130"/>
      <c r="AI375" s="130"/>
      <c r="AJ375" s="130"/>
      <c r="AK375" s="130"/>
      <c r="AL375" s="130"/>
      <c r="BC375" s="130"/>
      <c r="BD375" s="130"/>
      <c r="BE375" s="130"/>
      <c r="BF375" s="130"/>
      <c r="BG375" s="130"/>
      <c r="BH375" s="130"/>
      <c r="BI375" s="130"/>
      <c r="BJ375" s="130"/>
      <c r="CA375" s="130"/>
      <c r="CB375" s="130"/>
      <c r="CC375" s="130"/>
      <c r="CD375" s="130"/>
      <c r="CE375" s="130"/>
      <c r="CF375" s="130"/>
      <c r="CG375" s="130"/>
      <c r="CH375" s="130"/>
      <c r="CY375" s="130"/>
      <c r="CZ375" s="130"/>
      <c r="DA375" s="130"/>
      <c r="DB375" s="130"/>
      <c r="DC375" s="130"/>
      <c r="DD375" s="130"/>
      <c r="DE375" s="130"/>
      <c r="DF375" s="130"/>
      <c r="DW375" s="130"/>
      <c r="DX375" s="130"/>
      <c r="DY375" s="130"/>
      <c r="DZ375" s="130"/>
      <c r="EA375" s="130"/>
      <c r="EB375" s="130"/>
      <c r="EC375" s="130"/>
      <c r="ED375" s="130"/>
      <c r="EU375" s="130"/>
      <c r="EV375" s="130"/>
      <c r="EW375" s="130"/>
      <c r="EX375" s="130"/>
      <c r="EY375" s="130"/>
      <c r="EZ375" s="130"/>
      <c r="FA375" s="130"/>
      <c r="FB375" s="130"/>
      <c r="FS375" s="130"/>
      <c r="FT375" s="130"/>
      <c r="FU375" s="130"/>
      <c r="FV375" s="130"/>
      <c r="FW375" s="130"/>
      <c r="FX375" s="130"/>
      <c r="FY375" s="130"/>
      <c r="FZ375" s="130"/>
    </row>
    <row r="376" spans="1:182" s="3" customFormat="1">
      <c r="A376" s="80">
        <v>87</v>
      </c>
      <c r="B376" s="128">
        <v>43087</v>
      </c>
      <c r="C376" s="18"/>
      <c r="D376" s="19" t="s">
        <v>1206</v>
      </c>
      <c r="E376" s="20" t="s">
        <v>489</v>
      </c>
      <c r="F376" s="168" t="s">
        <v>1281</v>
      </c>
      <c r="G376" s="63">
        <v>1709</v>
      </c>
      <c r="H376" s="121">
        <v>3180000</v>
      </c>
      <c r="I376" s="24"/>
      <c r="J376" s="24">
        <f>H376/1.05</f>
        <v>3028571.4285714286</v>
      </c>
      <c r="K376" s="24">
        <f t="shared" si="27"/>
        <v>3028571.4285714286</v>
      </c>
      <c r="L376" s="123">
        <v>1</v>
      </c>
      <c r="M376" s="24">
        <f t="shared" si="28"/>
        <v>3028571.4285714286</v>
      </c>
      <c r="N376" s="124">
        <f t="shared" si="29"/>
        <v>0</v>
      </c>
      <c r="O376" s="107" t="s">
        <v>1216</v>
      </c>
      <c r="AE376" s="130"/>
      <c r="AF376" s="130"/>
      <c r="AG376" s="130"/>
      <c r="AH376" s="130"/>
      <c r="AI376" s="130"/>
      <c r="AJ376" s="130"/>
      <c r="AK376" s="130"/>
      <c r="AL376" s="130"/>
      <c r="BC376" s="130"/>
      <c r="BD376" s="130"/>
      <c r="BE376" s="130"/>
      <c r="BF376" s="130"/>
      <c r="BG376" s="130"/>
      <c r="BH376" s="130"/>
      <c r="BI376" s="130"/>
      <c r="BJ376" s="130"/>
      <c r="CA376" s="130"/>
      <c r="CB376" s="130"/>
      <c r="CC376" s="130"/>
      <c r="CD376" s="130"/>
      <c r="CE376" s="130"/>
      <c r="CF376" s="130"/>
      <c r="CG376" s="130"/>
      <c r="CH376" s="130"/>
      <c r="CY376" s="130"/>
      <c r="CZ376" s="130"/>
      <c r="DA376" s="130"/>
      <c r="DB376" s="130"/>
      <c r="DC376" s="130"/>
      <c r="DD376" s="130"/>
      <c r="DE376" s="130"/>
      <c r="DF376" s="130"/>
      <c r="DW376" s="130"/>
      <c r="DX376" s="130"/>
      <c r="DY376" s="130"/>
      <c r="DZ376" s="130"/>
      <c r="EA376" s="130"/>
      <c r="EB376" s="130"/>
      <c r="EC376" s="130"/>
      <c r="ED376" s="130"/>
      <c r="EU376" s="130"/>
      <c r="EV376" s="130"/>
      <c r="EW376" s="130"/>
      <c r="EX376" s="130"/>
      <c r="EY376" s="130"/>
      <c r="EZ376" s="130"/>
      <c r="FA376" s="130"/>
      <c r="FB376" s="130"/>
      <c r="FS376" s="130"/>
      <c r="FT376" s="130"/>
      <c r="FU376" s="130"/>
      <c r="FV376" s="130"/>
      <c r="FW376" s="130"/>
      <c r="FX376" s="130"/>
      <c r="FY376" s="130"/>
      <c r="FZ376" s="130"/>
    </row>
    <row r="377" spans="1:182" s="3" customFormat="1">
      <c r="A377" s="80">
        <v>88</v>
      </c>
      <c r="B377" s="17">
        <v>43111</v>
      </c>
      <c r="C377" s="18"/>
      <c r="D377" s="19" t="s">
        <v>1206</v>
      </c>
      <c r="E377" s="20" t="s">
        <v>495</v>
      </c>
      <c r="F377" s="62" t="s">
        <v>497</v>
      </c>
      <c r="G377" s="63">
        <v>1708</v>
      </c>
      <c r="H377" s="121">
        <v>3320100</v>
      </c>
      <c r="I377" s="24">
        <v>3162000</v>
      </c>
      <c r="J377" s="24"/>
      <c r="K377" s="24">
        <f t="shared" si="27"/>
        <v>3162000</v>
      </c>
      <c r="L377" s="123">
        <v>1</v>
      </c>
      <c r="M377" s="24">
        <f t="shared" si="28"/>
        <v>3162000</v>
      </c>
      <c r="N377" s="124">
        <f t="shared" si="29"/>
        <v>0</v>
      </c>
      <c r="O377" s="107" t="s">
        <v>1216</v>
      </c>
      <c r="AE377" s="130"/>
      <c r="AF377" s="130"/>
      <c r="AG377" s="130"/>
      <c r="AH377" s="130"/>
      <c r="AI377" s="130"/>
      <c r="AJ377" s="130"/>
      <c r="AK377" s="130"/>
      <c r="AL377" s="130"/>
      <c r="BC377" s="130"/>
      <c r="BD377" s="130"/>
      <c r="BE377" s="130"/>
      <c r="BF377" s="130"/>
      <c r="BG377" s="130"/>
      <c r="BH377" s="130"/>
      <c r="BI377" s="130"/>
      <c r="BJ377" s="130"/>
      <c r="CA377" s="130"/>
      <c r="CB377" s="130"/>
      <c r="CC377" s="130"/>
      <c r="CD377" s="130"/>
      <c r="CE377" s="130"/>
      <c r="CF377" s="130"/>
      <c r="CG377" s="130"/>
      <c r="CH377" s="130"/>
      <c r="CY377" s="130"/>
      <c r="CZ377" s="130"/>
      <c r="DA377" s="130"/>
      <c r="DB377" s="130"/>
      <c r="DC377" s="130"/>
      <c r="DD377" s="130"/>
      <c r="DE377" s="130"/>
      <c r="DF377" s="130"/>
      <c r="DW377" s="130"/>
      <c r="DX377" s="130"/>
      <c r="DY377" s="130"/>
      <c r="DZ377" s="130"/>
      <c r="EA377" s="130"/>
      <c r="EB377" s="130"/>
      <c r="EC377" s="130"/>
      <c r="ED377" s="130"/>
      <c r="EU377" s="130"/>
      <c r="EV377" s="130"/>
      <c r="EW377" s="130"/>
      <c r="EX377" s="130"/>
      <c r="EY377" s="130"/>
      <c r="EZ377" s="130"/>
      <c r="FA377" s="130"/>
      <c r="FB377" s="130"/>
      <c r="FS377" s="130"/>
      <c r="FT377" s="130"/>
      <c r="FU377" s="130"/>
      <c r="FV377" s="130"/>
      <c r="FW377" s="130"/>
      <c r="FX377" s="130"/>
      <c r="FY377" s="130"/>
      <c r="FZ377" s="130"/>
    </row>
    <row r="378" spans="1:182" s="3" customFormat="1">
      <c r="A378" s="80">
        <v>89</v>
      </c>
      <c r="B378" s="29">
        <v>43081</v>
      </c>
      <c r="C378" s="18"/>
      <c r="D378" s="19" t="s">
        <v>1214</v>
      </c>
      <c r="E378" s="20" t="s">
        <v>1282</v>
      </c>
      <c r="F378" s="168" t="s">
        <v>1283</v>
      </c>
      <c r="G378" s="63">
        <v>1709</v>
      </c>
      <c r="H378" s="121">
        <f>3353500+17650</f>
        <v>3371150</v>
      </c>
      <c r="I378" s="24"/>
      <c r="J378" s="24">
        <v>3210619</v>
      </c>
      <c r="K378" s="24">
        <f t="shared" si="27"/>
        <v>3210619</v>
      </c>
      <c r="L378" s="123">
        <v>1</v>
      </c>
      <c r="M378" s="24">
        <f t="shared" si="28"/>
        <v>3210619</v>
      </c>
      <c r="N378" s="124">
        <f t="shared" si="29"/>
        <v>0</v>
      </c>
      <c r="O378" s="107" t="s">
        <v>1216</v>
      </c>
      <c r="AE378" s="130"/>
      <c r="AF378" s="130"/>
      <c r="AG378" s="130"/>
      <c r="AH378" s="130"/>
      <c r="AI378" s="130"/>
      <c r="AJ378" s="130"/>
      <c r="AK378" s="130"/>
      <c r="AL378" s="130"/>
      <c r="BC378" s="130"/>
      <c r="BD378" s="130"/>
      <c r="BE378" s="130"/>
      <c r="BF378" s="130"/>
      <c r="BG378" s="130"/>
      <c r="BH378" s="130"/>
      <c r="BI378" s="130"/>
      <c r="BJ378" s="130"/>
      <c r="CA378" s="130"/>
      <c r="CB378" s="130"/>
      <c r="CC378" s="130"/>
      <c r="CD378" s="130"/>
      <c r="CE378" s="130"/>
      <c r="CF378" s="130"/>
      <c r="CG378" s="130"/>
      <c r="CH378" s="130"/>
      <c r="CY378" s="130"/>
      <c r="CZ378" s="130"/>
      <c r="DA378" s="130"/>
      <c r="DB378" s="130"/>
      <c r="DC378" s="130"/>
      <c r="DD378" s="130"/>
      <c r="DE378" s="130"/>
      <c r="DF378" s="130"/>
      <c r="DW378" s="130"/>
      <c r="DX378" s="130"/>
      <c r="DY378" s="130"/>
      <c r="DZ378" s="130"/>
      <c r="EA378" s="130"/>
      <c r="EB378" s="130"/>
      <c r="EC378" s="130"/>
      <c r="ED378" s="130"/>
      <c r="EU378" s="130"/>
      <c r="EV378" s="130"/>
      <c r="EW378" s="130"/>
      <c r="EX378" s="130"/>
      <c r="EY378" s="130"/>
      <c r="EZ378" s="130"/>
      <c r="FA378" s="130"/>
      <c r="FB378" s="130"/>
      <c r="FS378" s="130"/>
      <c r="FT378" s="130"/>
      <c r="FU378" s="130"/>
      <c r="FV378" s="130"/>
      <c r="FW378" s="130"/>
      <c r="FX378" s="130"/>
      <c r="FY378" s="130"/>
      <c r="FZ378" s="130"/>
    </row>
    <row r="379" spans="1:182" s="3" customFormat="1">
      <c r="A379" s="84">
        <v>1</v>
      </c>
      <c r="B379" s="17">
        <v>43129</v>
      </c>
      <c r="C379" s="18" t="s">
        <v>1275</v>
      </c>
      <c r="D379" s="19" t="s">
        <v>1214</v>
      </c>
      <c r="E379" s="20" t="s">
        <v>285</v>
      </c>
      <c r="F379" s="62" t="s">
        <v>289</v>
      </c>
      <c r="G379" s="63">
        <v>1708</v>
      </c>
      <c r="H379" s="121">
        <v>1406000</v>
      </c>
      <c r="I379" s="24">
        <v>1339048</v>
      </c>
      <c r="J379" s="24"/>
      <c r="K379" s="24">
        <f t="shared" si="27"/>
        <v>1339048</v>
      </c>
      <c r="L379" s="123">
        <v>1</v>
      </c>
      <c r="M379" s="24">
        <f t="shared" si="28"/>
        <v>1339048</v>
      </c>
      <c r="N379" s="124">
        <f t="shared" si="29"/>
        <v>0</v>
      </c>
      <c r="O379" s="85" t="s">
        <v>1284</v>
      </c>
      <c r="AE379" s="130"/>
      <c r="AF379" s="130"/>
      <c r="AG379" s="130"/>
      <c r="AH379" s="130"/>
      <c r="AI379" s="130"/>
      <c r="AJ379" s="130"/>
      <c r="AK379" s="130"/>
      <c r="AL379" s="130"/>
      <c r="BC379" s="130"/>
      <c r="BD379" s="130"/>
      <c r="BE379" s="130"/>
      <c r="BF379" s="130"/>
      <c r="BG379" s="130"/>
      <c r="BH379" s="130"/>
      <c r="BI379" s="130"/>
      <c r="BJ379" s="130"/>
      <c r="CA379" s="130"/>
      <c r="CB379" s="130"/>
      <c r="CC379" s="130"/>
      <c r="CD379" s="130"/>
      <c r="CE379" s="130"/>
      <c r="CF379" s="130"/>
      <c r="CG379" s="130"/>
      <c r="CH379" s="130"/>
      <c r="CY379" s="130"/>
      <c r="CZ379" s="130"/>
      <c r="DA379" s="130"/>
      <c r="DB379" s="130"/>
      <c r="DC379" s="130"/>
      <c r="DD379" s="130"/>
      <c r="DE379" s="130"/>
      <c r="DF379" s="130"/>
      <c r="DW379" s="130"/>
      <c r="DX379" s="130"/>
      <c r="DY379" s="130"/>
      <c r="DZ379" s="130"/>
      <c r="EA379" s="130"/>
      <c r="EB379" s="130"/>
      <c r="EC379" s="130"/>
      <c r="ED379" s="130"/>
      <c r="EU379" s="130"/>
      <c r="EV379" s="130"/>
      <c r="EW379" s="130"/>
      <c r="EX379" s="130"/>
      <c r="EY379" s="130"/>
      <c r="EZ379" s="130"/>
      <c r="FA379" s="130"/>
      <c r="FB379" s="130"/>
      <c r="FS379" s="130"/>
      <c r="FT379" s="130"/>
      <c r="FU379" s="130"/>
      <c r="FV379" s="130"/>
      <c r="FW379" s="130"/>
      <c r="FX379" s="130"/>
      <c r="FY379" s="130"/>
      <c r="FZ379" s="130"/>
    </row>
    <row r="380" spans="1:182" s="3" customFormat="1">
      <c r="A380" s="84">
        <v>2</v>
      </c>
      <c r="B380" s="29">
        <v>43068</v>
      </c>
      <c r="C380" s="18"/>
      <c r="D380" s="19" t="s">
        <v>1124</v>
      </c>
      <c r="E380" s="20" t="s">
        <v>295</v>
      </c>
      <c r="F380" s="62" t="s">
        <v>297</v>
      </c>
      <c r="G380" s="63">
        <v>1709</v>
      </c>
      <c r="H380" s="121">
        <f>50000+1567500</f>
        <v>1617500</v>
      </c>
      <c r="I380" s="24">
        <v>1540476</v>
      </c>
      <c r="J380" s="24"/>
      <c r="K380" s="24">
        <f t="shared" si="27"/>
        <v>1540476</v>
      </c>
      <c r="L380" s="123">
        <v>1</v>
      </c>
      <c r="M380" s="24">
        <f t="shared" si="28"/>
        <v>1540476</v>
      </c>
      <c r="N380" s="124">
        <f t="shared" si="29"/>
        <v>0</v>
      </c>
      <c r="O380" s="85" t="s">
        <v>1284</v>
      </c>
      <c r="AE380" s="130"/>
      <c r="AF380" s="130"/>
      <c r="AG380" s="130"/>
      <c r="AH380" s="130"/>
      <c r="AI380" s="130"/>
      <c r="AJ380" s="130"/>
      <c r="AK380" s="130"/>
      <c r="AL380" s="130"/>
      <c r="BC380" s="130"/>
      <c r="BD380" s="130"/>
      <c r="BE380" s="130"/>
      <c r="BF380" s="130"/>
      <c r="BG380" s="130"/>
      <c r="BH380" s="130"/>
      <c r="BI380" s="130"/>
      <c r="BJ380" s="130"/>
      <c r="CA380" s="130"/>
      <c r="CB380" s="130"/>
      <c r="CC380" s="130"/>
      <c r="CD380" s="130"/>
      <c r="CE380" s="130"/>
      <c r="CF380" s="130"/>
      <c r="CG380" s="130"/>
      <c r="CH380" s="130"/>
      <c r="CY380" s="130"/>
      <c r="CZ380" s="130"/>
      <c r="DA380" s="130"/>
      <c r="DB380" s="130"/>
      <c r="DC380" s="130"/>
      <c r="DD380" s="130"/>
      <c r="DE380" s="130"/>
      <c r="DF380" s="130"/>
      <c r="DW380" s="130"/>
      <c r="DX380" s="130"/>
      <c r="DY380" s="130"/>
      <c r="DZ380" s="130"/>
      <c r="EA380" s="130"/>
      <c r="EB380" s="130"/>
      <c r="EC380" s="130"/>
      <c r="ED380" s="130"/>
      <c r="EU380" s="130"/>
      <c r="EV380" s="130"/>
      <c r="EW380" s="130"/>
      <c r="EX380" s="130"/>
      <c r="EY380" s="130"/>
      <c r="EZ380" s="130"/>
      <c r="FA380" s="130"/>
      <c r="FB380" s="130"/>
      <c r="FS380" s="130"/>
      <c r="FT380" s="130"/>
      <c r="FU380" s="130"/>
      <c r="FV380" s="130"/>
      <c r="FW380" s="130"/>
      <c r="FX380" s="130"/>
      <c r="FY380" s="130"/>
      <c r="FZ380" s="130"/>
    </row>
    <row r="381" spans="1:182" s="3" customFormat="1">
      <c r="A381" s="84">
        <v>3</v>
      </c>
      <c r="B381" s="29">
        <v>43098</v>
      </c>
      <c r="C381" s="18"/>
      <c r="D381" s="19" t="s">
        <v>1124</v>
      </c>
      <c r="E381" s="20" t="s">
        <v>295</v>
      </c>
      <c r="F381" s="82" t="s">
        <v>1285</v>
      </c>
      <c r="G381" s="58">
        <v>1710</v>
      </c>
      <c r="H381" s="121">
        <f>50000+1567500</f>
        <v>1617500</v>
      </c>
      <c r="I381" s="24"/>
      <c r="J381" s="24">
        <f>H381/1.05</f>
        <v>1540476.1904761903</v>
      </c>
      <c r="K381" s="24">
        <f t="shared" si="27"/>
        <v>1540476.1904761903</v>
      </c>
      <c r="L381" s="123">
        <v>1</v>
      </c>
      <c r="M381" s="24">
        <f t="shared" si="28"/>
        <v>1540476.1904761903</v>
      </c>
      <c r="N381" s="124">
        <f t="shared" si="29"/>
        <v>0</v>
      </c>
      <c r="O381" s="85" t="s">
        <v>1284</v>
      </c>
      <c r="AE381" s="130"/>
      <c r="AF381" s="130"/>
      <c r="AG381" s="130"/>
      <c r="AH381" s="130"/>
      <c r="AI381" s="130"/>
      <c r="AJ381" s="130"/>
      <c r="AK381" s="130"/>
      <c r="AL381" s="130"/>
      <c r="BC381" s="130"/>
      <c r="BD381" s="130"/>
      <c r="BE381" s="130"/>
      <c r="BF381" s="130"/>
      <c r="BG381" s="130"/>
      <c r="BH381" s="130"/>
      <c r="BI381" s="130"/>
      <c r="BJ381" s="130"/>
      <c r="CA381" s="130"/>
      <c r="CB381" s="130"/>
      <c r="CC381" s="130"/>
      <c r="CD381" s="130"/>
      <c r="CE381" s="130"/>
      <c r="CF381" s="130"/>
      <c r="CG381" s="130"/>
      <c r="CH381" s="130"/>
      <c r="CY381" s="130"/>
      <c r="CZ381" s="130"/>
      <c r="DA381" s="130"/>
      <c r="DB381" s="130"/>
      <c r="DC381" s="130"/>
      <c r="DD381" s="130"/>
      <c r="DE381" s="130"/>
      <c r="DF381" s="130"/>
      <c r="DW381" s="130"/>
      <c r="DX381" s="130"/>
      <c r="DY381" s="130"/>
      <c r="DZ381" s="130"/>
      <c r="EA381" s="130"/>
      <c r="EB381" s="130"/>
      <c r="EC381" s="130"/>
      <c r="ED381" s="130"/>
      <c r="EU381" s="130"/>
      <c r="EV381" s="130"/>
      <c r="EW381" s="130"/>
      <c r="EX381" s="130"/>
      <c r="EY381" s="130"/>
      <c r="EZ381" s="130"/>
      <c r="FA381" s="130"/>
      <c r="FB381" s="130"/>
      <c r="FS381" s="130"/>
      <c r="FT381" s="130"/>
      <c r="FU381" s="130"/>
      <c r="FV381" s="130"/>
      <c r="FW381" s="130"/>
      <c r="FX381" s="130"/>
      <c r="FY381" s="130"/>
      <c r="FZ381" s="130"/>
    </row>
    <row r="382" spans="1:182" s="3" customFormat="1">
      <c r="A382" s="84">
        <v>4</v>
      </c>
      <c r="B382" s="29">
        <v>43122</v>
      </c>
      <c r="C382" s="18"/>
      <c r="D382" s="19" t="s">
        <v>1124</v>
      </c>
      <c r="E382" s="20" t="s">
        <v>295</v>
      </c>
      <c r="F382" s="57" t="s">
        <v>1286</v>
      </c>
      <c r="G382" s="63">
        <v>1710</v>
      </c>
      <c r="H382" s="121">
        <f>50000+1567500</f>
        <v>1617500</v>
      </c>
      <c r="I382" s="24"/>
      <c r="J382" s="24">
        <v>1540475</v>
      </c>
      <c r="K382" s="24">
        <f t="shared" si="27"/>
        <v>1540475</v>
      </c>
      <c r="L382" s="123">
        <v>1</v>
      </c>
      <c r="M382" s="24">
        <f t="shared" si="28"/>
        <v>1540475</v>
      </c>
      <c r="N382" s="124">
        <f t="shared" si="29"/>
        <v>0</v>
      </c>
      <c r="O382" s="85" t="s">
        <v>1284</v>
      </c>
      <c r="AE382" s="130"/>
      <c r="AF382" s="130"/>
      <c r="AG382" s="130"/>
      <c r="AH382" s="130"/>
      <c r="AI382" s="130"/>
      <c r="AJ382" s="130"/>
      <c r="AK382" s="130"/>
      <c r="AL382" s="130"/>
      <c r="BC382" s="130"/>
      <c r="BD382" s="130"/>
      <c r="BE382" s="130"/>
      <c r="BF382" s="130"/>
      <c r="BG382" s="130"/>
      <c r="BH382" s="130"/>
      <c r="BI382" s="130"/>
      <c r="BJ382" s="130"/>
      <c r="CA382" s="130"/>
      <c r="CB382" s="130"/>
      <c r="CC382" s="130"/>
      <c r="CD382" s="130"/>
      <c r="CE382" s="130"/>
      <c r="CF382" s="130"/>
      <c r="CG382" s="130"/>
      <c r="CH382" s="130"/>
      <c r="CY382" s="130"/>
      <c r="CZ382" s="130"/>
      <c r="DA382" s="130"/>
      <c r="DB382" s="130"/>
      <c r="DC382" s="130"/>
      <c r="DD382" s="130"/>
      <c r="DE382" s="130"/>
      <c r="DF382" s="130"/>
      <c r="DW382" s="130"/>
      <c r="DX382" s="130"/>
      <c r="DY382" s="130"/>
      <c r="DZ382" s="130"/>
      <c r="EA382" s="130"/>
      <c r="EB382" s="130"/>
      <c r="EC382" s="130"/>
      <c r="ED382" s="130"/>
      <c r="EU382" s="130"/>
      <c r="EV382" s="130"/>
      <c r="EW382" s="130"/>
      <c r="EX382" s="130"/>
      <c r="EY382" s="130"/>
      <c r="EZ382" s="130"/>
      <c r="FA382" s="130"/>
      <c r="FB382" s="130"/>
      <c r="FS382" s="130"/>
      <c r="FT382" s="130"/>
      <c r="FU382" s="130"/>
      <c r="FV382" s="130"/>
      <c r="FW382" s="130"/>
      <c r="FX382" s="130"/>
      <c r="FY382" s="130"/>
      <c r="FZ382" s="130"/>
    </row>
    <row r="383" spans="1:182" s="3" customFormat="1">
      <c r="A383" s="84">
        <v>5</v>
      </c>
      <c r="B383" s="17">
        <v>43125</v>
      </c>
      <c r="C383" s="18"/>
      <c r="D383" s="19" t="s">
        <v>1124</v>
      </c>
      <c r="E383" s="20" t="s">
        <v>295</v>
      </c>
      <c r="F383" s="82" t="s">
        <v>1287</v>
      </c>
      <c r="G383" s="63">
        <v>1710</v>
      </c>
      <c r="H383" s="121">
        <f>50000+1567500</f>
        <v>1617500</v>
      </c>
      <c r="I383" s="24"/>
      <c r="J383" s="24">
        <v>1540475</v>
      </c>
      <c r="K383" s="24">
        <f t="shared" si="27"/>
        <v>1540475</v>
      </c>
      <c r="L383" s="123">
        <v>1</v>
      </c>
      <c r="M383" s="24">
        <f t="shared" si="28"/>
        <v>1540475</v>
      </c>
      <c r="N383" s="124">
        <f t="shared" si="29"/>
        <v>0</v>
      </c>
      <c r="O383" s="85" t="s">
        <v>1284</v>
      </c>
      <c r="AE383" s="130"/>
      <c r="AF383" s="130"/>
      <c r="AG383" s="130"/>
      <c r="AH383" s="130"/>
      <c r="AI383" s="130"/>
      <c r="AJ383" s="130"/>
      <c r="AK383" s="130"/>
      <c r="AL383" s="130"/>
      <c r="BC383" s="130"/>
      <c r="BD383" s="130"/>
      <c r="BE383" s="130"/>
      <c r="BF383" s="130"/>
      <c r="BG383" s="130"/>
      <c r="BH383" s="130"/>
      <c r="BI383" s="130"/>
      <c r="BJ383" s="130"/>
      <c r="CA383" s="130"/>
      <c r="CB383" s="130"/>
      <c r="CC383" s="130"/>
      <c r="CD383" s="130"/>
      <c r="CE383" s="130"/>
      <c r="CF383" s="130"/>
      <c r="CG383" s="130"/>
      <c r="CH383" s="130"/>
      <c r="CY383" s="130"/>
      <c r="CZ383" s="130"/>
      <c r="DA383" s="130"/>
      <c r="DB383" s="130"/>
      <c r="DC383" s="130"/>
      <c r="DD383" s="130"/>
      <c r="DE383" s="130"/>
      <c r="DF383" s="130"/>
      <c r="DW383" s="130"/>
      <c r="DX383" s="130"/>
      <c r="DY383" s="130"/>
      <c r="DZ383" s="130"/>
      <c r="EA383" s="130"/>
      <c r="EB383" s="130"/>
      <c r="EC383" s="130"/>
      <c r="ED383" s="130"/>
      <c r="EU383" s="130"/>
      <c r="EV383" s="130"/>
      <c r="EW383" s="130"/>
      <c r="EX383" s="130"/>
      <c r="EY383" s="130"/>
      <c r="EZ383" s="130"/>
      <c r="FA383" s="130"/>
      <c r="FB383" s="130"/>
      <c r="FS383" s="130"/>
      <c r="FT383" s="130"/>
      <c r="FU383" s="130"/>
      <c r="FV383" s="130"/>
      <c r="FW383" s="130"/>
      <c r="FX383" s="130"/>
      <c r="FY383" s="130"/>
      <c r="FZ383" s="130"/>
    </row>
    <row r="384" spans="1:182" s="3" customFormat="1">
      <c r="A384" s="84">
        <v>9</v>
      </c>
      <c r="B384" s="29">
        <v>43130</v>
      </c>
      <c r="C384" s="18"/>
      <c r="D384" s="19" t="s">
        <v>1124</v>
      </c>
      <c r="E384" s="20" t="s">
        <v>383</v>
      </c>
      <c r="F384" s="62" t="s">
        <v>386</v>
      </c>
      <c r="G384" s="63">
        <v>1710</v>
      </c>
      <c r="H384" s="121">
        <v>1410000</v>
      </c>
      <c r="I384" s="24">
        <v>1342857</v>
      </c>
      <c r="J384" s="24"/>
      <c r="K384" s="24">
        <f t="shared" si="27"/>
        <v>1342857</v>
      </c>
      <c r="L384" s="123">
        <v>1</v>
      </c>
      <c r="M384" s="24">
        <f t="shared" si="28"/>
        <v>1342857</v>
      </c>
      <c r="N384" s="124">
        <f t="shared" si="29"/>
        <v>0</v>
      </c>
      <c r="O384" s="85" t="s">
        <v>1284</v>
      </c>
      <c r="AE384" s="130"/>
      <c r="AF384" s="130"/>
      <c r="AG384" s="130"/>
      <c r="AH384" s="130"/>
      <c r="AI384" s="130"/>
      <c r="AJ384" s="130"/>
      <c r="AK384" s="130"/>
      <c r="AL384" s="130"/>
      <c r="BC384" s="130"/>
      <c r="BD384" s="130"/>
      <c r="BE384" s="130"/>
      <c r="BF384" s="130"/>
      <c r="BG384" s="130"/>
      <c r="BH384" s="130"/>
      <c r="BI384" s="130"/>
      <c r="BJ384" s="130"/>
      <c r="CA384" s="130"/>
      <c r="CB384" s="130"/>
      <c r="CC384" s="130"/>
      <c r="CD384" s="130"/>
      <c r="CE384" s="130"/>
      <c r="CF384" s="130"/>
      <c r="CG384" s="130"/>
      <c r="CH384" s="130"/>
      <c r="CY384" s="130"/>
      <c r="CZ384" s="130"/>
      <c r="DA384" s="130"/>
      <c r="DB384" s="130"/>
      <c r="DC384" s="130"/>
      <c r="DD384" s="130"/>
      <c r="DE384" s="130"/>
      <c r="DF384" s="130"/>
      <c r="DW384" s="130"/>
      <c r="DX384" s="130"/>
      <c r="DY384" s="130"/>
      <c r="DZ384" s="130"/>
      <c r="EA384" s="130"/>
      <c r="EB384" s="130"/>
      <c r="EC384" s="130"/>
      <c r="ED384" s="130"/>
      <c r="EU384" s="130"/>
      <c r="EV384" s="130"/>
      <c r="EW384" s="130"/>
      <c r="EX384" s="130"/>
      <c r="EY384" s="130"/>
      <c r="EZ384" s="130"/>
      <c r="FA384" s="130"/>
      <c r="FB384" s="130"/>
      <c r="FS384" s="130"/>
      <c r="FT384" s="130"/>
      <c r="FU384" s="130"/>
      <c r="FV384" s="130"/>
      <c r="FW384" s="130"/>
      <c r="FX384" s="130"/>
      <c r="FY384" s="130"/>
      <c r="FZ384" s="130"/>
    </row>
    <row r="385" spans="1:186" s="3" customFormat="1">
      <c r="A385" s="84">
        <v>7</v>
      </c>
      <c r="B385" s="29">
        <v>43098</v>
      </c>
      <c r="C385" s="18"/>
      <c r="D385" s="19" t="s">
        <v>385</v>
      </c>
      <c r="E385" s="20" t="s">
        <v>383</v>
      </c>
      <c r="F385" s="62" t="s">
        <v>1288</v>
      </c>
      <c r="G385" s="63">
        <v>1710</v>
      </c>
      <c r="H385" s="121">
        <v>1410000</v>
      </c>
      <c r="I385" s="24"/>
      <c r="J385" s="24">
        <f>H385/1.05</f>
        <v>1342857.1428571427</v>
      </c>
      <c r="K385" s="24">
        <f t="shared" si="27"/>
        <v>1342857.1428571427</v>
      </c>
      <c r="L385" s="123">
        <v>1</v>
      </c>
      <c r="M385" s="24">
        <f t="shared" si="28"/>
        <v>1342857.1428571427</v>
      </c>
      <c r="N385" s="124">
        <f t="shared" si="29"/>
        <v>0</v>
      </c>
      <c r="O385" s="85" t="s">
        <v>1284</v>
      </c>
      <c r="AE385" s="130"/>
      <c r="AF385" s="130"/>
      <c r="AG385" s="130"/>
      <c r="AH385" s="130"/>
      <c r="AI385" s="130"/>
      <c r="AJ385" s="130"/>
      <c r="AK385" s="130"/>
      <c r="AL385" s="130"/>
      <c r="BC385" s="130"/>
      <c r="BD385" s="130"/>
      <c r="BE385" s="130"/>
      <c r="BF385" s="130"/>
      <c r="BG385" s="130"/>
      <c r="BH385" s="130"/>
      <c r="BI385" s="130"/>
      <c r="BJ385" s="130"/>
      <c r="CA385" s="130"/>
      <c r="CB385" s="130"/>
      <c r="CC385" s="130"/>
      <c r="CD385" s="130"/>
      <c r="CE385" s="130"/>
      <c r="CF385" s="130"/>
      <c r="CG385" s="130"/>
      <c r="CH385" s="130"/>
      <c r="CY385" s="130"/>
      <c r="CZ385" s="130"/>
      <c r="DA385" s="130"/>
      <c r="DB385" s="130"/>
      <c r="DC385" s="130"/>
      <c r="DD385" s="130"/>
      <c r="DE385" s="130"/>
      <c r="DF385" s="130"/>
      <c r="DW385" s="130"/>
      <c r="DX385" s="130"/>
      <c r="DY385" s="130"/>
      <c r="DZ385" s="130"/>
      <c r="EA385" s="130"/>
      <c r="EB385" s="130"/>
      <c r="EC385" s="130"/>
      <c r="ED385" s="130"/>
      <c r="EU385" s="130"/>
      <c r="EV385" s="130"/>
      <c r="EW385" s="130"/>
      <c r="EX385" s="130"/>
      <c r="EY385" s="130"/>
      <c r="EZ385" s="130"/>
      <c r="FA385" s="130"/>
      <c r="FB385" s="130"/>
      <c r="FS385" s="130"/>
      <c r="FT385" s="130"/>
      <c r="FU385" s="130"/>
      <c r="FV385" s="130"/>
      <c r="FW385" s="130"/>
      <c r="FX385" s="130"/>
      <c r="FY385" s="130"/>
      <c r="FZ385" s="130"/>
    </row>
    <row r="386" spans="1:186" s="3" customFormat="1">
      <c r="A386" s="84">
        <v>8</v>
      </c>
      <c r="B386" s="29">
        <v>43111</v>
      </c>
      <c r="C386" s="18"/>
      <c r="D386" s="19" t="s">
        <v>1131</v>
      </c>
      <c r="E386" s="20" t="s">
        <v>401</v>
      </c>
      <c r="F386" s="82" t="s">
        <v>403</v>
      </c>
      <c r="G386" s="63">
        <v>1708</v>
      </c>
      <c r="H386" s="121">
        <v>1618200</v>
      </c>
      <c r="I386" s="24">
        <v>1541143</v>
      </c>
      <c r="J386" s="24"/>
      <c r="K386" s="24">
        <f t="shared" si="27"/>
        <v>1541143</v>
      </c>
      <c r="L386" s="123">
        <v>1</v>
      </c>
      <c r="M386" s="24">
        <f t="shared" si="28"/>
        <v>1541143</v>
      </c>
      <c r="N386" s="124">
        <f t="shared" si="29"/>
        <v>0</v>
      </c>
      <c r="O386" s="85" t="s">
        <v>1284</v>
      </c>
      <c r="AE386" s="130"/>
      <c r="AF386" s="130"/>
      <c r="AG386" s="130"/>
      <c r="AH386" s="130"/>
      <c r="AI386" s="130"/>
      <c r="AJ386" s="130"/>
      <c r="AK386" s="130"/>
      <c r="AL386" s="130"/>
      <c r="BC386" s="130"/>
      <c r="BD386" s="130"/>
      <c r="BE386" s="130"/>
      <c r="BF386" s="130"/>
      <c r="BG386" s="130"/>
      <c r="BH386" s="130"/>
      <c r="BI386" s="130"/>
      <c r="BJ386" s="130"/>
      <c r="CA386" s="130"/>
      <c r="CB386" s="130"/>
      <c r="CC386" s="130"/>
      <c r="CD386" s="130"/>
      <c r="CE386" s="130"/>
      <c r="CF386" s="130"/>
      <c r="CG386" s="130"/>
      <c r="CH386" s="130"/>
      <c r="CY386" s="130"/>
      <c r="CZ386" s="130"/>
      <c r="DA386" s="130"/>
      <c r="DB386" s="130"/>
      <c r="DC386" s="130"/>
      <c r="DD386" s="130"/>
      <c r="DE386" s="130"/>
      <c r="DF386" s="130"/>
      <c r="DW386" s="130"/>
      <c r="DX386" s="130"/>
      <c r="DY386" s="130"/>
      <c r="DZ386" s="130"/>
      <c r="EA386" s="130"/>
      <c r="EB386" s="130"/>
      <c r="EC386" s="130"/>
      <c r="ED386" s="130"/>
      <c r="EU386" s="130"/>
      <c r="EV386" s="130"/>
      <c r="EW386" s="130"/>
      <c r="EX386" s="130"/>
      <c r="EY386" s="130"/>
      <c r="EZ386" s="130"/>
      <c r="FA386" s="130"/>
      <c r="FB386" s="130"/>
      <c r="FS386" s="130"/>
      <c r="FT386" s="130"/>
      <c r="FU386" s="130"/>
      <c r="FV386" s="130"/>
      <c r="FW386" s="130"/>
      <c r="FX386" s="130"/>
      <c r="FY386" s="130"/>
      <c r="FZ386" s="130"/>
    </row>
    <row r="387" spans="1:186" s="3" customFormat="1">
      <c r="A387" s="84">
        <v>9</v>
      </c>
      <c r="B387" s="17">
        <v>43039</v>
      </c>
      <c r="C387" s="18"/>
      <c r="D387" s="19" t="s">
        <v>1132</v>
      </c>
      <c r="E387" s="20" t="s">
        <v>401</v>
      </c>
      <c r="F387" s="168" t="s">
        <v>404</v>
      </c>
      <c r="G387" s="63">
        <v>1708</v>
      </c>
      <c r="H387" s="121">
        <v>1615000</v>
      </c>
      <c r="I387" s="24">
        <v>1538095</v>
      </c>
      <c r="J387" s="24"/>
      <c r="K387" s="24">
        <f t="shared" si="27"/>
        <v>1538095</v>
      </c>
      <c r="L387" s="123">
        <v>1</v>
      </c>
      <c r="M387" s="24">
        <f t="shared" si="28"/>
        <v>1538095</v>
      </c>
      <c r="N387" s="124">
        <f t="shared" si="29"/>
        <v>0</v>
      </c>
      <c r="O387" s="85" t="s">
        <v>1284</v>
      </c>
      <c r="AE387" s="130"/>
      <c r="AF387" s="130"/>
      <c r="AG387" s="130"/>
      <c r="AH387" s="130"/>
      <c r="AI387" s="130"/>
      <c r="AJ387" s="130"/>
      <c r="AK387" s="130"/>
      <c r="AL387" s="130"/>
      <c r="BC387" s="130"/>
      <c r="BD387" s="130"/>
      <c r="BE387" s="130"/>
      <c r="BF387" s="130"/>
      <c r="BG387" s="130"/>
      <c r="BH387" s="130"/>
      <c r="BI387" s="130"/>
      <c r="BJ387" s="130"/>
      <c r="CA387" s="130"/>
      <c r="CB387" s="130"/>
      <c r="CC387" s="130"/>
      <c r="CD387" s="130"/>
      <c r="CE387" s="130"/>
      <c r="CF387" s="130"/>
      <c r="CG387" s="130"/>
      <c r="CH387" s="130"/>
      <c r="CY387" s="130"/>
      <c r="CZ387" s="130"/>
      <c r="DA387" s="130"/>
      <c r="DB387" s="130"/>
      <c r="DC387" s="130"/>
      <c r="DD387" s="130"/>
      <c r="DE387" s="130"/>
      <c r="DF387" s="130"/>
      <c r="DW387" s="130"/>
      <c r="DX387" s="130"/>
      <c r="DY387" s="130"/>
      <c r="DZ387" s="130"/>
      <c r="EA387" s="130"/>
      <c r="EB387" s="130"/>
      <c r="EC387" s="130"/>
      <c r="ED387" s="130"/>
      <c r="EU387" s="130"/>
      <c r="EV387" s="130"/>
      <c r="EW387" s="130"/>
      <c r="EX387" s="130"/>
      <c r="EY387" s="130"/>
      <c r="EZ387" s="130"/>
      <c r="FA387" s="130"/>
      <c r="FB387" s="130"/>
      <c r="FS387" s="130"/>
      <c r="FT387" s="130"/>
      <c r="FU387" s="130"/>
      <c r="FV387" s="130"/>
      <c r="FW387" s="130"/>
      <c r="FX387" s="130"/>
      <c r="FY387" s="130"/>
      <c r="FZ387" s="130"/>
    </row>
    <row r="388" spans="1:186" s="3" customFormat="1">
      <c r="A388" s="84">
        <v>10</v>
      </c>
      <c r="B388" s="17">
        <v>43095</v>
      </c>
      <c r="C388" s="18"/>
      <c r="D388" s="19" t="s">
        <v>1132</v>
      </c>
      <c r="E388" s="20" t="s">
        <v>401</v>
      </c>
      <c r="F388" s="168" t="s">
        <v>405</v>
      </c>
      <c r="G388" s="63">
        <v>1709</v>
      </c>
      <c r="H388" s="121">
        <v>1615000</v>
      </c>
      <c r="I388" s="24">
        <v>1538095</v>
      </c>
      <c r="J388" s="24"/>
      <c r="K388" s="24">
        <f t="shared" si="27"/>
        <v>1538095</v>
      </c>
      <c r="L388" s="123">
        <v>1</v>
      </c>
      <c r="M388" s="24">
        <f t="shared" si="28"/>
        <v>1538095</v>
      </c>
      <c r="N388" s="124">
        <f t="shared" si="29"/>
        <v>0</v>
      </c>
      <c r="O388" s="85" t="s">
        <v>1284</v>
      </c>
      <c r="V388" s="131"/>
      <c r="W388" s="15"/>
      <c r="AC388" s="131"/>
      <c r="AD388" s="15"/>
      <c r="AE388" s="132"/>
      <c r="AF388" s="133"/>
      <c r="AG388" s="134"/>
      <c r="AH388" s="134"/>
      <c r="AI388" s="135"/>
      <c r="AJ388" s="136"/>
      <c r="AK388" s="137"/>
      <c r="AL388" s="137"/>
      <c r="AN388" s="138"/>
      <c r="AO388" s="2"/>
      <c r="AP388" s="139"/>
      <c r="BA388" s="131"/>
      <c r="BB388" s="15"/>
      <c r="BC388" s="132"/>
      <c r="BD388" s="133"/>
      <c r="BE388" s="134"/>
      <c r="BF388" s="134"/>
      <c r="BG388" s="135"/>
      <c r="BH388" s="136"/>
      <c r="BI388" s="137"/>
      <c r="BJ388" s="137"/>
      <c r="BL388" s="138"/>
      <c r="BM388" s="2"/>
      <c r="BN388" s="139"/>
      <c r="BY388" s="131"/>
      <c r="BZ388" s="15"/>
      <c r="CA388" s="132"/>
      <c r="CB388" s="133"/>
      <c r="CC388" s="134"/>
      <c r="CD388" s="134"/>
      <c r="CE388" s="135"/>
      <c r="CF388" s="136"/>
      <c r="CG388" s="137"/>
      <c r="CH388" s="137"/>
      <c r="CJ388" s="138"/>
      <c r="CK388" s="2"/>
      <c r="CL388" s="139"/>
      <c r="CW388" s="131"/>
      <c r="CX388" s="15"/>
      <c r="CY388" s="132"/>
      <c r="CZ388" s="133"/>
      <c r="DA388" s="134"/>
      <c r="DB388" s="134"/>
      <c r="DC388" s="135"/>
      <c r="DD388" s="136"/>
      <c r="DE388" s="137"/>
      <c r="DF388" s="137"/>
      <c r="DH388" s="138"/>
      <c r="DI388" s="2"/>
      <c r="DJ388" s="139"/>
      <c r="DU388" s="131"/>
      <c r="DV388" s="15"/>
      <c r="DW388" s="132"/>
      <c r="DX388" s="133"/>
      <c r="DY388" s="134"/>
      <c r="DZ388" s="134"/>
      <c r="EA388" s="135"/>
      <c r="EB388" s="136"/>
      <c r="EC388" s="137"/>
      <c r="ED388" s="137"/>
      <c r="EF388" s="138"/>
      <c r="EG388" s="2"/>
      <c r="EH388" s="139"/>
      <c r="ES388" s="131"/>
      <c r="ET388" s="15"/>
      <c r="EU388" s="132"/>
      <c r="EV388" s="133"/>
      <c r="EW388" s="134"/>
      <c r="EX388" s="134"/>
      <c r="EY388" s="135"/>
      <c r="EZ388" s="136"/>
      <c r="FA388" s="137"/>
      <c r="FB388" s="137"/>
      <c r="FD388" s="138"/>
      <c r="FE388" s="2"/>
      <c r="FF388" s="139"/>
      <c r="FQ388" s="131"/>
      <c r="FR388" s="15"/>
      <c r="FS388" s="132"/>
      <c r="FT388" s="133"/>
      <c r="FU388" s="134"/>
      <c r="FV388" s="134"/>
      <c r="FW388" s="135"/>
      <c r="FX388" s="136"/>
      <c r="FY388" s="137"/>
      <c r="FZ388" s="137"/>
      <c r="GB388" s="138"/>
      <c r="GC388" s="2"/>
      <c r="GD388" s="139"/>
    </row>
    <row r="389" spans="1:186" s="3" customFormat="1">
      <c r="A389" s="84">
        <v>11</v>
      </c>
      <c r="B389" s="17">
        <v>43095</v>
      </c>
      <c r="C389" s="18"/>
      <c r="D389" s="19" t="s">
        <v>1132</v>
      </c>
      <c r="E389" s="20" t="s">
        <v>1225</v>
      </c>
      <c r="F389" s="82" t="s">
        <v>1289</v>
      </c>
      <c r="G389" s="63">
        <v>1709</v>
      </c>
      <c r="H389" s="121">
        <v>1843000</v>
      </c>
      <c r="I389" s="24"/>
      <c r="J389" s="24">
        <v>1755237</v>
      </c>
      <c r="K389" s="24">
        <f t="shared" si="27"/>
        <v>1755237</v>
      </c>
      <c r="L389" s="123">
        <v>1</v>
      </c>
      <c r="M389" s="24">
        <f t="shared" si="28"/>
        <v>1755237</v>
      </c>
      <c r="N389" s="124">
        <f t="shared" si="29"/>
        <v>0</v>
      </c>
      <c r="O389" s="85" t="s">
        <v>1284</v>
      </c>
      <c r="AE389" s="130"/>
      <c r="AF389" s="130"/>
      <c r="AG389" s="130"/>
      <c r="AH389" s="130"/>
      <c r="AI389" s="130"/>
      <c r="AJ389" s="130"/>
      <c r="AK389" s="130"/>
      <c r="AL389" s="130"/>
      <c r="BC389" s="130"/>
      <c r="BD389" s="130"/>
      <c r="BE389" s="130"/>
      <c r="BF389" s="130"/>
      <c r="BG389" s="130"/>
      <c r="BH389" s="130"/>
      <c r="BI389" s="130"/>
      <c r="BJ389" s="130"/>
      <c r="CA389" s="130"/>
      <c r="CB389" s="130"/>
      <c r="CC389" s="130"/>
      <c r="CD389" s="130"/>
      <c r="CE389" s="130"/>
      <c r="CF389" s="130"/>
      <c r="CG389" s="130"/>
      <c r="CH389" s="130"/>
      <c r="CY389" s="130"/>
      <c r="CZ389" s="130"/>
      <c r="DA389" s="130"/>
      <c r="DB389" s="130"/>
      <c r="DC389" s="130"/>
      <c r="DD389" s="130"/>
      <c r="DE389" s="130"/>
      <c r="DF389" s="130"/>
      <c r="DW389" s="130"/>
      <c r="DX389" s="130"/>
      <c r="DY389" s="130"/>
      <c r="DZ389" s="130"/>
      <c r="EA389" s="130"/>
      <c r="EB389" s="130"/>
      <c r="EC389" s="130"/>
      <c r="ED389" s="130"/>
      <c r="EU389" s="130"/>
      <c r="EV389" s="130"/>
      <c r="EW389" s="130"/>
      <c r="EX389" s="130"/>
      <c r="EY389" s="130"/>
      <c r="EZ389" s="130"/>
      <c r="FA389" s="130"/>
      <c r="FB389" s="130"/>
      <c r="FS389" s="130"/>
      <c r="FT389" s="130"/>
      <c r="FU389" s="130"/>
      <c r="FV389" s="130"/>
      <c r="FW389" s="130"/>
      <c r="FX389" s="130"/>
      <c r="FY389" s="130"/>
      <c r="FZ389" s="130"/>
    </row>
    <row r="390" spans="1:186" s="3" customFormat="1">
      <c r="A390" s="84">
        <v>12</v>
      </c>
      <c r="B390" s="128">
        <v>43111</v>
      </c>
      <c r="C390" s="18"/>
      <c r="D390" s="19" t="s">
        <v>1132</v>
      </c>
      <c r="E390" s="20" t="s">
        <v>306</v>
      </c>
      <c r="F390" s="180" t="s">
        <v>309</v>
      </c>
      <c r="G390" s="181">
        <v>1709</v>
      </c>
      <c r="H390" s="121">
        <v>1660000</v>
      </c>
      <c r="I390" s="24">
        <v>1580952</v>
      </c>
      <c r="J390" s="24"/>
      <c r="K390" s="24">
        <f t="shared" si="27"/>
        <v>1580952</v>
      </c>
      <c r="L390" s="123">
        <v>1</v>
      </c>
      <c r="M390" s="24">
        <f t="shared" si="28"/>
        <v>1580952</v>
      </c>
      <c r="N390" s="124">
        <f t="shared" si="29"/>
        <v>0</v>
      </c>
      <c r="O390" s="85" t="s">
        <v>1284</v>
      </c>
      <c r="AE390" s="130"/>
      <c r="AF390" s="130"/>
      <c r="AG390" s="130"/>
      <c r="AH390" s="130"/>
      <c r="AI390" s="130"/>
      <c r="AJ390" s="130"/>
      <c r="AK390" s="130"/>
      <c r="AL390" s="130"/>
      <c r="BC390" s="130"/>
      <c r="BD390" s="130"/>
      <c r="BE390" s="130"/>
      <c r="BF390" s="130"/>
      <c r="BG390" s="130"/>
      <c r="BH390" s="130"/>
      <c r="BI390" s="130"/>
      <c r="BJ390" s="130"/>
      <c r="CA390" s="130"/>
      <c r="CB390" s="130"/>
      <c r="CC390" s="130"/>
      <c r="CD390" s="130"/>
      <c r="CE390" s="130"/>
      <c r="CF390" s="130"/>
      <c r="CG390" s="130"/>
      <c r="CH390" s="130"/>
      <c r="CY390" s="130"/>
      <c r="CZ390" s="130"/>
      <c r="DA390" s="130"/>
      <c r="DB390" s="130"/>
      <c r="DC390" s="130"/>
      <c r="DD390" s="130"/>
      <c r="DE390" s="130"/>
      <c r="DF390" s="130"/>
      <c r="DW390" s="130"/>
      <c r="DX390" s="130"/>
      <c r="DY390" s="130"/>
      <c r="DZ390" s="130"/>
      <c r="EA390" s="130"/>
      <c r="EB390" s="130"/>
      <c r="EC390" s="130"/>
      <c r="ED390" s="130"/>
      <c r="EU390" s="130"/>
      <c r="EV390" s="130"/>
      <c r="EW390" s="130"/>
      <c r="EX390" s="130"/>
      <c r="EY390" s="130"/>
      <c r="EZ390" s="130"/>
      <c r="FA390" s="130"/>
      <c r="FB390" s="130"/>
      <c r="FS390" s="130"/>
      <c r="FT390" s="130"/>
      <c r="FU390" s="130"/>
      <c r="FV390" s="130"/>
      <c r="FW390" s="130"/>
      <c r="FX390" s="130"/>
      <c r="FY390" s="130"/>
      <c r="FZ390" s="130"/>
    </row>
    <row r="391" spans="1:186" s="3" customFormat="1">
      <c r="A391" s="84">
        <v>13</v>
      </c>
      <c r="B391" s="17">
        <v>43074</v>
      </c>
      <c r="C391" s="18"/>
      <c r="D391" s="19" t="s">
        <v>1143</v>
      </c>
      <c r="E391" s="20" t="s">
        <v>306</v>
      </c>
      <c r="F391" s="168" t="s">
        <v>1290</v>
      </c>
      <c r="G391" s="63">
        <v>1709</v>
      </c>
      <c r="H391" s="121">
        <v>1530000</v>
      </c>
      <c r="I391" s="24"/>
      <c r="J391" s="24">
        <v>1457142</v>
      </c>
      <c r="K391" s="24">
        <f t="shared" si="27"/>
        <v>1457142</v>
      </c>
      <c r="L391" s="123">
        <v>1</v>
      </c>
      <c r="M391" s="24">
        <f t="shared" si="28"/>
        <v>1457142</v>
      </c>
      <c r="N391" s="124">
        <f t="shared" si="29"/>
        <v>0</v>
      </c>
      <c r="O391" s="85" t="s">
        <v>1284</v>
      </c>
      <c r="AE391" s="130"/>
      <c r="AF391" s="130"/>
      <c r="AG391" s="130"/>
      <c r="AH391" s="130"/>
      <c r="AI391" s="130"/>
      <c r="AJ391" s="130"/>
      <c r="AK391" s="130"/>
      <c r="AL391" s="130"/>
      <c r="BC391" s="130"/>
      <c r="BD391" s="130"/>
      <c r="BE391" s="130"/>
      <c r="BF391" s="130"/>
      <c r="BG391" s="130"/>
      <c r="BH391" s="130"/>
      <c r="BI391" s="130"/>
      <c r="BJ391" s="130"/>
      <c r="CA391" s="130"/>
      <c r="CB391" s="130"/>
      <c r="CC391" s="130"/>
      <c r="CD391" s="130"/>
      <c r="CE391" s="130"/>
      <c r="CF391" s="130"/>
      <c r="CG391" s="130"/>
      <c r="CH391" s="130"/>
      <c r="CY391" s="130"/>
      <c r="CZ391" s="130"/>
      <c r="DA391" s="130"/>
      <c r="DB391" s="130"/>
      <c r="DC391" s="130"/>
      <c r="DD391" s="130"/>
      <c r="DE391" s="130"/>
      <c r="DF391" s="130"/>
      <c r="DW391" s="130"/>
      <c r="DX391" s="130"/>
      <c r="DY391" s="130"/>
      <c r="DZ391" s="130"/>
      <c r="EA391" s="130"/>
      <c r="EB391" s="130"/>
      <c r="EC391" s="130"/>
      <c r="ED391" s="130"/>
      <c r="EU391" s="130"/>
      <c r="EV391" s="130"/>
      <c r="EW391" s="130"/>
      <c r="EX391" s="130"/>
      <c r="EY391" s="130"/>
      <c r="EZ391" s="130"/>
      <c r="FA391" s="130"/>
      <c r="FB391" s="130"/>
      <c r="FS391" s="130"/>
      <c r="FT391" s="130"/>
      <c r="FU391" s="130"/>
      <c r="FV391" s="130"/>
      <c r="FW391" s="130"/>
      <c r="FX391" s="130"/>
      <c r="FY391" s="130"/>
      <c r="FZ391" s="130"/>
    </row>
    <row r="392" spans="1:186" s="3" customFormat="1">
      <c r="A392" s="84">
        <v>14</v>
      </c>
      <c r="B392" s="17">
        <v>43115</v>
      </c>
      <c r="C392" s="18"/>
      <c r="D392" s="19" t="s">
        <v>1143</v>
      </c>
      <c r="E392" s="20" t="s">
        <v>306</v>
      </c>
      <c r="F392" s="120" t="s">
        <v>1291</v>
      </c>
      <c r="G392" s="63">
        <v>1710</v>
      </c>
      <c r="H392" s="121">
        <v>1530000</v>
      </c>
      <c r="I392" s="24"/>
      <c r="J392" s="24">
        <f>H392/1.05</f>
        <v>1457142.857142857</v>
      </c>
      <c r="K392" s="24">
        <f t="shared" si="27"/>
        <v>1457142.857142857</v>
      </c>
      <c r="L392" s="123">
        <v>1</v>
      </c>
      <c r="M392" s="24">
        <f t="shared" si="28"/>
        <v>1457142.857142857</v>
      </c>
      <c r="N392" s="124">
        <f t="shared" si="29"/>
        <v>0</v>
      </c>
      <c r="O392" s="85" t="s">
        <v>1284</v>
      </c>
      <c r="AE392" s="130"/>
      <c r="AF392" s="130"/>
      <c r="AG392" s="130"/>
      <c r="AH392" s="130"/>
      <c r="AI392" s="130"/>
      <c r="AJ392" s="130"/>
      <c r="AK392" s="130"/>
      <c r="AL392" s="130"/>
      <c r="BC392" s="130"/>
      <c r="BD392" s="130"/>
      <c r="BE392" s="130"/>
      <c r="BF392" s="130"/>
      <c r="BG392" s="130"/>
      <c r="BH392" s="130"/>
      <c r="BI392" s="130"/>
      <c r="BJ392" s="130"/>
      <c r="CA392" s="130"/>
      <c r="CB392" s="130"/>
      <c r="CC392" s="130"/>
      <c r="CD392" s="130"/>
      <c r="CE392" s="130"/>
      <c r="CF392" s="130"/>
      <c r="CG392" s="130"/>
      <c r="CH392" s="130"/>
      <c r="CY392" s="130"/>
      <c r="CZ392" s="130"/>
      <c r="DA392" s="130"/>
      <c r="DB392" s="130"/>
      <c r="DC392" s="130"/>
      <c r="DD392" s="130"/>
      <c r="DE392" s="130"/>
      <c r="DF392" s="130"/>
      <c r="DW392" s="130"/>
      <c r="DX392" s="130"/>
      <c r="DY392" s="130"/>
      <c r="DZ392" s="130"/>
      <c r="EA392" s="130"/>
      <c r="EB392" s="130"/>
      <c r="EC392" s="130"/>
      <c r="ED392" s="130"/>
      <c r="EU392" s="130"/>
      <c r="EV392" s="130"/>
      <c r="EW392" s="130"/>
      <c r="EX392" s="130"/>
      <c r="EY392" s="130"/>
      <c r="EZ392" s="130"/>
      <c r="FA392" s="130"/>
      <c r="FB392" s="130"/>
      <c r="FS392" s="130"/>
      <c r="FT392" s="130"/>
      <c r="FU392" s="130"/>
      <c r="FV392" s="130"/>
      <c r="FW392" s="130"/>
      <c r="FX392" s="130"/>
      <c r="FY392" s="130"/>
      <c r="FZ392" s="130"/>
    </row>
    <row r="393" spans="1:186" s="3" customFormat="1">
      <c r="A393" s="84">
        <v>15</v>
      </c>
      <c r="B393" s="17">
        <v>43118</v>
      </c>
      <c r="C393" s="18"/>
      <c r="D393" s="19" t="s">
        <v>1143</v>
      </c>
      <c r="E393" s="20" t="s">
        <v>1292</v>
      </c>
      <c r="F393" s="168" t="s">
        <v>1293</v>
      </c>
      <c r="G393" s="63">
        <v>1711</v>
      </c>
      <c r="H393" s="121">
        <f>1530000+7750</f>
        <v>1537750</v>
      </c>
      <c r="I393" s="24"/>
      <c r="J393" s="24">
        <v>1464524</v>
      </c>
      <c r="K393" s="24">
        <f t="shared" si="27"/>
        <v>1464524</v>
      </c>
      <c r="L393" s="123">
        <v>1</v>
      </c>
      <c r="M393" s="24">
        <f t="shared" si="28"/>
        <v>1464524</v>
      </c>
      <c r="N393" s="124">
        <f t="shared" si="29"/>
        <v>0</v>
      </c>
      <c r="O393" s="85" t="s">
        <v>1284</v>
      </c>
      <c r="AE393" s="130"/>
      <c r="AF393" s="130"/>
      <c r="AG393" s="130"/>
      <c r="AH393" s="130"/>
      <c r="AI393" s="130"/>
      <c r="AJ393" s="130"/>
      <c r="AK393" s="130"/>
      <c r="AL393" s="130"/>
      <c r="BC393" s="130"/>
      <c r="BD393" s="130"/>
      <c r="BE393" s="130"/>
      <c r="BF393" s="130"/>
      <c r="BG393" s="130"/>
      <c r="BH393" s="130"/>
      <c r="BI393" s="130"/>
      <c r="BJ393" s="130"/>
      <c r="CA393" s="130"/>
      <c r="CB393" s="130"/>
      <c r="CC393" s="130"/>
      <c r="CD393" s="130"/>
      <c r="CE393" s="130"/>
      <c r="CF393" s="130"/>
      <c r="CG393" s="130"/>
      <c r="CH393" s="130"/>
      <c r="CY393" s="130"/>
      <c r="CZ393" s="130"/>
      <c r="DA393" s="130"/>
      <c r="DB393" s="130"/>
      <c r="DC393" s="130"/>
      <c r="DD393" s="130"/>
      <c r="DE393" s="130"/>
      <c r="DF393" s="130"/>
      <c r="DW393" s="130"/>
      <c r="DX393" s="130"/>
      <c r="DY393" s="130"/>
      <c r="DZ393" s="130"/>
      <c r="EA393" s="130"/>
      <c r="EB393" s="130"/>
      <c r="EC393" s="130"/>
      <c r="ED393" s="130"/>
      <c r="EU393" s="130"/>
      <c r="EV393" s="130"/>
      <c r="EW393" s="130"/>
      <c r="EX393" s="130"/>
      <c r="EY393" s="130"/>
      <c r="EZ393" s="130"/>
      <c r="FA393" s="130"/>
      <c r="FB393" s="130"/>
      <c r="FS393" s="130"/>
      <c r="FT393" s="130"/>
      <c r="FU393" s="130"/>
      <c r="FV393" s="130"/>
      <c r="FW393" s="130"/>
      <c r="FX393" s="130"/>
      <c r="FY393" s="130"/>
      <c r="FZ393" s="130"/>
    </row>
    <row r="394" spans="1:186" s="3" customFormat="1">
      <c r="A394" s="84">
        <v>16</v>
      </c>
      <c r="B394" s="60">
        <v>43129</v>
      </c>
      <c r="C394" s="18" t="s">
        <v>1063</v>
      </c>
      <c r="D394" s="19" t="s">
        <v>1143</v>
      </c>
      <c r="E394" s="20" t="s">
        <v>1294</v>
      </c>
      <c r="F394" s="82" t="s">
        <v>1295</v>
      </c>
      <c r="G394" s="58">
        <v>1711</v>
      </c>
      <c r="H394" s="121">
        <f>1530000+7750</f>
        <v>1537750</v>
      </c>
      <c r="I394" s="24"/>
      <c r="J394" s="24">
        <v>1464524</v>
      </c>
      <c r="K394" s="24">
        <f t="shared" si="27"/>
        <v>1464524</v>
      </c>
      <c r="L394" s="123">
        <v>1</v>
      </c>
      <c r="M394" s="24">
        <f t="shared" si="28"/>
        <v>1464524</v>
      </c>
      <c r="N394" s="124">
        <f t="shared" si="29"/>
        <v>0</v>
      </c>
      <c r="O394" s="85" t="s">
        <v>1284</v>
      </c>
      <c r="AE394" s="130"/>
      <c r="AF394" s="130"/>
      <c r="AG394" s="130"/>
      <c r="AH394" s="130"/>
      <c r="AI394" s="130"/>
      <c r="AJ394" s="130"/>
      <c r="AK394" s="130"/>
      <c r="AL394" s="130"/>
      <c r="BC394" s="130"/>
      <c r="BD394" s="130"/>
      <c r="BE394" s="130"/>
      <c r="BF394" s="130"/>
      <c r="BG394" s="130"/>
      <c r="BH394" s="130"/>
      <c r="BI394" s="130"/>
      <c r="BJ394" s="130"/>
      <c r="CA394" s="130"/>
      <c r="CB394" s="130"/>
      <c r="CC394" s="130"/>
      <c r="CD394" s="130"/>
      <c r="CE394" s="130"/>
      <c r="CF394" s="130"/>
      <c r="CG394" s="130"/>
      <c r="CH394" s="130"/>
      <c r="CY394" s="130"/>
      <c r="CZ394" s="130"/>
      <c r="DA394" s="130"/>
      <c r="DB394" s="130"/>
      <c r="DC394" s="130"/>
      <c r="DD394" s="130"/>
      <c r="DE394" s="130"/>
      <c r="DF394" s="130"/>
      <c r="DW394" s="130"/>
      <c r="DX394" s="130"/>
      <c r="DY394" s="130"/>
      <c r="DZ394" s="130"/>
      <c r="EA394" s="130"/>
      <c r="EB394" s="130"/>
      <c r="EC394" s="130"/>
      <c r="ED394" s="130"/>
      <c r="EU394" s="130"/>
      <c r="EV394" s="130"/>
      <c r="EW394" s="130"/>
      <c r="EX394" s="130"/>
      <c r="EY394" s="130"/>
      <c r="EZ394" s="130"/>
      <c r="FA394" s="130"/>
      <c r="FB394" s="130"/>
      <c r="FS394" s="130"/>
      <c r="FT394" s="130"/>
      <c r="FU394" s="130"/>
      <c r="FV394" s="130"/>
      <c r="FW394" s="130"/>
      <c r="FX394" s="130"/>
      <c r="FY394" s="130"/>
      <c r="FZ394" s="130"/>
    </row>
    <row r="395" spans="1:186" s="3" customFormat="1">
      <c r="A395" s="84">
        <v>17</v>
      </c>
      <c r="B395" s="56">
        <v>43129</v>
      </c>
      <c r="C395" s="18" t="s">
        <v>1063</v>
      </c>
      <c r="D395" s="19" t="s">
        <v>1143</v>
      </c>
      <c r="E395" s="20" t="s">
        <v>1296</v>
      </c>
      <c r="F395" s="57" t="s">
        <v>1297</v>
      </c>
      <c r="G395" s="58">
        <v>1709</v>
      </c>
      <c r="H395" s="121">
        <v>2000000</v>
      </c>
      <c r="I395" s="24"/>
      <c r="J395" s="24">
        <v>1904762</v>
      </c>
      <c r="K395" s="24">
        <f t="shared" si="27"/>
        <v>1904762</v>
      </c>
      <c r="L395" s="123">
        <v>1</v>
      </c>
      <c r="M395" s="24">
        <f t="shared" si="28"/>
        <v>1904762</v>
      </c>
      <c r="N395" s="124">
        <f t="shared" si="29"/>
        <v>0</v>
      </c>
      <c r="O395" s="85" t="s">
        <v>1284</v>
      </c>
      <c r="AE395" s="130"/>
      <c r="AF395" s="130"/>
      <c r="AG395" s="130"/>
      <c r="AH395" s="130"/>
      <c r="AI395" s="130"/>
      <c r="AJ395" s="130"/>
      <c r="AK395" s="130"/>
      <c r="AL395" s="130"/>
      <c r="BC395" s="130"/>
      <c r="BD395" s="130"/>
      <c r="BE395" s="130"/>
      <c r="BF395" s="130"/>
      <c r="BG395" s="130"/>
      <c r="BH395" s="130"/>
      <c r="BI395" s="130"/>
      <c r="BJ395" s="130"/>
      <c r="CA395" s="130"/>
      <c r="CB395" s="130"/>
      <c r="CC395" s="130"/>
      <c r="CD395" s="130"/>
      <c r="CE395" s="130"/>
      <c r="CF395" s="130"/>
      <c r="CG395" s="130"/>
      <c r="CH395" s="130"/>
      <c r="CY395" s="130"/>
      <c r="CZ395" s="130"/>
      <c r="DA395" s="130"/>
      <c r="DB395" s="130"/>
      <c r="DC395" s="130"/>
      <c r="DD395" s="130"/>
      <c r="DE395" s="130"/>
      <c r="DF395" s="130"/>
      <c r="DW395" s="130"/>
      <c r="DX395" s="130"/>
      <c r="DY395" s="130"/>
      <c r="DZ395" s="130"/>
      <c r="EA395" s="130"/>
      <c r="EB395" s="130"/>
      <c r="EC395" s="130"/>
      <c r="ED395" s="130"/>
      <c r="EU395" s="130"/>
      <c r="EV395" s="130"/>
      <c r="EW395" s="130"/>
      <c r="EX395" s="130"/>
      <c r="EY395" s="130"/>
      <c r="EZ395" s="130"/>
      <c r="FA395" s="130"/>
      <c r="FB395" s="130"/>
      <c r="FS395" s="130"/>
      <c r="FT395" s="130"/>
      <c r="FU395" s="130"/>
      <c r="FV395" s="130"/>
      <c r="FW395" s="130"/>
      <c r="FX395" s="130"/>
      <c r="FY395" s="130"/>
      <c r="FZ395" s="130"/>
    </row>
    <row r="396" spans="1:186" s="3" customFormat="1">
      <c r="A396" s="84">
        <v>18</v>
      </c>
      <c r="B396" s="83">
        <v>43116</v>
      </c>
      <c r="C396" s="18" t="s">
        <v>1234</v>
      </c>
      <c r="D396" s="19" t="s">
        <v>1159</v>
      </c>
      <c r="E396" s="20" t="s">
        <v>413</v>
      </c>
      <c r="F396" s="82" t="s">
        <v>416</v>
      </c>
      <c r="G396" s="58">
        <v>1707</v>
      </c>
      <c r="H396" s="121">
        <f>2010000-30000</f>
        <v>1980000</v>
      </c>
      <c r="I396" s="24">
        <v>1885714</v>
      </c>
      <c r="J396" s="24"/>
      <c r="K396" s="24">
        <f t="shared" si="27"/>
        <v>1885714</v>
      </c>
      <c r="L396" s="123">
        <v>1</v>
      </c>
      <c r="M396" s="24">
        <f t="shared" si="28"/>
        <v>1885714</v>
      </c>
      <c r="N396" s="124">
        <f t="shared" si="29"/>
        <v>0</v>
      </c>
      <c r="O396" s="85" t="s">
        <v>1284</v>
      </c>
      <c r="AE396" s="130"/>
      <c r="AF396" s="130"/>
      <c r="AG396" s="130"/>
      <c r="AH396" s="130"/>
      <c r="AI396" s="130"/>
      <c r="AJ396" s="130"/>
      <c r="AK396" s="130"/>
      <c r="AL396" s="130"/>
      <c r="BC396" s="130"/>
      <c r="BD396" s="130"/>
      <c r="BE396" s="130"/>
      <c r="BF396" s="130"/>
      <c r="BG396" s="130"/>
      <c r="BH396" s="130"/>
      <c r="BI396" s="130"/>
      <c r="BJ396" s="130"/>
      <c r="CA396" s="130"/>
      <c r="CB396" s="130"/>
      <c r="CC396" s="130"/>
      <c r="CD396" s="130"/>
      <c r="CE396" s="130"/>
      <c r="CF396" s="130"/>
      <c r="CG396" s="130"/>
      <c r="CH396" s="130"/>
      <c r="CY396" s="130"/>
      <c r="CZ396" s="130"/>
      <c r="DA396" s="130"/>
      <c r="DB396" s="130"/>
      <c r="DC396" s="130"/>
      <c r="DD396" s="130"/>
      <c r="DE396" s="130"/>
      <c r="DF396" s="130"/>
      <c r="DW396" s="130"/>
      <c r="DX396" s="130"/>
      <c r="DY396" s="130"/>
      <c r="DZ396" s="130"/>
      <c r="EA396" s="130"/>
      <c r="EB396" s="130"/>
      <c r="EC396" s="130"/>
      <c r="ED396" s="130"/>
      <c r="EU396" s="130"/>
      <c r="EV396" s="130"/>
      <c r="EW396" s="130"/>
      <c r="EX396" s="130"/>
      <c r="EY396" s="130"/>
      <c r="EZ396" s="130"/>
      <c r="FA396" s="130"/>
      <c r="FB396" s="130"/>
      <c r="FS396" s="130"/>
      <c r="FT396" s="130"/>
      <c r="FU396" s="130"/>
      <c r="FV396" s="130"/>
      <c r="FW396" s="130"/>
      <c r="FX396" s="130"/>
      <c r="FY396" s="130"/>
      <c r="FZ396" s="130"/>
    </row>
    <row r="397" spans="1:186" s="3" customFormat="1">
      <c r="A397" s="84">
        <v>19</v>
      </c>
      <c r="B397" s="56">
        <v>43082</v>
      </c>
      <c r="C397" s="18"/>
      <c r="D397" s="19" t="s">
        <v>1165</v>
      </c>
      <c r="E397" s="20" t="s">
        <v>413</v>
      </c>
      <c r="F397" s="168" t="s">
        <v>418</v>
      </c>
      <c r="G397" s="63">
        <v>1709</v>
      </c>
      <c r="H397" s="121">
        <v>2010000</v>
      </c>
      <c r="I397" s="24">
        <v>1914286</v>
      </c>
      <c r="J397" s="24"/>
      <c r="K397" s="24">
        <f t="shared" si="27"/>
        <v>1914286</v>
      </c>
      <c r="L397" s="123">
        <v>1</v>
      </c>
      <c r="M397" s="24">
        <f t="shared" si="28"/>
        <v>1914286</v>
      </c>
      <c r="N397" s="124">
        <f t="shared" si="29"/>
        <v>0</v>
      </c>
      <c r="O397" s="85" t="s">
        <v>1284</v>
      </c>
      <c r="AE397" s="130"/>
      <c r="AF397" s="130"/>
      <c r="AG397" s="130"/>
      <c r="AH397" s="130"/>
      <c r="AI397" s="130"/>
      <c r="AJ397" s="130"/>
      <c r="AK397" s="130"/>
      <c r="AL397" s="130"/>
      <c r="BC397" s="130"/>
      <c r="BD397" s="130"/>
      <c r="BE397" s="130"/>
      <c r="BF397" s="130"/>
      <c r="BG397" s="130"/>
      <c r="BH397" s="130"/>
      <c r="BI397" s="130"/>
      <c r="BJ397" s="130"/>
      <c r="CA397" s="130"/>
      <c r="CB397" s="130"/>
      <c r="CC397" s="130"/>
      <c r="CD397" s="130"/>
      <c r="CE397" s="130"/>
      <c r="CF397" s="130"/>
      <c r="CG397" s="130"/>
      <c r="CH397" s="130"/>
      <c r="CY397" s="130"/>
      <c r="CZ397" s="130"/>
      <c r="DA397" s="130"/>
      <c r="DB397" s="130"/>
      <c r="DC397" s="130"/>
      <c r="DD397" s="130"/>
      <c r="DE397" s="130"/>
      <c r="DF397" s="130"/>
      <c r="DW397" s="130"/>
      <c r="DX397" s="130"/>
      <c r="DY397" s="130"/>
      <c r="DZ397" s="130"/>
      <c r="EA397" s="130"/>
      <c r="EB397" s="130"/>
      <c r="EC397" s="130"/>
      <c r="ED397" s="130"/>
      <c r="EU397" s="130"/>
      <c r="EV397" s="130"/>
      <c r="EW397" s="130"/>
      <c r="EX397" s="130"/>
      <c r="EY397" s="130"/>
      <c r="EZ397" s="130"/>
      <c r="FA397" s="130"/>
      <c r="FB397" s="130"/>
      <c r="FS397" s="130"/>
      <c r="FT397" s="130"/>
      <c r="FU397" s="130"/>
      <c r="FV397" s="130"/>
      <c r="FW397" s="130"/>
      <c r="FX397" s="130"/>
      <c r="FY397" s="130"/>
      <c r="FZ397" s="130"/>
    </row>
    <row r="398" spans="1:186" s="3" customFormat="1">
      <c r="A398" s="84">
        <v>20</v>
      </c>
      <c r="B398" s="60">
        <v>43094</v>
      </c>
      <c r="C398" s="18"/>
      <c r="D398" s="19" t="s">
        <v>1165</v>
      </c>
      <c r="E398" s="20" t="s">
        <v>324</v>
      </c>
      <c r="F398" s="82" t="s">
        <v>325</v>
      </c>
      <c r="G398" s="58">
        <v>1704</v>
      </c>
      <c r="H398" s="121">
        <f>20000+2130000</f>
        <v>2150000</v>
      </c>
      <c r="I398" s="24">
        <v>2047619</v>
      </c>
      <c r="J398" s="24"/>
      <c r="K398" s="24">
        <f t="shared" si="27"/>
        <v>2047619</v>
      </c>
      <c r="L398" s="123">
        <v>1</v>
      </c>
      <c r="M398" s="24">
        <f t="shared" si="28"/>
        <v>2047619</v>
      </c>
      <c r="N398" s="124">
        <f t="shared" si="29"/>
        <v>0</v>
      </c>
      <c r="O398" s="85" t="s">
        <v>1284</v>
      </c>
      <c r="AE398" s="130"/>
      <c r="AF398" s="130"/>
      <c r="AG398" s="130"/>
      <c r="AH398" s="130"/>
      <c r="AI398" s="130"/>
      <c r="AJ398" s="130"/>
      <c r="AK398" s="130"/>
      <c r="AL398" s="130"/>
      <c r="BC398" s="130"/>
      <c r="BD398" s="130"/>
      <c r="BE398" s="130"/>
      <c r="BF398" s="130"/>
      <c r="BG398" s="130"/>
      <c r="BH398" s="130"/>
      <c r="BI398" s="130"/>
      <c r="BJ398" s="130"/>
      <c r="CA398" s="130"/>
      <c r="CB398" s="130"/>
      <c r="CC398" s="130"/>
      <c r="CD398" s="130"/>
      <c r="CE398" s="130"/>
      <c r="CF398" s="130"/>
      <c r="CG398" s="130"/>
      <c r="CH398" s="130"/>
      <c r="CY398" s="130"/>
      <c r="CZ398" s="130"/>
      <c r="DA398" s="130"/>
      <c r="DB398" s="130"/>
      <c r="DC398" s="130"/>
      <c r="DD398" s="130"/>
      <c r="DE398" s="130"/>
      <c r="DF398" s="130"/>
      <c r="DW398" s="130"/>
      <c r="DX398" s="130"/>
      <c r="DY398" s="130"/>
      <c r="DZ398" s="130"/>
      <c r="EA398" s="130"/>
      <c r="EB398" s="130"/>
      <c r="EC398" s="130"/>
      <c r="ED398" s="130"/>
      <c r="EU398" s="130"/>
      <c r="EV398" s="130"/>
      <c r="EW398" s="130"/>
      <c r="EX398" s="130"/>
      <c r="EY398" s="130"/>
      <c r="EZ398" s="130"/>
      <c r="FA398" s="130"/>
      <c r="FB398" s="130"/>
      <c r="FS398" s="130"/>
      <c r="FT398" s="130"/>
      <c r="FU398" s="130"/>
      <c r="FV398" s="130"/>
      <c r="FW398" s="130"/>
      <c r="FX398" s="130"/>
      <c r="FY398" s="130"/>
      <c r="FZ398" s="130"/>
    </row>
    <row r="399" spans="1:186" s="3" customFormat="1">
      <c r="A399" s="84">
        <v>21</v>
      </c>
      <c r="B399" s="83">
        <v>43070</v>
      </c>
      <c r="C399" s="18"/>
      <c r="D399" s="19" t="s">
        <v>1169</v>
      </c>
      <c r="E399" s="20" t="s">
        <v>330</v>
      </c>
      <c r="F399" s="82" t="s">
        <v>332</v>
      </c>
      <c r="G399" s="63">
        <v>1708</v>
      </c>
      <c r="H399" s="121">
        <v>2368800</v>
      </c>
      <c r="I399" s="24">
        <v>2256000</v>
      </c>
      <c r="J399" s="24"/>
      <c r="K399" s="24">
        <f t="shared" si="27"/>
        <v>2256000</v>
      </c>
      <c r="L399" s="123">
        <v>1</v>
      </c>
      <c r="M399" s="24">
        <f t="shared" si="28"/>
        <v>2256000</v>
      </c>
      <c r="N399" s="124">
        <f t="shared" si="29"/>
        <v>0</v>
      </c>
      <c r="O399" s="85" t="s">
        <v>1284</v>
      </c>
      <c r="AE399" s="130"/>
      <c r="AF399" s="130"/>
      <c r="AG399" s="130"/>
      <c r="AH399" s="130"/>
      <c r="AI399" s="130"/>
      <c r="AJ399" s="130"/>
      <c r="AK399" s="130"/>
      <c r="AL399" s="130"/>
      <c r="BC399" s="130"/>
      <c r="BD399" s="130"/>
      <c r="BE399" s="130"/>
      <c r="BF399" s="130"/>
      <c r="BG399" s="130"/>
      <c r="BH399" s="130"/>
      <c r="BI399" s="130"/>
      <c r="BJ399" s="130"/>
      <c r="CA399" s="130"/>
      <c r="CB399" s="130"/>
      <c r="CC399" s="130"/>
      <c r="CD399" s="130"/>
      <c r="CE399" s="130"/>
      <c r="CF399" s="130"/>
      <c r="CG399" s="130"/>
      <c r="CH399" s="130"/>
      <c r="CY399" s="130"/>
      <c r="CZ399" s="130"/>
      <c r="DA399" s="130"/>
      <c r="DB399" s="130"/>
      <c r="DC399" s="130"/>
      <c r="DD399" s="130"/>
      <c r="DE399" s="130"/>
      <c r="DF399" s="130"/>
      <c r="DW399" s="130"/>
      <c r="DX399" s="130"/>
      <c r="DY399" s="130"/>
      <c r="DZ399" s="130"/>
      <c r="EA399" s="130"/>
      <c r="EB399" s="130"/>
      <c r="EC399" s="130"/>
      <c r="ED399" s="130"/>
      <c r="EU399" s="130"/>
      <c r="EV399" s="130"/>
      <c r="EW399" s="130"/>
      <c r="EX399" s="130"/>
      <c r="EY399" s="130"/>
      <c r="EZ399" s="130"/>
      <c r="FA399" s="130"/>
      <c r="FB399" s="130"/>
      <c r="FS399" s="130"/>
      <c r="FT399" s="130"/>
      <c r="FU399" s="130"/>
      <c r="FV399" s="130"/>
      <c r="FW399" s="130"/>
      <c r="FX399" s="130"/>
      <c r="FY399" s="130"/>
      <c r="FZ399" s="130"/>
    </row>
    <row r="400" spans="1:186" s="3" customFormat="1">
      <c r="A400" s="84">
        <v>22</v>
      </c>
      <c r="B400" s="60">
        <v>43041</v>
      </c>
      <c r="C400" s="18"/>
      <c r="D400" s="19" t="s">
        <v>1169</v>
      </c>
      <c r="E400" s="20" t="s">
        <v>330</v>
      </c>
      <c r="F400" s="82" t="s">
        <v>1298</v>
      </c>
      <c r="G400" s="58">
        <v>1708</v>
      </c>
      <c r="H400" s="121">
        <v>2440000</v>
      </c>
      <c r="I400" s="24"/>
      <c r="J400" s="24">
        <f>H400/1.05</f>
        <v>2323809.5238095238</v>
      </c>
      <c r="K400" s="24">
        <f t="shared" si="27"/>
        <v>2323809.5238095238</v>
      </c>
      <c r="L400" s="123">
        <v>1</v>
      </c>
      <c r="M400" s="24">
        <f t="shared" si="28"/>
        <v>2323809.5238095238</v>
      </c>
      <c r="N400" s="124">
        <f t="shared" si="29"/>
        <v>0</v>
      </c>
      <c r="O400" s="85" t="s">
        <v>1284</v>
      </c>
      <c r="AE400" s="130"/>
      <c r="AF400" s="130"/>
      <c r="AG400" s="130"/>
      <c r="AH400" s="130"/>
      <c r="AI400" s="130"/>
      <c r="AJ400" s="130"/>
      <c r="AK400" s="130"/>
      <c r="AL400" s="130"/>
      <c r="BC400" s="130"/>
      <c r="BD400" s="130"/>
      <c r="BE400" s="130"/>
      <c r="BF400" s="130"/>
      <c r="BG400" s="130"/>
      <c r="BH400" s="130"/>
      <c r="BI400" s="130"/>
      <c r="BJ400" s="130"/>
      <c r="CA400" s="130"/>
      <c r="CB400" s="130"/>
      <c r="CC400" s="130"/>
      <c r="CD400" s="130"/>
      <c r="CE400" s="130"/>
      <c r="CF400" s="130"/>
      <c r="CG400" s="130"/>
      <c r="CH400" s="130"/>
      <c r="CY400" s="130"/>
      <c r="CZ400" s="130"/>
      <c r="DA400" s="130"/>
      <c r="DB400" s="130"/>
      <c r="DC400" s="130"/>
      <c r="DD400" s="130"/>
      <c r="DE400" s="130"/>
      <c r="DF400" s="130"/>
      <c r="DW400" s="130"/>
      <c r="DX400" s="130"/>
      <c r="DY400" s="130"/>
      <c r="DZ400" s="130"/>
      <c r="EA400" s="130"/>
      <c r="EB400" s="130"/>
      <c r="EC400" s="130"/>
      <c r="ED400" s="130"/>
      <c r="EU400" s="130"/>
      <c r="EV400" s="130"/>
      <c r="EW400" s="130"/>
      <c r="EX400" s="130"/>
      <c r="EY400" s="130"/>
      <c r="EZ400" s="130"/>
      <c r="FA400" s="130"/>
      <c r="FB400" s="130"/>
      <c r="FS400" s="130"/>
      <c r="FT400" s="130"/>
      <c r="FU400" s="130"/>
      <c r="FV400" s="130"/>
      <c r="FW400" s="130"/>
      <c r="FX400" s="130"/>
      <c r="FY400" s="130"/>
      <c r="FZ400" s="130"/>
    </row>
    <row r="401" spans="1:188" s="3" customFormat="1">
      <c r="A401" s="84">
        <v>23</v>
      </c>
      <c r="B401" s="56">
        <v>43108</v>
      </c>
      <c r="C401" s="18"/>
      <c r="D401" s="19" t="s">
        <v>1169</v>
      </c>
      <c r="E401" s="20" t="s">
        <v>330</v>
      </c>
      <c r="F401" s="62" t="s">
        <v>1299</v>
      </c>
      <c r="G401" s="63">
        <v>1708</v>
      </c>
      <c r="H401" s="121">
        <v>2440000</v>
      </c>
      <c r="I401" s="24"/>
      <c r="J401" s="24">
        <f>H401/1.05</f>
        <v>2323809.5238095238</v>
      </c>
      <c r="K401" s="24">
        <f t="shared" si="27"/>
        <v>2323809.5238095238</v>
      </c>
      <c r="L401" s="123">
        <v>1</v>
      </c>
      <c r="M401" s="24">
        <f t="shared" si="28"/>
        <v>2323809.5238095238</v>
      </c>
      <c r="N401" s="124">
        <f t="shared" si="29"/>
        <v>0</v>
      </c>
      <c r="O401" s="85" t="s">
        <v>1284</v>
      </c>
      <c r="AE401" s="130"/>
      <c r="AF401" s="130"/>
      <c r="AG401" s="130"/>
      <c r="AH401" s="130"/>
      <c r="AI401" s="130"/>
      <c r="AJ401" s="130"/>
      <c r="AK401" s="130"/>
      <c r="AL401" s="130"/>
      <c r="BC401" s="130"/>
      <c r="BD401" s="130"/>
      <c r="BE401" s="130"/>
      <c r="BF401" s="130"/>
      <c r="BG401" s="130"/>
      <c r="BH401" s="130"/>
      <c r="BI401" s="130"/>
      <c r="BJ401" s="130"/>
      <c r="CA401" s="130"/>
      <c r="CB401" s="130"/>
      <c r="CC401" s="130"/>
      <c r="CD401" s="130"/>
      <c r="CE401" s="130"/>
      <c r="CF401" s="130"/>
      <c r="CG401" s="130"/>
      <c r="CH401" s="130"/>
      <c r="CY401" s="130"/>
      <c r="CZ401" s="130"/>
      <c r="DA401" s="130"/>
      <c r="DB401" s="130"/>
      <c r="DC401" s="130"/>
      <c r="DD401" s="130"/>
      <c r="DE401" s="130"/>
      <c r="DF401" s="130"/>
      <c r="DW401" s="130"/>
      <c r="DX401" s="130"/>
      <c r="DY401" s="130"/>
      <c r="DZ401" s="130"/>
      <c r="EA401" s="130"/>
      <c r="EB401" s="130"/>
      <c r="EC401" s="130"/>
      <c r="ED401" s="130"/>
      <c r="EU401" s="130"/>
      <c r="EV401" s="130"/>
      <c r="EW401" s="130"/>
      <c r="EX401" s="130"/>
      <c r="EY401" s="130"/>
      <c r="EZ401" s="130"/>
      <c r="FA401" s="130"/>
      <c r="FB401" s="130"/>
      <c r="FS401" s="130"/>
      <c r="FT401" s="130"/>
      <c r="FU401" s="130"/>
      <c r="FV401" s="130"/>
      <c r="FW401" s="130"/>
      <c r="FX401" s="130"/>
      <c r="FY401" s="130"/>
      <c r="FZ401" s="130"/>
    </row>
    <row r="402" spans="1:188" s="3" customFormat="1">
      <c r="A402" s="84">
        <v>24</v>
      </c>
      <c r="B402" s="56">
        <v>43110</v>
      </c>
      <c r="C402" s="18"/>
      <c r="D402" s="19" t="s">
        <v>1169</v>
      </c>
      <c r="E402" s="20" t="s">
        <v>341</v>
      </c>
      <c r="F402" s="82" t="s">
        <v>1300</v>
      </c>
      <c r="G402" s="63">
        <v>1709</v>
      </c>
      <c r="H402" s="121">
        <v>2630000</v>
      </c>
      <c r="I402" s="24"/>
      <c r="J402" s="24">
        <f>H402/1.05</f>
        <v>2504761.9047619049</v>
      </c>
      <c r="K402" s="24">
        <f t="shared" si="27"/>
        <v>2504761.9047619049</v>
      </c>
      <c r="L402" s="123">
        <v>1</v>
      </c>
      <c r="M402" s="24">
        <f t="shared" si="28"/>
        <v>2504761.9047619049</v>
      </c>
      <c r="N402" s="124">
        <f t="shared" si="29"/>
        <v>0</v>
      </c>
      <c r="O402" s="85" t="s">
        <v>1284</v>
      </c>
      <c r="AE402" s="130"/>
      <c r="AF402" s="130"/>
      <c r="AG402" s="130"/>
      <c r="AH402" s="130"/>
      <c r="AI402" s="130"/>
      <c r="AJ402" s="130"/>
      <c r="AK402" s="130"/>
      <c r="AL402" s="130"/>
      <c r="BC402" s="130"/>
      <c r="BD402" s="130"/>
      <c r="BE402" s="130"/>
      <c r="BF402" s="130"/>
      <c r="BG402" s="130"/>
      <c r="BH402" s="130"/>
      <c r="BI402" s="130"/>
      <c r="BJ402" s="130"/>
      <c r="CA402" s="130"/>
      <c r="CB402" s="130"/>
      <c r="CC402" s="130"/>
      <c r="CD402" s="130"/>
      <c r="CE402" s="130"/>
      <c r="CF402" s="130"/>
      <c r="CG402" s="130"/>
      <c r="CH402" s="130"/>
      <c r="CY402" s="130"/>
      <c r="CZ402" s="130"/>
      <c r="DA402" s="130"/>
      <c r="DB402" s="130"/>
      <c r="DC402" s="130"/>
      <c r="DD402" s="130"/>
      <c r="DE402" s="130"/>
      <c r="DF402" s="130"/>
      <c r="DW402" s="130"/>
      <c r="DX402" s="130"/>
      <c r="DY402" s="130"/>
      <c r="DZ402" s="130"/>
      <c r="EA402" s="130"/>
      <c r="EB402" s="130"/>
      <c r="EC402" s="130"/>
      <c r="ED402" s="130"/>
      <c r="EU402" s="130"/>
      <c r="EV402" s="130"/>
      <c r="EW402" s="130"/>
      <c r="EX402" s="130"/>
      <c r="EY402" s="130"/>
      <c r="EZ402" s="130"/>
      <c r="FA402" s="130"/>
      <c r="FB402" s="130"/>
      <c r="FS402" s="130"/>
      <c r="FT402" s="130"/>
      <c r="FU402" s="130"/>
      <c r="FV402" s="130"/>
      <c r="FW402" s="130"/>
      <c r="FX402" s="130"/>
      <c r="FY402" s="130"/>
      <c r="FZ402" s="130"/>
    </row>
    <row r="403" spans="1:188" s="3" customFormat="1">
      <c r="A403" s="84">
        <v>25</v>
      </c>
      <c r="B403" s="56">
        <v>43125</v>
      </c>
      <c r="C403" s="18"/>
      <c r="D403" s="198">
        <v>5</v>
      </c>
      <c r="E403" s="20" t="s">
        <v>348</v>
      </c>
      <c r="F403" s="62" t="s">
        <v>352</v>
      </c>
      <c r="G403" s="63">
        <v>1711</v>
      </c>
      <c r="H403" s="121">
        <f>295200+2876400</f>
        <v>3171600</v>
      </c>
      <c r="I403" s="24">
        <v>3020571</v>
      </c>
      <c r="J403" s="24"/>
      <c r="K403" s="24">
        <f t="shared" si="27"/>
        <v>3020571</v>
      </c>
      <c r="L403" s="123">
        <v>1</v>
      </c>
      <c r="M403" s="24">
        <f t="shared" si="28"/>
        <v>3020571</v>
      </c>
      <c r="N403" s="124">
        <f t="shared" si="29"/>
        <v>0</v>
      </c>
      <c r="O403" s="85" t="s">
        <v>1284</v>
      </c>
      <c r="AE403" s="130"/>
      <c r="AF403" s="130"/>
      <c r="AG403" s="130"/>
      <c r="AH403" s="130"/>
      <c r="AI403" s="130"/>
      <c r="AJ403" s="130"/>
      <c r="AK403" s="130"/>
      <c r="AL403" s="130"/>
      <c r="BC403" s="130"/>
      <c r="BD403" s="130"/>
      <c r="BE403" s="130"/>
      <c r="BF403" s="130"/>
      <c r="BG403" s="130"/>
      <c r="BH403" s="130"/>
      <c r="BI403" s="130"/>
      <c r="BJ403" s="130"/>
      <c r="CA403" s="130"/>
      <c r="CB403" s="130"/>
      <c r="CC403" s="130"/>
      <c r="CD403" s="130"/>
      <c r="CE403" s="130"/>
      <c r="CF403" s="130"/>
      <c r="CG403" s="130"/>
      <c r="CH403" s="130"/>
      <c r="CY403" s="130"/>
      <c r="CZ403" s="130"/>
      <c r="DA403" s="130"/>
      <c r="DB403" s="130"/>
      <c r="DC403" s="130"/>
      <c r="DD403" s="130"/>
      <c r="DE403" s="130"/>
      <c r="DF403" s="130"/>
      <c r="DW403" s="130"/>
      <c r="DX403" s="130"/>
      <c r="DY403" s="130"/>
      <c r="DZ403" s="130"/>
      <c r="EA403" s="130"/>
      <c r="EB403" s="130"/>
      <c r="EC403" s="130"/>
      <c r="ED403" s="130"/>
      <c r="EU403" s="130"/>
      <c r="EV403" s="130"/>
      <c r="EW403" s="130"/>
      <c r="EX403" s="130"/>
      <c r="EY403" s="130"/>
      <c r="EZ403" s="130"/>
      <c r="FA403" s="130"/>
      <c r="FB403" s="130"/>
      <c r="FS403" s="130"/>
      <c r="FT403" s="130"/>
      <c r="FU403" s="130"/>
      <c r="FV403" s="130"/>
      <c r="FW403" s="130"/>
      <c r="FX403" s="130"/>
      <c r="FY403" s="130"/>
      <c r="FZ403" s="130"/>
    </row>
    <row r="404" spans="1:188" s="3" customFormat="1">
      <c r="A404" s="84">
        <v>26</v>
      </c>
      <c r="B404" s="56">
        <v>43097</v>
      </c>
      <c r="C404" s="18"/>
      <c r="D404" s="19" t="s">
        <v>1169</v>
      </c>
      <c r="E404" s="20" t="s">
        <v>420</v>
      </c>
      <c r="F404" s="82" t="s">
        <v>1301</v>
      </c>
      <c r="G404" s="58">
        <v>1708</v>
      </c>
      <c r="H404" s="121">
        <v>3696000</v>
      </c>
      <c r="I404" s="24"/>
      <c r="J404" s="24">
        <v>3534807</v>
      </c>
      <c r="K404" s="24">
        <f t="shared" si="27"/>
        <v>3534807</v>
      </c>
      <c r="L404" s="123">
        <v>1</v>
      </c>
      <c r="M404" s="24">
        <f t="shared" si="28"/>
        <v>3534807</v>
      </c>
      <c r="N404" s="124">
        <f t="shared" si="29"/>
        <v>0</v>
      </c>
      <c r="O404" s="85" t="s">
        <v>1284</v>
      </c>
      <c r="AE404" s="130"/>
      <c r="AF404" s="130"/>
      <c r="AG404" s="130"/>
      <c r="AH404" s="130"/>
      <c r="AI404" s="130"/>
      <c r="AJ404" s="130"/>
      <c r="AK404" s="130"/>
      <c r="AL404" s="130"/>
      <c r="BC404" s="130"/>
      <c r="BD404" s="130"/>
      <c r="BE404" s="130"/>
      <c r="BF404" s="130"/>
      <c r="BG404" s="130"/>
      <c r="BH404" s="130"/>
      <c r="BI404" s="130"/>
      <c r="BJ404" s="130"/>
      <c r="CA404" s="130"/>
      <c r="CB404" s="130"/>
      <c r="CC404" s="130"/>
      <c r="CD404" s="130"/>
      <c r="CE404" s="130"/>
      <c r="CF404" s="130"/>
      <c r="CG404" s="130"/>
      <c r="CH404" s="130"/>
      <c r="CY404" s="130"/>
      <c r="CZ404" s="130"/>
      <c r="DA404" s="130"/>
      <c r="DB404" s="130"/>
      <c r="DC404" s="130"/>
      <c r="DD404" s="130"/>
      <c r="DE404" s="130"/>
      <c r="DF404" s="130"/>
      <c r="DW404" s="130"/>
      <c r="DX404" s="130"/>
      <c r="DY404" s="130"/>
      <c r="DZ404" s="130"/>
      <c r="EA404" s="130"/>
      <c r="EB404" s="130"/>
      <c r="EC404" s="130"/>
      <c r="ED404" s="130"/>
      <c r="EU404" s="130"/>
      <c r="EV404" s="130"/>
      <c r="EW404" s="130"/>
      <c r="EX404" s="130"/>
      <c r="EY404" s="130"/>
      <c r="EZ404" s="130"/>
      <c r="FA404" s="130"/>
      <c r="FB404" s="130"/>
      <c r="FS404" s="130"/>
      <c r="FT404" s="130"/>
      <c r="FU404" s="130"/>
      <c r="FV404" s="130"/>
      <c r="FW404" s="130"/>
      <c r="FX404" s="130"/>
      <c r="FY404" s="130"/>
      <c r="FZ404" s="130"/>
    </row>
    <row r="405" spans="1:188" s="125" customFormat="1">
      <c r="A405" s="84">
        <v>27</v>
      </c>
      <c r="B405" s="56">
        <v>43125</v>
      </c>
      <c r="C405" s="18"/>
      <c r="D405" s="19" t="s">
        <v>1302</v>
      </c>
      <c r="E405" s="20" t="s">
        <v>946</v>
      </c>
      <c r="F405" s="82" t="s">
        <v>1303</v>
      </c>
      <c r="G405" s="58">
        <v>1711</v>
      </c>
      <c r="H405" s="121">
        <f>94500+2325000</f>
        <v>2419500</v>
      </c>
      <c r="I405" s="24"/>
      <c r="J405" s="24">
        <f>H405/1.05</f>
        <v>2304285.7142857141</v>
      </c>
      <c r="K405" s="24">
        <f t="shared" si="27"/>
        <v>2304285.7142857141</v>
      </c>
      <c r="L405" s="123">
        <v>1</v>
      </c>
      <c r="M405" s="24">
        <f t="shared" si="28"/>
        <v>2304285.7142857141</v>
      </c>
      <c r="N405" s="124">
        <f t="shared" si="29"/>
        <v>0</v>
      </c>
      <c r="O405" s="85" t="s">
        <v>1284</v>
      </c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130"/>
      <c r="AF405" s="130"/>
      <c r="AG405" s="130"/>
      <c r="AH405" s="130"/>
      <c r="AI405" s="130"/>
      <c r="AJ405" s="130"/>
      <c r="AK405" s="130"/>
      <c r="AL405" s="130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130"/>
      <c r="BD405" s="130"/>
      <c r="BE405" s="130"/>
      <c r="BF405" s="130"/>
      <c r="BG405" s="130"/>
      <c r="BH405" s="130"/>
      <c r="BI405" s="130"/>
      <c r="BJ405" s="130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130"/>
      <c r="CB405" s="130"/>
      <c r="CC405" s="130"/>
      <c r="CD405" s="130"/>
      <c r="CE405" s="130"/>
      <c r="CF405" s="130"/>
      <c r="CG405" s="130"/>
      <c r="CH405" s="130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  <c r="CW405" s="3"/>
      <c r="CX405" s="3"/>
      <c r="CY405" s="130"/>
      <c r="CZ405" s="130"/>
      <c r="DA405" s="130"/>
      <c r="DB405" s="130"/>
      <c r="DC405" s="130"/>
      <c r="DD405" s="130"/>
      <c r="DE405" s="130"/>
      <c r="DF405" s="130"/>
      <c r="DG405" s="3"/>
      <c r="DH405" s="3"/>
      <c r="DI405" s="3"/>
      <c r="DJ405" s="3"/>
      <c r="DK405" s="3"/>
      <c r="DL405" s="3"/>
      <c r="DM405" s="3"/>
      <c r="DN405" s="3"/>
      <c r="DO405" s="3"/>
      <c r="DP405" s="3"/>
      <c r="DQ405" s="3"/>
      <c r="DR405" s="3"/>
      <c r="DS405" s="3"/>
      <c r="DT405" s="3"/>
      <c r="DU405" s="3"/>
      <c r="DV405" s="3"/>
      <c r="DW405" s="130"/>
      <c r="DX405" s="130"/>
      <c r="DY405" s="130"/>
      <c r="DZ405" s="130"/>
      <c r="EA405" s="130"/>
      <c r="EB405" s="130"/>
      <c r="EC405" s="130"/>
      <c r="ED405" s="130"/>
      <c r="EE405" s="3"/>
      <c r="EF405" s="3"/>
      <c r="EG405" s="3"/>
      <c r="EH405" s="3"/>
      <c r="EI405" s="3"/>
      <c r="EJ405" s="3"/>
      <c r="EK405" s="3"/>
      <c r="EL405" s="3"/>
      <c r="EM405" s="3"/>
      <c r="EN405" s="3"/>
      <c r="EO405" s="3"/>
      <c r="EP405" s="3"/>
      <c r="EQ405" s="3"/>
      <c r="ER405" s="3"/>
      <c r="ES405" s="3"/>
      <c r="ET405" s="3"/>
      <c r="EU405" s="130"/>
      <c r="EV405" s="130"/>
      <c r="EW405" s="130"/>
      <c r="EX405" s="130"/>
      <c r="EY405" s="130"/>
      <c r="EZ405" s="130"/>
      <c r="FA405" s="130"/>
      <c r="FB405" s="130"/>
      <c r="FC405" s="3"/>
      <c r="FD405" s="3"/>
      <c r="FE405" s="3"/>
      <c r="FF405" s="3"/>
      <c r="FG405" s="3"/>
      <c r="FH405" s="3"/>
      <c r="FI405" s="3"/>
      <c r="FJ405" s="3"/>
      <c r="FK405" s="3"/>
      <c r="FL405" s="3"/>
      <c r="FM405" s="3"/>
      <c r="FN405" s="3"/>
      <c r="FO405" s="3"/>
      <c r="FP405" s="3"/>
      <c r="FQ405" s="3"/>
      <c r="FR405" s="3"/>
      <c r="FS405" s="130"/>
      <c r="FT405" s="130"/>
      <c r="FU405" s="130"/>
      <c r="FV405" s="130"/>
      <c r="FW405" s="130"/>
      <c r="FX405" s="130"/>
      <c r="FY405" s="130"/>
      <c r="FZ405" s="130"/>
      <c r="GA405" s="3"/>
      <c r="GB405" s="3"/>
      <c r="GC405" s="3"/>
      <c r="GD405" s="3"/>
      <c r="GE405" s="3"/>
      <c r="GF405" s="3"/>
    </row>
    <row r="406" spans="1:188" s="125" customFormat="1">
      <c r="A406" s="84">
        <v>28</v>
      </c>
      <c r="B406" s="60">
        <v>43096</v>
      </c>
      <c r="C406" s="18"/>
      <c r="D406" s="19" t="s">
        <v>1189</v>
      </c>
      <c r="E406" s="20" t="s">
        <v>442</v>
      </c>
      <c r="F406" s="62" t="s">
        <v>446</v>
      </c>
      <c r="G406" s="63">
        <v>1710</v>
      </c>
      <c r="H406" s="121">
        <v>1710800</v>
      </c>
      <c r="I406" s="24">
        <v>1629333</v>
      </c>
      <c r="J406" s="24"/>
      <c r="K406" s="24">
        <f t="shared" si="27"/>
        <v>1629333</v>
      </c>
      <c r="L406" s="123">
        <v>1</v>
      </c>
      <c r="M406" s="24">
        <f t="shared" si="28"/>
        <v>1629333</v>
      </c>
      <c r="N406" s="124">
        <f t="shared" si="29"/>
        <v>0</v>
      </c>
      <c r="O406" s="85" t="s">
        <v>1284</v>
      </c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130"/>
      <c r="AF406" s="130"/>
      <c r="AG406" s="130"/>
      <c r="AH406" s="130"/>
      <c r="AI406" s="130"/>
      <c r="AJ406" s="130"/>
      <c r="AK406" s="130"/>
      <c r="AL406" s="130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130"/>
      <c r="BD406" s="130"/>
      <c r="BE406" s="130"/>
      <c r="BF406" s="130"/>
      <c r="BG406" s="130"/>
      <c r="BH406" s="130"/>
      <c r="BI406" s="130"/>
      <c r="BJ406" s="130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130"/>
      <c r="CB406" s="130"/>
      <c r="CC406" s="130"/>
      <c r="CD406" s="130"/>
      <c r="CE406" s="130"/>
      <c r="CF406" s="130"/>
      <c r="CG406" s="130"/>
      <c r="CH406" s="130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  <c r="CW406" s="3"/>
      <c r="CX406" s="3"/>
      <c r="CY406" s="130"/>
      <c r="CZ406" s="130"/>
      <c r="DA406" s="130"/>
      <c r="DB406" s="130"/>
      <c r="DC406" s="130"/>
      <c r="DD406" s="130"/>
      <c r="DE406" s="130"/>
      <c r="DF406" s="130"/>
      <c r="DG406" s="3"/>
      <c r="DH406" s="3"/>
      <c r="DI406" s="3"/>
      <c r="DJ406" s="3"/>
      <c r="DK406" s="3"/>
      <c r="DL406" s="3"/>
      <c r="DM406" s="3"/>
      <c r="DN406" s="3"/>
      <c r="DO406" s="3"/>
      <c r="DP406" s="3"/>
      <c r="DQ406" s="3"/>
      <c r="DR406" s="3"/>
      <c r="DS406" s="3"/>
      <c r="DT406" s="3"/>
      <c r="DU406" s="3"/>
      <c r="DV406" s="3"/>
      <c r="DW406" s="130"/>
      <c r="DX406" s="130"/>
      <c r="DY406" s="130"/>
      <c r="DZ406" s="130"/>
      <c r="EA406" s="130"/>
      <c r="EB406" s="130"/>
      <c r="EC406" s="130"/>
      <c r="ED406" s="130"/>
      <c r="EE406" s="3"/>
      <c r="EF406" s="3"/>
      <c r="EG406" s="3"/>
      <c r="EH406" s="3"/>
      <c r="EI406" s="3"/>
      <c r="EJ406" s="3"/>
      <c r="EK406" s="3"/>
      <c r="EL406" s="3"/>
      <c r="EM406" s="3"/>
      <c r="EN406" s="3"/>
      <c r="EO406" s="3"/>
      <c r="EP406" s="3"/>
      <c r="EQ406" s="3"/>
      <c r="ER406" s="3"/>
      <c r="ES406" s="3"/>
      <c r="ET406" s="3"/>
      <c r="EU406" s="130"/>
      <c r="EV406" s="130"/>
      <c r="EW406" s="130"/>
      <c r="EX406" s="130"/>
      <c r="EY406" s="130"/>
      <c r="EZ406" s="130"/>
      <c r="FA406" s="130"/>
      <c r="FB406" s="130"/>
      <c r="FC406" s="3"/>
      <c r="FD406" s="3"/>
      <c r="FE406" s="3"/>
      <c r="FF406" s="3"/>
      <c r="FG406" s="3"/>
      <c r="FH406" s="3"/>
      <c r="FI406" s="3"/>
      <c r="FJ406" s="3"/>
      <c r="FK406" s="3"/>
      <c r="FL406" s="3"/>
      <c r="FM406" s="3"/>
      <c r="FN406" s="3"/>
      <c r="FO406" s="3"/>
      <c r="FP406" s="3"/>
      <c r="FQ406" s="3"/>
      <c r="FR406" s="3"/>
      <c r="FS406" s="130"/>
      <c r="FT406" s="130"/>
      <c r="FU406" s="130"/>
      <c r="FV406" s="130"/>
      <c r="FW406" s="130"/>
      <c r="FX406" s="130"/>
      <c r="FY406" s="130"/>
      <c r="FZ406" s="130"/>
      <c r="GA406" s="3"/>
      <c r="GB406" s="3"/>
      <c r="GC406" s="3"/>
      <c r="GD406" s="3"/>
      <c r="GE406" s="3"/>
      <c r="GF406" s="3"/>
    </row>
    <row r="407" spans="1:188" s="125" customFormat="1">
      <c r="A407" s="84">
        <v>29</v>
      </c>
      <c r="B407" s="60">
        <v>43083</v>
      </c>
      <c r="C407" s="18"/>
      <c r="D407" s="19" t="s">
        <v>1189</v>
      </c>
      <c r="E407" s="20" t="s">
        <v>447</v>
      </c>
      <c r="F407" s="82" t="s">
        <v>448</v>
      </c>
      <c r="G407" s="63">
        <v>1709</v>
      </c>
      <c r="H407" s="121">
        <v>1626200</v>
      </c>
      <c r="I407" s="24">
        <v>1548762</v>
      </c>
      <c r="J407" s="24"/>
      <c r="K407" s="24">
        <f t="shared" si="27"/>
        <v>1548762</v>
      </c>
      <c r="L407" s="123">
        <v>1</v>
      </c>
      <c r="M407" s="24">
        <f t="shared" si="28"/>
        <v>1548762</v>
      </c>
      <c r="N407" s="124">
        <f t="shared" si="29"/>
        <v>0</v>
      </c>
      <c r="O407" s="85" t="s">
        <v>1284</v>
      </c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130"/>
      <c r="AF407" s="130"/>
      <c r="AG407" s="130"/>
      <c r="AH407" s="130"/>
      <c r="AI407" s="130"/>
      <c r="AJ407" s="130"/>
      <c r="AK407" s="130"/>
      <c r="AL407" s="130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130"/>
      <c r="BD407" s="130"/>
      <c r="BE407" s="130"/>
      <c r="BF407" s="130"/>
      <c r="BG407" s="130"/>
      <c r="BH407" s="130"/>
      <c r="BI407" s="130"/>
      <c r="BJ407" s="130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130"/>
      <c r="CB407" s="130"/>
      <c r="CC407" s="130"/>
      <c r="CD407" s="130"/>
      <c r="CE407" s="130"/>
      <c r="CF407" s="130"/>
      <c r="CG407" s="130"/>
      <c r="CH407" s="130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  <c r="CW407" s="3"/>
      <c r="CX407" s="3"/>
      <c r="CY407" s="130"/>
      <c r="CZ407" s="130"/>
      <c r="DA407" s="130"/>
      <c r="DB407" s="130"/>
      <c r="DC407" s="130"/>
      <c r="DD407" s="130"/>
      <c r="DE407" s="130"/>
      <c r="DF407" s="130"/>
      <c r="DG407" s="3"/>
      <c r="DH407" s="3"/>
      <c r="DI407" s="3"/>
      <c r="DJ407" s="3"/>
      <c r="DK407" s="3"/>
      <c r="DL407" s="3"/>
      <c r="DM407" s="3"/>
      <c r="DN407" s="3"/>
      <c r="DO407" s="3"/>
      <c r="DP407" s="3"/>
      <c r="DQ407" s="3"/>
      <c r="DR407" s="3"/>
      <c r="DS407" s="3"/>
      <c r="DT407" s="3"/>
      <c r="DU407" s="3"/>
      <c r="DV407" s="3"/>
      <c r="DW407" s="130"/>
      <c r="DX407" s="130"/>
      <c r="DY407" s="130"/>
      <c r="DZ407" s="130"/>
      <c r="EA407" s="130"/>
      <c r="EB407" s="130"/>
      <c r="EC407" s="130"/>
      <c r="ED407" s="130"/>
      <c r="EE407" s="3"/>
      <c r="EF407" s="3"/>
      <c r="EG407" s="3"/>
      <c r="EH407" s="3"/>
      <c r="EI407" s="3"/>
      <c r="EJ407" s="3"/>
      <c r="EK407" s="3"/>
      <c r="EL407" s="3"/>
      <c r="EM407" s="3"/>
      <c r="EN407" s="3"/>
      <c r="EO407" s="3"/>
      <c r="EP407" s="3"/>
      <c r="EQ407" s="3"/>
      <c r="ER407" s="3"/>
      <c r="ES407" s="3"/>
      <c r="ET407" s="3"/>
      <c r="EU407" s="130"/>
      <c r="EV407" s="130"/>
      <c r="EW407" s="130"/>
      <c r="EX407" s="130"/>
      <c r="EY407" s="130"/>
      <c r="EZ407" s="130"/>
      <c r="FA407" s="130"/>
      <c r="FB407" s="130"/>
      <c r="FC407" s="3"/>
      <c r="FD407" s="3"/>
      <c r="FE407" s="3"/>
      <c r="FF407" s="3"/>
      <c r="FG407" s="3"/>
      <c r="FH407" s="3"/>
      <c r="FI407" s="3"/>
      <c r="FJ407" s="3"/>
      <c r="FK407" s="3"/>
      <c r="FL407" s="3"/>
      <c r="FM407" s="3"/>
      <c r="FN407" s="3"/>
      <c r="FO407" s="3"/>
      <c r="FP407" s="3"/>
      <c r="FQ407" s="3"/>
      <c r="FR407" s="3"/>
      <c r="FS407" s="130"/>
      <c r="FT407" s="130"/>
      <c r="FU407" s="130"/>
      <c r="FV407" s="130"/>
      <c r="FW407" s="130"/>
      <c r="FX407" s="130"/>
      <c r="FY407" s="130"/>
      <c r="FZ407" s="130"/>
      <c r="GA407" s="3"/>
      <c r="GB407" s="3"/>
      <c r="GC407" s="3"/>
      <c r="GD407" s="3"/>
      <c r="GE407" s="3"/>
      <c r="GF407" s="3"/>
    </row>
    <row r="408" spans="1:188" s="125" customFormat="1">
      <c r="A408" s="84">
        <v>30</v>
      </c>
      <c r="B408" s="56">
        <v>43090</v>
      </c>
      <c r="C408" s="18"/>
      <c r="D408" s="19" t="s">
        <v>1189</v>
      </c>
      <c r="E408" s="20" t="s">
        <v>447</v>
      </c>
      <c r="F408" s="82" t="s">
        <v>452</v>
      </c>
      <c r="G408" s="58">
        <v>1710</v>
      </c>
      <c r="H408" s="121">
        <v>1626200</v>
      </c>
      <c r="I408" s="24">
        <v>1548762</v>
      </c>
      <c r="J408" s="24"/>
      <c r="K408" s="199">
        <f t="shared" si="27"/>
        <v>1548762</v>
      </c>
      <c r="L408" s="123">
        <v>1</v>
      </c>
      <c r="M408" s="24">
        <f t="shared" si="28"/>
        <v>1548762</v>
      </c>
      <c r="N408" s="124">
        <f t="shared" si="29"/>
        <v>0</v>
      </c>
      <c r="O408" s="85" t="s">
        <v>1284</v>
      </c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130"/>
      <c r="AF408" s="130"/>
      <c r="AG408" s="130"/>
      <c r="AH408" s="130"/>
      <c r="AI408" s="130"/>
      <c r="AJ408" s="130"/>
      <c r="AK408" s="130"/>
      <c r="AL408" s="130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130"/>
      <c r="BD408" s="130"/>
      <c r="BE408" s="130"/>
      <c r="BF408" s="130"/>
      <c r="BG408" s="130"/>
      <c r="BH408" s="130"/>
      <c r="BI408" s="130"/>
      <c r="BJ408" s="130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130"/>
      <c r="CB408" s="130"/>
      <c r="CC408" s="130"/>
      <c r="CD408" s="130"/>
      <c r="CE408" s="130"/>
      <c r="CF408" s="130"/>
      <c r="CG408" s="130"/>
      <c r="CH408" s="130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  <c r="CW408" s="3"/>
      <c r="CX408" s="3"/>
      <c r="CY408" s="130"/>
      <c r="CZ408" s="130"/>
      <c r="DA408" s="130"/>
      <c r="DB408" s="130"/>
      <c r="DC408" s="130"/>
      <c r="DD408" s="130"/>
      <c r="DE408" s="130"/>
      <c r="DF408" s="130"/>
      <c r="DG408" s="3"/>
      <c r="DH408" s="3"/>
      <c r="DI408" s="3"/>
      <c r="DJ408" s="3"/>
      <c r="DK408" s="3"/>
      <c r="DL408" s="3"/>
      <c r="DM408" s="3"/>
      <c r="DN408" s="3"/>
      <c r="DO408" s="3"/>
      <c r="DP408" s="3"/>
      <c r="DQ408" s="3"/>
      <c r="DR408" s="3"/>
      <c r="DS408" s="3"/>
      <c r="DT408" s="3"/>
      <c r="DU408" s="3"/>
      <c r="DV408" s="3"/>
      <c r="DW408" s="130"/>
      <c r="DX408" s="130"/>
      <c r="DY408" s="130"/>
      <c r="DZ408" s="130"/>
      <c r="EA408" s="130"/>
      <c r="EB408" s="130"/>
      <c r="EC408" s="130"/>
      <c r="ED408" s="130"/>
      <c r="EE408" s="3"/>
      <c r="EF408" s="3"/>
      <c r="EG408" s="3"/>
      <c r="EH408" s="3"/>
      <c r="EI408" s="3"/>
      <c r="EJ408" s="3"/>
      <c r="EK408" s="3"/>
      <c r="EL408" s="3"/>
      <c r="EM408" s="3"/>
      <c r="EN408" s="3"/>
      <c r="EO408" s="3"/>
      <c r="EP408" s="3"/>
      <c r="EQ408" s="3"/>
      <c r="ER408" s="3"/>
      <c r="ES408" s="3"/>
      <c r="ET408" s="3"/>
      <c r="EU408" s="130"/>
      <c r="EV408" s="130"/>
      <c r="EW408" s="130"/>
      <c r="EX408" s="130"/>
      <c r="EY408" s="130"/>
      <c r="EZ408" s="130"/>
      <c r="FA408" s="130"/>
      <c r="FB408" s="130"/>
      <c r="FC408" s="3"/>
      <c r="FD408" s="3"/>
      <c r="FE408" s="3"/>
      <c r="FF408" s="3"/>
      <c r="FG408" s="3"/>
      <c r="FH408" s="3"/>
      <c r="FI408" s="3"/>
      <c r="FJ408" s="3"/>
      <c r="FK408" s="3"/>
      <c r="FL408" s="3"/>
      <c r="FM408" s="3"/>
      <c r="FN408" s="3"/>
      <c r="FO408" s="3"/>
      <c r="FP408" s="3"/>
      <c r="FQ408" s="3"/>
      <c r="FR408" s="3"/>
      <c r="FS408" s="130"/>
      <c r="FT408" s="130"/>
      <c r="FU408" s="130"/>
      <c r="FV408" s="130"/>
      <c r="FW408" s="130"/>
      <c r="FX408" s="130"/>
      <c r="FY408" s="130"/>
      <c r="FZ408" s="130"/>
      <c r="GA408" s="3"/>
      <c r="GB408" s="3"/>
      <c r="GC408" s="3"/>
      <c r="GD408" s="3"/>
      <c r="GE408" s="3"/>
      <c r="GF408" s="3"/>
    </row>
    <row r="409" spans="1:188" s="125" customFormat="1">
      <c r="A409" s="84">
        <v>31</v>
      </c>
      <c r="B409" s="56">
        <v>43097</v>
      </c>
      <c r="C409" s="18"/>
      <c r="D409" s="19" t="s">
        <v>1189</v>
      </c>
      <c r="E409" s="20" t="s">
        <v>447</v>
      </c>
      <c r="F409" s="62" t="s">
        <v>453</v>
      </c>
      <c r="G409" s="63">
        <v>1711</v>
      </c>
      <c r="H409" s="121">
        <f>93600+1626200</f>
        <v>1719800</v>
      </c>
      <c r="I409" s="24">
        <v>1637905</v>
      </c>
      <c r="J409" s="24"/>
      <c r="K409" s="24">
        <f t="shared" si="27"/>
        <v>1637905</v>
      </c>
      <c r="L409" s="123">
        <v>1</v>
      </c>
      <c r="M409" s="24">
        <f t="shared" si="28"/>
        <v>1637905</v>
      </c>
      <c r="N409" s="124">
        <f t="shared" si="29"/>
        <v>0</v>
      </c>
      <c r="O409" s="85" t="s">
        <v>1284</v>
      </c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130"/>
      <c r="AF409" s="130"/>
      <c r="AG409" s="130"/>
      <c r="AH409" s="130"/>
      <c r="AI409" s="130"/>
      <c r="AJ409" s="130"/>
      <c r="AK409" s="130"/>
      <c r="AL409" s="130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130"/>
      <c r="BD409" s="130"/>
      <c r="BE409" s="130"/>
      <c r="BF409" s="130"/>
      <c r="BG409" s="130"/>
      <c r="BH409" s="130"/>
      <c r="BI409" s="130"/>
      <c r="BJ409" s="130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130"/>
      <c r="CB409" s="130"/>
      <c r="CC409" s="130"/>
      <c r="CD409" s="130"/>
      <c r="CE409" s="130"/>
      <c r="CF409" s="130"/>
      <c r="CG409" s="130"/>
      <c r="CH409" s="130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  <c r="CW409" s="3"/>
      <c r="CX409" s="3"/>
      <c r="CY409" s="130"/>
      <c r="CZ409" s="130"/>
      <c r="DA409" s="130"/>
      <c r="DB409" s="130"/>
      <c r="DC409" s="130"/>
      <c r="DD409" s="130"/>
      <c r="DE409" s="130"/>
      <c r="DF409" s="130"/>
      <c r="DG409" s="3"/>
      <c r="DH409" s="3"/>
      <c r="DI409" s="3"/>
      <c r="DJ409" s="3"/>
      <c r="DK409" s="3"/>
      <c r="DL409" s="3"/>
      <c r="DM409" s="3"/>
      <c r="DN409" s="3"/>
      <c r="DO409" s="3"/>
      <c r="DP409" s="3"/>
      <c r="DQ409" s="3"/>
      <c r="DR409" s="3"/>
      <c r="DS409" s="3"/>
      <c r="DT409" s="3"/>
      <c r="DU409" s="3"/>
      <c r="DV409" s="3"/>
      <c r="DW409" s="130"/>
      <c r="DX409" s="130"/>
      <c r="DY409" s="130"/>
      <c r="DZ409" s="130"/>
      <c r="EA409" s="130"/>
      <c r="EB409" s="130"/>
      <c r="EC409" s="130"/>
      <c r="ED409" s="130"/>
      <c r="EE409" s="3"/>
      <c r="EF409" s="3"/>
      <c r="EG409" s="3"/>
      <c r="EH409" s="3"/>
      <c r="EI409" s="3"/>
      <c r="EJ409" s="3"/>
      <c r="EK409" s="3"/>
      <c r="EL409" s="3"/>
      <c r="EM409" s="3"/>
      <c r="EN409" s="3"/>
      <c r="EO409" s="3"/>
      <c r="EP409" s="3"/>
      <c r="EQ409" s="3"/>
      <c r="ER409" s="3"/>
      <c r="ES409" s="3"/>
      <c r="ET409" s="3"/>
      <c r="EU409" s="130"/>
      <c r="EV409" s="130"/>
      <c r="EW409" s="130"/>
      <c r="EX409" s="130"/>
      <c r="EY409" s="130"/>
      <c r="EZ409" s="130"/>
      <c r="FA409" s="130"/>
      <c r="FB409" s="130"/>
      <c r="FC409" s="3"/>
      <c r="FD409" s="3"/>
      <c r="FE409" s="3"/>
      <c r="FF409" s="3"/>
      <c r="FG409" s="3"/>
      <c r="FH409" s="3"/>
      <c r="FI409" s="3"/>
      <c r="FJ409" s="3"/>
      <c r="FK409" s="3"/>
      <c r="FL409" s="3"/>
      <c r="FM409" s="3"/>
      <c r="FN409" s="3"/>
      <c r="FO409" s="3"/>
      <c r="FP409" s="3"/>
      <c r="FQ409" s="3"/>
      <c r="FR409" s="3"/>
      <c r="FS409" s="130"/>
      <c r="FT409" s="130"/>
      <c r="FU409" s="130"/>
      <c r="FV409" s="130"/>
      <c r="FW409" s="130"/>
      <c r="FX409" s="130"/>
      <c r="FY409" s="130"/>
      <c r="FZ409" s="130"/>
      <c r="GA409" s="3"/>
      <c r="GB409" s="3"/>
      <c r="GC409" s="3"/>
      <c r="GD409" s="3"/>
      <c r="GE409" s="3"/>
      <c r="GF409" s="3"/>
    </row>
    <row r="410" spans="1:188" s="125" customFormat="1">
      <c r="A410" s="84">
        <v>32</v>
      </c>
      <c r="B410" s="60">
        <v>43122</v>
      </c>
      <c r="C410" s="18" t="s">
        <v>1088</v>
      </c>
      <c r="D410" s="19" t="s">
        <v>1189</v>
      </c>
      <c r="E410" s="20" t="s">
        <v>1265</v>
      </c>
      <c r="F410" s="168" t="s">
        <v>1304</v>
      </c>
      <c r="G410" s="63">
        <v>1707</v>
      </c>
      <c r="H410" s="121">
        <f>1923600+30000+9700</f>
        <v>1963300</v>
      </c>
      <c r="I410" s="24"/>
      <c r="J410" s="24">
        <f>H410/1.05</f>
        <v>1869809.5238095238</v>
      </c>
      <c r="K410" s="24">
        <f t="shared" si="27"/>
        <v>1869809.5238095238</v>
      </c>
      <c r="L410" s="123">
        <v>1</v>
      </c>
      <c r="M410" s="24">
        <f t="shared" si="28"/>
        <v>1869809.5238095238</v>
      </c>
      <c r="N410" s="124">
        <f t="shared" si="29"/>
        <v>0</v>
      </c>
      <c r="O410" s="85" t="s">
        <v>1284</v>
      </c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130"/>
      <c r="AF410" s="130"/>
      <c r="AG410" s="130"/>
      <c r="AH410" s="130"/>
      <c r="AI410" s="130"/>
      <c r="AJ410" s="130"/>
      <c r="AK410" s="130"/>
      <c r="AL410" s="130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130"/>
      <c r="BD410" s="130"/>
      <c r="BE410" s="130"/>
      <c r="BF410" s="130"/>
      <c r="BG410" s="130"/>
      <c r="BH410" s="130"/>
      <c r="BI410" s="130"/>
      <c r="BJ410" s="130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130"/>
      <c r="CB410" s="130"/>
      <c r="CC410" s="130"/>
      <c r="CD410" s="130"/>
      <c r="CE410" s="130"/>
      <c r="CF410" s="130"/>
      <c r="CG410" s="130"/>
      <c r="CH410" s="130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  <c r="CW410" s="3"/>
      <c r="CX410" s="3"/>
      <c r="CY410" s="130"/>
      <c r="CZ410" s="130"/>
      <c r="DA410" s="130"/>
      <c r="DB410" s="130"/>
      <c r="DC410" s="130"/>
      <c r="DD410" s="130"/>
      <c r="DE410" s="130"/>
      <c r="DF410" s="130"/>
      <c r="DG410" s="3"/>
      <c r="DH410" s="3"/>
      <c r="DI410" s="3"/>
      <c r="DJ410" s="3"/>
      <c r="DK410" s="3"/>
      <c r="DL410" s="3"/>
      <c r="DM410" s="3"/>
      <c r="DN410" s="3"/>
      <c r="DO410" s="3"/>
      <c r="DP410" s="3"/>
      <c r="DQ410" s="3"/>
      <c r="DR410" s="3"/>
      <c r="DS410" s="3"/>
      <c r="DT410" s="3"/>
      <c r="DU410" s="3"/>
      <c r="DV410" s="3"/>
      <c r="DW410" s="130"/>
      <c r="DX410" s="130"/>
      <c r="DY410" s="130"/>
      <c r="DZ410" s="130"/>
      <c r="EA410" s="130"/>
      <c r="EB410" s="130"/>
      <c r="EC410" s="130"/>
      <c r="ED410" s="130"/>
      <c r="EE410" s="3"/>
      <c r="EF410" s="3"/>
      <c r="EG410" s="3"/>
      <c r="EH410" s="3"/>
      <c r="EI410" s="3"/>
      <c r="EJ410" s="3"/>
      <c r="EK410" s="3"/>
      <c r="EL410" s="3"/>
      <c r="EM410" s="3"/>
      <c r="EN410" s="3"/>
      <c r="EO410" s="3"/>
      <c r="EP410" s="3"/>
      <c r="EQ410" s="3"/>
      <c r="ER410" s="3"/>
      <c r="ES410" s="3"/>
      <c r="ET410" s="3"/>
      <c r="EU410" s="130"/>
      <c r="EV410" s="130"/>
      <c r="EW410" s="130"/>
      <c r="EX410" s="130"/>
      <c r="EY410" s="130"/>
      <c r="EZ410" s="130"/>
      <c r="FA410" s="130"/>
      <c r="FB410" s="130"/>
      <c r="FC410" s="3"/>
      <c r="FD410" s="3"/>
      <c r="FE410" s="3"/>
      <c r="FF410" s="3"/>
      <c r="FG410" s="3"/>
      <c r="FH410" s="3"/>
      <c r="FI410" s="3"/>
      <c r="FJ410" s="3"/>
      <c r="FK410" s="3"/>
      <c r="FL410" s="3"/>
      <c r="FM410" s="3"/>
      <c r="FN410" s="3"/>
      <c r="FO410" s="3"/>
      <c r="FP410" s="3"/>
      <c r="FQ410" s="3"/>
      <c r="FR410" s="3"/>
      <c r="FS410" s="130"/>
      <c r="FT410" s="130"/>
      <c r="FU410" s="130"/>
      <c r="FV410" s="130"/>
      <c r="FW410" s="130"/>
      <c r="FX410" s="130"/>
      <c r="FY410" s="130"/>
      <c r="FZ410" s="130"/>
      <c r="GA410" s="3"/>
      <c r="GB410" s="3"/>
      <c r="GC410" s="3"/>
      <c r="GD410" s="3"/>
      <c r="GE410" s="3"/>
      <c r="GF410" s="3"/>
    </row>
    <row r="411" spans="1:188" s="125" customFormat="1">
      <c r="A411" s="84">
        <v>33</v>
      </c>
      <c r="B411" s="56">
        <v>43068</v>
      </c>
      <c r="C411" s="18"/>
      <c r="D411" s="19" t="s">
        <v>1189</v>
      </c>
      <c r="E411" s="20" t="s">
        <v>454</v>
      </c>
      <c r="F411" s="82" t="s">
        <v>456</v>
      </c>
      <c r="G411" s="58">
        <v>1708</v>
      </c>
      <c r="H411" s="121">
        <v>1823600</v>
      </c>
      <c r="I411" s="24">
        <v>1736762</v>
      </c>
      <c r="J411" s="24"/>
      <c r="K411" s="24">
        <f t="shared" si="27"/>
        <v>1736762</v>
      </c>
      <c r="L411" s="123">
        <v>1</v>
      </c>
      <c r="M411" s="24">
        <f t="shared" si="28"/>
        <v>1736762</v>
      </c>
      <c r="N411" s="124">
        <f t="shared" si="29"/>
        <v>0</v>
      </c>
      <c r="O411" s="85" t="s">
        <v>1284</v>
      </c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130"/>
      <c r="AF411" s="130"/>
      <c r="AG411" s="130"/>
      <c r="AH411" s="130"/>
      <c r="AI411" s="130"/>
      <c r="AJ411" s="130"/>
      <c r="AK411" s="130"/>
      <c r="AL411" s="130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130"/>
      <c r="BD411" s="130"/>
      <c r="BE411" s="130"/>
      <c r="BF411" s="130"/>
      <c r="BG411" s="130"/>
      <c r="BH411" s="130"/>
      <c r="BI411" s="130"/>
      <c r="BJ411" s="130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130"/>
      <c r="CB411" s="130"/>
      <c r="CC411" s="130"/>
      <c r="CD411" s="130"/>
      <c r="CE411" s="130"/>
      <c r="CF411" s="130"/>
      <c r="CG411" s="130"/>
      <c r="CH411" s="130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  <c r="CW411" s="3"/>
      <c r="CX411" s="3"/>
      <c r="CY411" s="130"/>
      <c r="CZ411" s="130"/>
      <c r="DA411" s="130"/>
      <c r="DB411" s="130"/>
      <c r="DC411" s="130"/>
      <c r="DD411" s="130"/>
      <c r="DE411" s="130"/>
      <c r="DF411" s="130"/>
      <c r="DG411" s="3"/>
      <c r="DH411" s="3"/>
      <c r="DI411" s="3"/>
      <c r="DJ411" s="3"/>
      <c r="DK411" s="3"/>
      <c r="DL411" s="3"/>
      <c r="DM411" s="3"/>
      <c r="DN411" s="3"/>
      <c r="DO411" s="3"/>
      <c r="DP411" s="3"/>
      <c r="DQ411" s="3"/>
      <c r="DR411" s="3"/>
      <c r="DS411" s="3"/>
      <c r="DT411" s="3"/>
      <c r="DU411" s="3"/>
      <c r="DV411" s="3"/>
      <c r="DW411" s="130"/>
      <c r="DX411" s="130"/>
      <c r="DY411" s="130"/>
      <c r="DZ411" s="130"/>
      <c r="EA411" s="130"/>
      <c r="EB411" s="130"/>
      <c r="EC411" s="130"/>
      <c r="ED411" s="130"/>
      <c r="EE411" s="3"/>
      <c r="EF411" s="3"/>
      <c r="EG411" s="3"/>
      <c r="EH411" s="3"/>
      <c r="EI411" s="3"/>
      <c r="EJ411" s="3"/>
      <c r="EK411" s="3"/>
      <c r="EL411" s="3"/>
      <c r="EM411" s="3"/>
      <c r="EN411" s="3"/>
      <c r="EO411" s="3"/>
      <c r="EP411" s="3"/>
      <c r="EQ411" s="3"/>
      <c r="ER411" s="3"/>
      <c r="ES411" s="3"/>
      <c r="ET411" s="3"/>
      <c r="EU411" s="130"/>
      <c r="EV411" s="130"/>
      <c r="EW411" s="130"/>
      <c r="EX411" s="130"/>
      <c r="EY411" s="130"/>
      <c r="EZ411" s="130"/>
      <c r="FA411" s="130"/>
      <c r="FB411" s="130"/>
      <c r="FC411" s="3"/>
      <c r="FD411" s="3"/>
      <c r="FE411" s="3"/>
      <c r="FF411" s="3"/>
      <c r="FG411" s="3"/>
      <c r="FH411" s="3"/>
      <c r="FI411" s="3"/>
      <c r="FJ411" s="3"/>
      <c r="FK411" s="3"/>
      <c r="FL411" s="3"/>
      <c r="FM411" s="3"/>
      <c r="FN411" s="3"/>
      <c r="FO411" s="3"/>
      <c r="FP411" s="3"/>
      <c r="FQ411" s="3"/>
      <c r="FR411" s="3"/>
      <c r="FS411" s="130"/>
      <c r="FT411" s="130"/>
      <c r="FU411" s="130"/>
      <c r="FV411" s="130"/>
      <c r="FW411" s="130"/>
      <c r="FX411" s="130"/>
      <c r="FY411" s="130"/>
      <c r="FZ411" s="130"/>
      <c r="GA411" s="3"/>
      <c r="GB411" s="3"/>
      <c r="GC411" s="3"/>
      <c r="GD411" s="3"/>
      <c r="GE411" s="3"/>
      <c r="GF411" s="3"/>
    </row>
    <row r="412" spans="1:188" s="125" customFormat="1">
      <c r="A412" s="84">
        <v>34</v>
      </c>
      <c r="B412" s="60">
        <v>43090</v>
      </c>
      <c r="C412" s="18" t="s">
        <v>457</v>
      </c>
      <c r="D412" s="19" t="s">
        <v>1189</v>
      </c>
      <c r="E412" s="20" t="s">
        <v>1265</v>
      </c>
      <c r="F412" s="168" t="s">
        <v>1305</v>
      </c>
      <c r="G412" s="63">
        <v>1708</v>
      </c>
      <c r="H412" s="121">
        <f>1823600+9700</f>
        <v>1833300</v>
      </c>
      <c r="I412" s="24">
        <v>1746000</v>
      </c>
      <c r="J412" s="24"/>
      <c r="K412" s="24">
        <f t="shared" si="27"/>
        <v>1746000</v>
      </c>
      <c r="L412" s="123">
        <v>1</v>
      </c>
      <c r="M412" s="24">
        <f t="shared" si="28"/>
        <v>1746000</v>
      </c>
      <c r="N412" s="124">
        <f t="shared" si="29"/>
        <v>0</v>
      </c>
      <c r="O412" s="85" t="s">
        <v>1284</v>
      </c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130"/>
      <c r="AF412" s="130"/>
      <c r="AG412" s="130"/>
      <c r="AH412" s="130"/>
      <c r="AI412" s="130"/>
      <c r="AJ412" s="130"/>
      <c r="AK412" s="130"/>
      <c r="AL412" s="130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130"/>
      <c r="BD412" s="130"/>
      <c r="BE412" s="130"/>
      <c r="BF412" s="130"/>
      <c r="BG412" s="130"/>
      <c r="BH412" s="130"/>
      <c r="BI412" s="130"/>
      <c r="BJ412" s="130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130"/>
      <c r="CB412" s="130"/>
      <c r="CC412" s="130"/>
      <c r="CD412" s="130"/>
      <c r="CE412" s="130"/>
      <c r="CF412" s="130"/>
      <c r="CG412" s="130"/>
      <c r="CH412" s="130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  <c r="CX412" s="3"/>
      <c r="CY412" s="130"/>
      <c r="CZ412" s="130"/>
      <c r="DA412" s="130"/>
      <c r="DB412" s="130"/>
      <c r="DC412" s="130"/>
      <c r="DD412" s="130"/>
      <c r="DE412" s="130"/>
      <c r="DF412" s="130"/>
      <c r="DG412" s="3"/>
      <c r="DH412" s="3"/>
      <c r="DI412" s="3"/>
      <c r="DJ412" s="3"/>
      <c r="DK412" s="3"/>
      <c r="DL412" s="3"/>
      <c r="DM412" s="3"/>
      <c r="DN412" s="3"/>
      <c r="DO412" s="3"/>
      <c r="DP412" s="3"/>
      <c r="DQ412" s="3"/>
      <c r="DR412" s="3"/>
      <c r="DS412" s="3"/>
      <c r="DT412" s="3"/>
      <c r="DU412" s="3"/>
      <c r="DV412" s="3"/>
      <c r="DW412" s="130"/>
      <c r="DX412" s="130"/>
      <c r="DY412" s="130"/>
      <c r="DZ412" s="130"/>
      <c r="EA412" s="130"/>
      <c r="EB412" s="130"/>
      <c r="EC412" s="130"/>
      <c r="ED412" s="130"/>
      <c r="EE412" s="3"/>
      <c r="EF412" s="3"/>
      <c r="EG412" s="3"/>
      <c r="EH412" s="3"/>
      <c r="EI412" s="3"/>
      <c r="EJ412" s="3"/>
      <c r="EK412" s="3"/>
      <c r="EL412" s="3"/>
      <c r="EM412" s="3"/>
      <c r="EN412" s="3"/>
      <c r="EO412" s="3"/>
      <c r="EP412" s="3"/>
      <c r="EQ412" s="3"/>
      <c r="ER412" s="3"/>
      <c r="ES412" s="3"/>
      <c r="ET412" s="3"/>
      <c r="EU412" s="130"/>
      <c r="EV412" s="130"/>
      <c r="EW412" s="130"/>
      <c r="EX412" s="130"/>
      <c r="EY412" s="130"/>
      <c r="EZ412" s="130"/>
      <c r="FA412" s="130"/>
      <c r="FB412" s="130"/>
      <c r="FC412" s="3"/>
      <c r="FD412" s="3"/>
      <c r="FE412" s="3"/>
      <c r="FF412" s="3"/>
      <c r="FG412" s="3"/>
      <c r="FH412" s="3"/>
      <c r="FI412" s="3"/>
      <c r="FJ412" s="3"/>
      <c r="FK412" s="3"/>
      <c r="FL412" s="3"/>
      <c r="FM412" s="3"/>
      <c r="FN412" s="3"/>
      <c r="FO412" s="3"/>
      <c r="FP412" s="3"/>
      <c r="FQ412" s="3"/>
      <c r="FR412" s="3"/>
      <c r="FS412" s="130"/>
      <c r="FT412" s="130"/>
      <c r="FU412" s="130"/>
      <c r="FV412" s="130"/>
      <c r="FW412" s="130"/>
      <c r="FX412" s="130"/>
      <c r="FY412" s="130"/>
      <c r="FZ412" s="130"/>
      <c r="GA412" s="3"/>
      <c r="GB412" s="3"/>
      <c r="GC412" s="3"/>
      <c r="GD412" s="3"/>
      <c r="GE412" s="3"/>
      <c r="GF412" s="3"/>
    </row>
    <row r="413" spans="1:188" s="125" customFormat="1">
      <c r="A413" s="84">
        <v>35</v>
      </c>
      <c r="B413" s="60">
        <v>43095</v>
      </c>
      <c r="C413" s="18"/>
      <c r="D413" s="19" t="s">
        <v>1189</v>
      </c>
      <c r="E413" s="20" t="s">
        <v>454</v>
      </c>
      <c r="F413" s="168" t="s">
        <v>460</v>
      </c>
      <c r="G413" s="63">
        <v>1709</v>
      </c>
      <c r="H413" s="121">
        <v>1823600</v>
      </c>
      <c r="I413" s="24">
        <v>1736762</v>
      </c>
      <c r="J413" s="24"/>
      <c r="K413" s="24">
        <f t="shared" si="27"/>
        <v>1736762</v>
      </c>
      <c r="L413" s="123">
        <v>1</v>
      </c>
      <c r="M413" s="24">
        <f t="shared" si="28"/>
        <v>1736762</v>
      </c>
      <c r="N413" s="124">
        <f t="shared" si="29"/>
        <v>0</v>
      </c>
      <c r="O413" s="85" t="s">
        <v>1284</v>
      </c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130"/>
      <c r="AF413" s="130"/>
      <c r="AG413" s="130"/>
      <c r="AH413" s="130"/>
      <c r="AI413" s="130"/>
      <c r="AJ413" s="130"/>
      <c r="AK413" s="130"/>
      <c r="AL413" s="130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130"/>
      <c r="BD413" s="130"/>
      <c r="BE413" s="130"/>
      <c r="BF413" s="130"/>
      <c r="BG413" s="130"/>
      <c r="BH413" s="130"/>
      <c r="BI413" s="130"/>
      <c r="BJ413" s="130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130"/>
      <c r="CB413" s="130"/>
      <c r="CC413" s="130"/>
      <c r="CD413" s="130"/>
      <c r="CE413" s="130"/>
      <c r="CF413" s="130"/>
      <c r="CG413" s="130"/>
      <c r="CH413" s="130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  <c r="CW413" s="3"/>
      <c r="CX413" s="3"/>
      <c r="CY413" s="130"/>
      <c r="CZ413" s="130"/>
      <c r="DA413" s="130"/>
      <c r="DB413" s="130"/>
      <c r="DC413" s="130"/>
      <c r="DD413" s="130"/>
      <c r="DE413" s="130"/>
      <c r="DF413" s="130"/>
      <c r="DG413" s="3"/>
      <c r="DH413" s="3"/>
      <c r="DI413" s="3"/>
      <c r="DJ413" s="3"/>
      <c r="DK413" s="3"/>
      <c r="DL413" s="3"/>
      <c r="DM413" s="3"/>
      <c r="DN413" s="3"/>
      <c r="DO413" s="3"/>
      <c r="DP413" s="3"/>
      <c r="DQ413" s="3"/>
      <c r="DR413" s="3"/>
      <c r="DS413" s="3"/>
      <c r="DT413" s="3"/>
      <c r="DU413" s="3"/>
      <c r="DV413" s="3"/>
      <c r="DW413" s="130"/>
      <c r="DX413" s="130"/>
      <c r="DY413" s="130"/>
      <c r="DZ413" s="130"/>
      <c r="EA413" s="130"/>
      <c r="EB413" s="130"/>
      <c r="EC413" s="130"/>
      <c r="ED413" s="130"/>
      <c r="EE413" s="3"/>
      <c r="EF413" s="3"/>
      <c r="EG413" s="3"/>
      <c r="EH413" s="3"/>
      <c r="EI413" s="3"/>
      <c r="EJ413" s="3"/>
      <c r="EK413" s="3"/>
      <c r="EL413" s="3"/>
      <c r="EM413" s="3"/>
      <c r="EN413" s="3"/>
      <c r="EO413" s="3"/>
      <c r="EP413" s="3"/>
      <c r="EQ413" s="3"/>
      <c r="ER413" s="3"/>
      <c r="ES413" s="3"/>
      <c r="ET413" s="3"/>
      <c r="EU413" s="130"/>
      <c r="EV413" s="130"/>
      <c r="EW413" s="130"/>
      <c r="EX413" s="130"/>
      <c r="EY413" s="130"/>
      <c r="EZ413" s="130"/>
      <c r="FA413" s="130"/>
      <c r="FB413" s="130"/>
      <c r="FC413" s="3"/>
      <c r="FD413" s="3"/>
      <c r="FE413" s="3"/>
      <c r="FF413" s="3"/>
      <c r="FG413" s="3"/>
      <c r="FH413" s="3"/>
      <c r="FI413" s="3"/>
      <c r="FJ413" s="3"/>
      <c r="FK413" s="3"/>
      <c r="FL413" s="3"/>
      <c r="FM413" s="3"/>
      <c r="FN413" s="3"/>
      <c r="FO413" s="3"/>
      <c r="FP413" s="3"/>
      <c r="FQ413" s="3"/>
      <c r="FR413" s="3"/>
      <c r="FS413" s="130"/>
      <c r="FT413" s="130"/>
      <c r="FU413" s="130"/>
      <c r="FV413" s="130"/>
      <c r="FW413" s="130"/>
      <c r="FX413" s="130"/>
      <c r="FY413" s="130"/>
      <c r="FZ413" s="130"/>
      <c r="GA413" s="3"/>
      <c r="GB413" s="3"/>
      <c r="GC413" s="3"/>
      <c r="GD413" s="3"/>
      <c r="GE413" s="3"/>
      <c r="GF413" s="3"/>
    </row>
    <row r="414" spans="1:188" s="125" customFormat="1">
      <c r="A414" s="84">
        <v>36</v>
      </c>
      <c r="B414" s="56">
        <v>43118</v>
      </c>
      <c r="C414" s="18"/>
      <c r="D414" s="19" t="s">
        <v>1189</v>
      </c>
      <c r="E414" s="20" t="s">
        <v>454</v>
      </c>
      <c r="F414" s="82" t="s">
        <v>1306</v>
      </c>
      <c r="G414" s="58">
        <v>1710</v>
      </c>
      <c r="H414" s="121">
        <v>1823600</v>
      </c>
      <c r="I414" s="24"/>
      <c r="J414" s="24">
        <v>1736761</v>
      </c>
      <c r="K414" s="199">
        <f t="shared" si="27"/>
        <v>1736761</v>
      </c>
      <c r="L414" s="123">
        <v>1</v>
      </c>
      <c r="M414" s="24">
        <f t="shared" si="28"/>
        <v>1736761</v>
      </c>
      <c r="N414" s="124">
        <f t="shared" si="29"/>
        <v>0</v>
      </c>
      <c r="O414" s="85" t="s">
        <v>1284</v>
      </c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130"/>
      <c r="AF414" s="130"/>
      <c r="AG414" s="130"/>
      <c r="AH414" s="130"/>
      <c r="AI414" s="130"/>
      <c r="AJ414" s="130"/>
      <c r="AK414" s="130"/>
      <c r="AL414" s="130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130"/>
      <c r="BD414" s="130"/>
      <c r="BE414" s="130"/>
      <c r="BF414" s="130"/>
      <c r="BG414" s="130"/>
      <c r="BH414" s="130"/>
      <c r="BI414" s="130"/>
      <c r="BJ414" s="130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130"/>
      <c r="CB414" s="130"/>
      <c r="CC414" s="130"/>
      <c r="CD414" s="130"/>
      <c r="CE414" s="130"/>
      <c r="CF414" s="130"/>
      <c r="CG414" s="130"/>
      <c r="CH414" s="130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  <c r="CW414" s="3"/>
      <c r="CX414" s="3"/>
      <c r="CY414" s="130"/>
      <c r="CZ414" s="130"/>
      <c r="DA414" s="130"/>
      <c r="DB414" s="130"/>
      <c r="DC414" s="130"/>
      <c r="DD414" s="130"/>
      <c r="DE414" s="130"/>
      <c r="DF414" s="130"/>
      <c r="DG414" s="3"/>
      <c r="DH414" s="3"/>
      <c r="DI414" s="3"/>
      <c r="DJ414" s="3"/>
      <c r="DK414" s="3"/>
      <c r="DL414" s="3"/>
      <c r="DM414" s="3"/>
      <c r="DN414" s="3"/>
      <c r="DO414" s="3"/>
      <c r="DP414" s="3"/>
      <c r="DQ414" s="3"/>
      <c r="DR414" s="3"/>
      <c r="DS414" s="3"/>
      <c r="DT414" s="3"/>
      <c r="DU414" s="3"/>
      <c r="DV414" s="3"/>
      <c r="DW414" s="130"/>
      <c r="DX414" s="130"/>
      <c r="DY414" s="130"/>
      <c r="DZ414" s="130"/>
      <c r="EA414" s="130"/>
      <c r="EB414" s="130"/>
      <c r="EC414" s="130"/>
      <c r="ED414" s="130"/>
      <c r="EE414" s="3"/>
      <c r="EF414" s="3"/>
      <c r="EG414" s="3"/>
      <c r="EH414" s="3"/>
      <c r="EI414" s="3"/>
      <c r="EJ414" s="3"/>
      <c r="EK414" s="3"/>
      <c r="EL414" s="3"/>
      <c r="EM414" s="3"/>
      <c r="EN414" s="3"/>
      <c r="EO414" s="3"/>
      <c r="EP414" s="3"/>
      <c r="EQ414" s="3"/>
      <c r="ER414" s="3"/>
      <c r="ES414" s="3"/>
      <c r="ET414" s="3"/>
      <c r="EU414" s="130"/>
      <c r="EV414" s="130"/>
      <c r="EW414" s="130"/>
      <c r="EX414" s="130"/>
      <c r="EY414" s="130"/>
      <c r="EZ414" s="130"/>
      <c r="FA414" s="130"/>
      <c r="FB414" s="130"/>
      <c r="FC414" s="3"/>
      <c r="FD414" s="3"/>
      <c r="FE414" s="3"/>
      <c r="FF414" s="3"/>
      <c r="FG414" s="3"/>
      <c r="FH414" s="3"/>
      <c r="FI414" s="3"/>
      <c r="FJ414" s="3"/>
      <c r="FK414" s="3"/>
      <c r="FL414" s="3"/>
      <c r="FM414" s="3"/>
      <c r="FN414" s="3"/>
      <c r="FO414" s="3"/>
      <c r="FP414" s="3"/>
      <c r="FQ414" s="3"/>
      <c r="FR414" s="3"/>
      <c r="FS414" s="130"/>
      <c r="FT414" s="130"/>
      <c r="FU414" s="130"/>
      <c r="FV414" s="130"/>
      <c r="FW414" s="130"/>
      <c r="FX414" s="130"/>
      <c r="FY414" s="130"/>
      <c r="FZ414" s="130"/>
      <c r="GA414" s="3"/>
      <c r="GB414" s="3"/>
      <c r="GC414" s="3"/>
      <c r="GD414" s="3"/>
      <c r="GE414" s="3"/>
      <c r="GF414" s="3"/>
    </row>
    <row r="415" spans="1:188" s="3" customFormat="1">
      <c r="A415" s="84">
        <v>37</v>
      </c>
      <c r="B415" s="60">
        <v>43116</v>
      </c>
      <c r="C415" s="18"/>
      <c r="D415" s="19" t="s">
        <v>1189</v>
      </c>
      <c r="E415" s="20" t="s">
        <v>454</v>
      </c>
      <c r="F415" s="168" t="s">
        <v>1307</v>
      </c>
      <c r="G415" s="63">
        <v>1710</v>
      </c>
      <c r="H415" s="121">
        <v>1823600</v>
      </c>
      <c r="I415" s="24"/>
      <c r="J415" s="24">
        <f>H415/1.05</f>
        <v>1736761.9047619046</v>
      </c>
      <c r="K415" s="24">
        <f t="shared" si="27"/>
        <v>1736761.9047619046</v>
      </c>
      <c r="L415" s="123">
        <v>1</v>
      </c>
      <c r="M415" s="24">
        <f t="shared" si="28"/>
        <v>1736761.9047619046</v>
      </c>
      <c r="N415" s="124">
        <f t="shared" si="29"/>
        <v>0</v>
      </c>
      <c r="O415" s="85" t="s">
        <v>1284</v>
      </c>
      <c r="V415" s="131"/>
      <c r="W415" s="15"/>
      <c r="AC415" s="131"/>
      <c r="AD415" s="15"/>
      <c r="AE415" s="99"/>
      <c r="AF415" s="149"/>
      <c r="AG415" s="134"/>
      <c r="AH415" s="134"/>
      <c r="AI415" s="137"/>
      <c r="AJ415" s="150"/>
      <c r="AK415" s="137"/>
      <c r="AL415" s="137"/>
      <c r="AN415" s="138"/>
      <c r="AO415" s="2"/>
      <c r="AP415" s="139"/>
      <c r="BA415" s="131"/>
      <c r="BB415" s="15"/>
      <c r="BC415" s="99"/>
      <c r="BD415" s="149"/>
      <c r="BE415" s="134"/>
      <c r="BF415" s="134"/>
      <c r="BG415" s="137"/>
      <c r="BH415" s="150"/>
      <c r="BI415" s="137"/>
      <c r="BJ415" s="137"/>
      <c r="BL415" s="138"/>
      <c r="BM415" s="2"/>
      <c r="BN415" s="139"/>
      <c r="BY415" s="131"/>
      <c r="BZ415" s="15"/>
      <c r="CA415" s="99"/>
      <c r="CB415" s="149"/>
      <c r="CC415" s="134"/>
      <c r="CD415" s="134"/>
      <c r="CE415" s="137"/>
      <c r="CF415" s="150"/>
      <c r="CG415" s="137"/>
      <c r="CH415" s="137"/>
      <c r="CJ415" s="138"/>
      <c r="CK415" s="2"/>
      <c r="CL415" s="139"/>
      <c r="CW415" s="131"/>
      <c r="CX415" s="15"/>
      <c r="CY415" s="99"/>
      <c r="CZ415" s="149"/>
      <c r="DA415" s="134"/>
      <c r="DB415" s="134"/>
      <c r="DC415" s="137"/>
      <c r="DD415" s="150"/>
      <c r="DE415" s="137"/>
      <c r="DF415" s="137"/>
      <c r="DH415" s="138"/>
      <c r="DI415" s="2"/>
      <c r="DJ415" s="139"/>
      <c r="DU415" s="131"/>
      <c r="DV415" s="15"/>
      <c r="DW415" s="99"/>
      <c r="DX415" s="149"/>
      <c r="DY415" s="134"/>
      <c r="DZ415" s="134"/>
      <c r="EA415" s="137"/>
      <c r="EB415" s="150"/>
      <c r="EC415" s="137"/>
      <c r="ED415" s="137"/>
      <c r="EF415" s="138"/>
      <c r="EG415" s="2"/>
      <c r="EH415" s="139"/>
      <c r="ES415" s="131"/>
      <c r="ET415" s="15"/>
      <c r="EU415" s="99"/>
      <c r="EV415" s="149"/>
      <c r="EW415" s="134"/>
      <c r="EX415" s="134"/>
      <c r="EY415" s="137"/>
      <c r="EZ415" s="150"/>
      <c r="FA415" s="137"/>
      <c r="FB415" s="137"/>
      <c r="FD415" s="138"/>
      <c r="FE415" s="2"/>
      <c r="FF415" s="139"/>
      <c r="FQ415" s="131"/>
      <c r="FR415" s="15"/>
      <c r="FS415" s="99"/>
      <c r="FT415" s="149"/>
      <c r="FU415" s="134"/>
      <c r="FV415" s="134"/>
      <c r="FW415" s="137"/>
      <c r="FX415" s="150"/>
      <c r="FY415" s="137"/>
      <c r="FZ415" s="137"/>
      <c r="GB415" s="138"/>
      <c r="GC415" s="2"/>
      <c r="GD415" s="139"/>
    </row>
    <row r="416" spans="1:188" s="3" customFormat="1">
      <c r="A416" s="84">
        <v>38</v>
      </c>
      <c r="B416" s="56">
        <v>43082</v>
      </c>
      <c r="C416" s="18"/>
      <c r="D416" s="19" t="s">
        <v>1203</v>
      </c>
      <c r="E416" s="20" t="s">
        <v>462</v>
      </c>
      <c r="F416" s="82" t="s">
        <v>463</v>
      </c>
      <c r="G416" s="63">
        <v>1709</v>
      </c>
      <c r="H416" s="121">
        <f>130000+2289200</f>
        <v>2419200</v>
      </c>
      <c r="I416" s="24">
        <v>2304000</v>
      </c>
      <c r="J416" s="24"/>
      <c r="K416" s="24">
        <f t="shared" si="27"/>
        <v>2304000</v>
      </c>
      <c r="L416" s="123">
        <v>1</v>
      </c>
      <c r="M416" s="24">
        <f t="shared" si="28"/>
        <v>2304000</v>
      </c>
      <c r="N416" s="124">
        <f t="shared" si="29"/>
        <v>0</v>
      </c>
      <c r="O416" s="85" t="s">
        <v>1284</v>
      </c>
      <c r="V416" s="131"/>
      <c r="W416" s="15"/>
      <c r="AC416" s="131"/>
      <c r="AD416" s="15"/>
      <c r="AE416" s="99"/>
      <c r="AF416" s="149"/>
      <c r="AG416" s="134"/>
      <c r="AH416" s="134"/>
      <c r="AI416" s="137"/>
      <c r="AJ416" s="150"/>
      <c r="AK416" s="137"/>
      <c r="AL416" s="137"/>
      <c r="AN416" s="138"/>
      <c r="AO416" s="2"/>
      <c r="AP416" s="139"/>
      <c r="BA416" s="131"/>
      <c r="BB416" s="15"/>
      <c r="BC416" s="99"/>
      <c r="BD416" s="149"/>
      <c r="BE416" s="134"/>
      <c r="BF416" s="134"/>
      <c r="BG416" s="137"/>
      <c r="BH416" s="150"/>
      <c r="BI416" s="137"/>
      <c r="BJ416" s="137"/>
      <c r="BL416" s="138"/>
      <c r="BM416" s="2"/>
      <c r="BN416" s="139"/>
      <c r="BY416" s="131"/>
      <c r="BZ416" s="15"/>
      <c r="CA416" s="99"/>
      <c r="CB416" s="149"/>
      <c r="CC416" s="134"/>
      <c r="CD416" s="134"/>
      <c r="CE416" s="137"/>
      <c r="CF416" s="150"/>
      <c r="CG416" s="137"/>
      <c r="CH416" s="137"/>
      <c r="CJ416" s="138"/>
      <c r="CK416" s="2"/>
      <c r="CL416" s="139"/>
      <c r="CW416" s="131"/>
      <c r="CX416" s="15"/>
      <c r="CY416" s="99"/>
      <c r="CZ416" s="149"/>
      <c r="DA416" s="134"/>
      <c r="DB416" s="134"/>
      <c r="DC416" s="137"/>
      <c r="DD416" s="150"/>
      <c r="DE416" s="137"/>
      <c r="DF416" s="137"/>
      <c r="DH416" s="138"/>
      <c r="DI416" s="2"/>
      <c r="DJ416" s="139"/>
      <c r="DU416" s="131"/>
      <c r="DV416" s="15"/>
      <c r="DW416" s="99"/>
      <c r="DX416" s="149"/>
      <c r="DY416" s="134"/>
      <c r="DZ416" s="134"/>
      <c r="EA416" s="137"/>
      <c r="EB416" s="150"/>
      <c r="EC416" s="137"/>
      <c r="ED416" s="137"/>
      <c r="EF416" s="138"/>
      <c r="EG416" s="2"/>
      <c r="EH416" s="139"/>
      <c r="ES416" s="131"/>
      <c r="ET416" s="15"/>
      <c r="EU416" s="99"/>
      <c r="EV416" s="149"/>
      <c r="EW416" s="134"/>
      <c r="EX416" s="134"/>
      <c r="EY416" s="137"/>
      <c r="EZ416" s="150"/>
      <c r="FA416" s="137"/>
      <c r="FB416" s="137"/>
      <c r="FD416" s="138"/>
      <c r="FE416" s="2"/>
      <c r="FF416" s="139"/>
      <c r="FQ416" s="131"/>
      <c r="FR416" s="15"/>
      <c r="FS416" s="99"/>
      <c r="FT416" s="149"/>
      <c r="FU416" s="134"/>
      <c r="FV416" s="134"/>
      <c r="FW416" s="137"/>
      <c r="FX416" s="150"/>
      <c r="FY416" s="137"/>
      <c r="FZ416" s="137"/>
      <c r="GB416" s="138"/>
      <c r="GC416" s="2"/>
      <c r="GD416" s="139"/>
    </row>
    <row r="417" spans="1:188" s="3" customFormat="1">
      <c r="A417" s="84">
        <v>39</v>
      </c>
      <c r="B417" s="60">
        <v>43095</v>
      </c>
      <c r="C417" s="18"/>
      <c r="D417" s="19" t="s">
        <v>1203</v>
      </c>
      <c r="E417" s="20" t="s">
        <v>462</v>
      </c>
      <c r="F417" s="168" t="s">
        <v>464</v>
      </c>
      <c r="G417" s="63">
        <v>1709</v>
      </c>
      <c r="H417" s="121">
        <f>130000+2289200</f>
        <v>2419200</v>
      </c>
      <c r="I417" s="24">
        <v>2304000</v>
      </c>
      <c r="J417" s="24"/>
      <c r="K417" s="24">
        <f t="shared" si="27"/>
        <v>2304000</v>
      </c>
      <c r="L417" s="123">
        <v>1</v>
      </c>
      <c r="M417" s="24">
        <f t="shared" si="28"/>
        <v>2304000</v>
      </c>
      <c r="N417" s="124">
        <f t="shared" si="29"/>
        <v>0</v>
      </c>
      <c r="O417" s="85" t="s">
        <v>1284</v>
      </c>
      <c r="AE417" s="130"/>
      <c r="AF417" s="130"/>
      <c r="AG417" s="130"/>
      <c r="AH417" s="130"/>
      <c r="AI417" s="130"/>
      <c r="AJ417" s="130"/>
      <c r="AK417" s="130"/>
      <c r="AL417" s="130"/>
      <c r="BC417" s="130"/>
      <c r="BD417" s="130"/>
      <c r="BE417" s="130"/>
      <c r="BF417" s="130"/>
      <c r="BG417" s="130"/>
      <c r="BH417" s="130"/>
      <c r="BI417" s="130"/>
      <c r="BJ417" s="130"/>
      <c r="CA417" s="130"/>
      <c r="CB417" s="130"/>
      <c r="CC417" s="130"/>
      <c r="CD417" s="130"/>
      <c r="CE417" s="130"/>
      <c r="CF417" s="130"/>
      <c r="CG417" s="130"/>
      <c r="CH417" s="130"/>
      <c r="CY417" s="130"/>
      <c r="CZ417" s="130"/>
      <c r="DA417" s="130"/>
      <c r="DB417" s="130"/>
      <c r="DC417" s="130"/>
      <c r="DD417" s="130"/>
      <c r="DE417" s="130"/>
      <c r="DF417" s="130"/>
      <c r="DW417" s="130"/>
      <c r="DX417" s="130"/>
      <c r="DY417" s="130"/>
      <c r="DZ417" s="130"/>
      <c r="EA417" s="130"/>
      <c r="EB417" s="130"/>
      <c r="EC417" s="130"/>
      <c r="ED417" s="130"/>
      <c r="EU417" s="130"/>
      <c r="EV417" s="130"/>
      <c r="EW417" s="130"/>
      <c r="EX417" s="130"/>
      <c r="EY417" s="130"/>
      <c r="EZ417" s="130"/>
      <c r="FA417" s="130"/>
      <c r="FB417" s="130"/>
      <c r="FS417" s="130"/>
      <c r="FT417" s="130"/>
      <c r="FU417" s="130"/>
      <c r="FV417" s="130"/>
      <c r="FW417" s="130"/>
      <c r="FX417" s="130"/>
      <c r="FY417" s="130"/>
      <c r="FZ417" s="130"/>
    </row>
    <row r="418" spans="1:188" s="125" customFormat="1">
      <c r="A418" s="84">
        <v>40</v>
      </c>
      <c r="B418" s="56">
        <v>43081</v>
      </c>
      <c r="C418" s="18"/>
      <c r="D418" s="19" t="s">
        <v>1203</v>
      </c>
      <c r="E418" s="20" t="s">
        <v>462</v>
      </c>
      <c r="F418" s="82" t="s">
        <v>465</v>
      </c>
      <c r="G418" s="58">
        <v>1709</v>
      </c>
      <c r="H418" s="121">
        <f>25000+2289200+130000</f>
        <v>2444200</v>
      </c>
      <c r="I418" s="24">
        <v>2327810</v>
      </c>
      <c r="J418" s="24"/>
      <c r="K418" s="24">
        <f t="shared" si="27"/>
        <v>2327810</v>
      </c>
      <c r="L418" s="123">
        <v>1</v>
      </c>
      <c r="M418" s="24">
        <f t="shared" si="28"/>
        <v>2327810</v>
      </c>
      <c r="N418" s="124">
        <f t="shared" si="29"/>
        <v>0</v>
      </c>
      <c r="O418" s="85" t="s">
        <v>1284</v>
      </c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130"/>
      <c r="AF418" s="130"/>
      <c r="AG418" s="130"/>
      <c r="AH418" s="130"/>
      <c r="AI418" s="130"/>
      <c r="AJ418" s="130"/>
      <c r="AK418" s="130"/>
      <c r="AL418" s="130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130"/>
      <c r="BD418" s="130"/>
      <c r="BE418" s="130"/>
      <c r="BF418" s="130"/>
      <c r="BG418" s="130"/>
      <c r="BH418" s="130"/>
      <c r="BI418" s="130"/>
      <c r="BJ418" s="130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130"/>
      <c r="CB418" s="130"/>
      <c r="CC418" s="130"/>
      <c r="CD418" s="130"/>
      <c r="CE418" s="130"/>
      <c r="CF418" s="130"/>
      <c r="CG418" s="130"/>
      <c r="CH418" s="130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  <c r="CW418" s="3"/>
      <c r="CX418" s="3"/>
      <c r="CY418" s="130"/>
      <c r="CZ418" s="130"/>
      <c r="DA418" s="130"/>
      <c r="DB418" s="130"/>
      <c r="DC418" s="130"/>
      <c r="DD418" s="130"/>
      <c r="DE418" s="130"/>
      <c r="DF418" s="130"/>
      <c r="DG418" s="3"/>
      <c r="DH418" s="3"/>
      <c r="DI418" s="3"/>
      <c r="DJ418" s="3"/>
      <c r="DK418" s="3"/>
      <c r="DL418" s="3"/>
      <c r="DM418" s="3"/>
      <c r="DN418" s="3"/>
      <c r="DO418" s="3"/>
      <c r="DP418" s="3"/>
      <c r="DQ418" s="3"/>
      <c r="DR418" s="3"/>
      <c r="DS418" s="3"/>
      <c r="DT418" s="3"/>
      <c r="DU418" s="3"/>
      <c r="DV418" s="3"/>
      <c r="DW418" s="130"/>
      <c r="DX418" s="130"/>
      <c r="DY418" s="130"/>
      <c r="DZ418" s="130"/>
      <c r="EA418" s="130"/>
      <c r="EB418" s="130"/>
      <c r="EC418" s="130"/>
      <c r="ED418" s="130"/>
      <c r="EE418" s="3"/>
      <c r="EF418" s="3"/>
      <c r="EG418" s="3"/>
      <c r="EH418" s="3"/>
      <c r="EI418" s="3"/>
      <c r="EJ418" s="3"/>
      <c r="EK418" s="3"/>
      <c r="EL418" s="3"/>
      <c r="EM418" s="3"/>
      <c r="EN418" s="3"/>
      <c r="EO418" s="3"/>
      <c r="EP418" s="3"/>
      <c r="EQ418" s="3"/>
      <c r="ER418" s="3"/>
      <c r="ES418" s="3"/>
      <c r="ET418" s="3"/>
      <c r="EU418" s="130"/>
      <c r="EV418" s="130"/>
      <c r="EW418" s="130"/>
      <c r="EX418" s="130"/>
      <c r="EY418" s="130"/>
      <c r="EZ418" s="130"/>
      <c r="FA418" s="130"/>
      <c r="FB418" s="130"/>
      <c r="FC418" s="3"/>
      <c r="FD418" s="3"/>
      <c r="FE418" s="3"/>
      <c r="FF418" s="3"/>
      <c r="FG418" s="3"/>
      <c r="FH418" s="3"/>
      <c r="FI418" s="3"/>
      <c r="FJ418" s="3"/>
      <c r="FK418" s="3"/>
      <c r="FL418" s="3"/>
      <c r="FM418" s="3"/>
      <c r="FN418" s="3"/>
      <c r="FO418" s="3"/>
      <c r="FP418" s="3"/>
      <c r="FQ418" s="3"/>
      <c r="FR418" s="3"/>
      <c r="FS418" s="130"/>
      <c r="FT418" s="130"/>
      <c r="FU418" s="130"/>
      <c r="FV418" s="130"/>
      <c r="FW418" s="130"/>
      <c r="FX418" s="130"/>
      <c r="FY418" s="130"/>
      <c r="FZ418" s="130"/>
      <c r="GA418" s="3"/>
      <c r="GB418" s="3"/>
      <c r="GC418" s="3"/>
      <c r="GD418" s="3"/>
      <c r="GE418" s="3"/>
      <c r="GF418" s="3"/>
    </row>
    <row r="419" spans="1:188" s="3" customFormat="1">
      <c r="A419" s="84">
        <v>41</v>
      </c>
      <c r="B419" s="60">
        <v>43125</v>
      </c>
      <c r="C419" s="18"/>
      <c r="D419" s="19" t="s">
        <v>1203</v>
      </c>
      <c r="E419" s="20" t="s">
        <v>462</v>
      </c>
      <c r="F419" s="62" t="s">
        <v>1308</v>
      </c>
      <c r="G419" s="63">
        <v>1711</v>
      </c>
      <c r="H419" s="121">
        <f>130000+2289200</f>
        <v>2419200</v>
      </c>
      <c r="I419" s="24"/>
      <c r="J419" s="24">
        <f>H419/1.05</f>
        <v>2304000</v>
      </c>
      <c r="K419" s="24">
        <f t="shared" si="27"/>
        <v>2304000</v>
      </c>
      <c r="L419" s="123">
        <v>1</v>
      </c>
      <c r="M419" s="24">
        <f t="shared" si="28"/>
        <v>2304000</v>
      </c>
      <c r="N419" s="124">
        <f t="shared" si="29"/>
        <v>0</v>
      </c>
      <c r="O419" s="85" t="s">
        <v>1284</v>
      </c>
      <c r="P419" s="125"/>
      <c r="Q419" s="125"/>
      <c r="R419" s="125"/>
      <c r="S419" s="125"/>
      <c r="T419" s="125"/>
      <c r="U419" s="125"/>
      <c r="V419" s="125"/>
      <c r="W419" s="125"/>
      <c r="X419" s="125"/>
      <c r="Y419" s="125"/>
      <c r="Z419" s="125"/>
      <c r="AA419" s="125"/>
      <c r="AB419" s="125"/>
      <c r="AC419" s="125"/>
      <c r="AD419" s="125"/>
      <c r="AE419" s="167"/>
      <c r="AF419" s="167"/>
      <c r="AG419" s="167"/>
      <c r="AH419" s="167"/>
      <c r="AI419" s="167"/>
      <c r="AJ419" s="167"/>
      <c r="AK419" s="167"/>
      <c r="AL419" s="167"/>
      <c r="AM419" s="125"/>
      <c r="AN419" s="125"/>
      <c r="AO419" s="125"/>
      <c r="AP419" s="125"/>
      <c r="AQ419" s="125"/>
      <c r="AR419" s="125"/>
      <c r="AS419" s="125"/>
      <c r="AT419" s="125"/>
      <c r="AU419" s="125"/>
      <c r="AV419" s="125"/>
      <c r="AW419" s="125"/>
      <c r="AX419" s="125"/>
      <c r="AY419" s="125"/>
      <c r="AZ419" s="125"/>
      <c r="BA419" s="125"/>
      <c r="BB419" s="125"/>
      <c r="BC419" s="167"/>
      <c r="BD419" s="167"/>
      <c r="BE419" s="167"/>
      <c r="BF419" s="167"/>
      <c r="BG419" s="167"/>
      <c r="BH419" s="167"/>
      <c r="BI419" s="167"/>
      <c r="BJ419" s="167"/>
      <c r="BK419" s="125"/>
      <c r="BL419" s="125"/>
      <c r="BM419" s="125"/>
      <c r="BN419" s="125"/>
      <c r="BO419" s="125"/>
      <c r="BP419" s="125"/>
      <c r="BQ419" s="125"/>
      <c r="BR419" s="125"/>
      <c r="BS419" s="125"/>
      <c r="BT419" s="125"/>
      <c r="BU419" s="125"/>
      <c r="BV419" s="125"/>
      <c r="BW419" s="125"/>
      <c r="BX419" s="125"/>
      <c r="BY419" s="125"/>
      <c r="BZ419" s="125"/>
      <c r="CA419" s="167"/>
      <c r="CB419" s="167"/>
      <c r="CC419" s="167"/>
      <c r="CD419" s="167"/>
      <c r="CE419" s="167"/>
      <c r="CF419" s="167"/>
      <c r="CG419" s="167"/>
      <c r="CH419" s="167"/>
      <c r="CI419" s="125"/>
      <c r="CJ419" s="125"/>
      <c r="CK419" s="125"/>
      <c r="CL419" s="125"/>
      <c r="CM419" s="125"/>
      <c r="CN419" s="125"/>
      <c r="CO419" s="125"/>
      <c r="CP419" s="125"/>
      <c r="CQ419" s="125"/>
      <c r="CR419" s="125"/>
      <c r="CS419" s="125"/>
      <c r="CT419" s="125"/>
      <c r="CU419" s="125"/>
      <c r="CV419" s="125"/>
      <c r="CW419" s="125"/>
      <c r="CX419" s="125"/>
      <c r="CY419" s="167"/>
      <c r="CZ419" s="167"/>
      <c r="DA419" s="167"/>
      <c r="DB419" s="167"/>
      <c r="DC419" s="167"/>
      <c r="DD419" s="167"/>
      <c r="DE419" s="167"/>
      <c r="DF419" s="167"/>
      <c r="DG419" s="125"/>
      <c r="DH419" s="125"/>
      <c r="DI419" s="125"/>
      <c r="DJ419" s="125"/>
      <c r="DK419" s="125"/>
      <c r="DL419" s="125"/>
      <c r="DM419" s="125"/>
      <c r="DN419" s="125"/>
      <c r="DO419" s="125"/>
      <c r="DP419" s="125"/>
      <c r="DQ419" s="125"/>
      <c r="DR419" s="125"/>
      <c r="DS419" s="125"/>
      <c r="DT419" s="125"/>
      <c r="DU419" s="125"/>
      <c r="DV419" s="125"/>
      <c r="DW419" s="167"/>
      <c r="DX419" s="167"/>
      <c r="DY419" s="167"/>
      <c r="DZ419" s="167"/>
      <c r="EA419" s="167"/>
      <c r="EB419" s="167"/>
      <c r="EC419" s="167"/>
      <c r="ED419" s="167"/>
      <c r="EE419" s="125"/>
      <c r="EF419" s="125"/>
      <c r="EG419" s="125"/>
      <c r="EH419" s="125"/>
      <c r="EI419" s="125"/>
      <c r="EJ419" s="125"/>
      <c r="EK419" s="125"/>
      <c r="EL419" s="125"/>
      <c r="EM419" s="125"/>
      <c r="EN419" s="125"/>
      <c r="EO419" s="125"/>
      <c r="EP419" s="125"/>
      <c r="EQ419" s="125"/>
      <c r="ER419" s="125"/>
      <c r="ES419" s="125"/>
      <c r="ET419" s="125"/>
      <c r="EU419" s="167"/>
      <c r="EV419" s="167"/>
      <c r="EW419" s="167"/>
      <c r="EX419" s="167"/>
      <c r="EY419" s="167"/>
      <c r="EZ419" s="167"/>
      <c r="FA419" s="167"/>
      <c r="FB419" s="167"/>
      <c r="FC419" s="125"/>
      <c r="FD419" s="125"/>
      <c r="FE419" s="125"/>
      <c r="FF419" s="125"/>
      <c r="FG419" s="125"/>
      <c r="FH419" s="125"/>
      <c r="FI419" s="125"/>
      <c r="FJ419" s="125"/>
      <c r="FK419" s="125"/>
      <c r="FL419" s="125"/>
      <c r="FM419" s="125"/>
      <c r="FN419" s="125"/>
      <c r="FO419" s="125"/>
      <c r="FP419" s="125"/>
      <c r="FQ419" s="125"/>
      <c r="FR419" s="125"/>
      <c r="FS419" s="167"/>
      <c r="FT419" s="167"/>
      <c r="FU419" s="167"/>
      <c r="FV419" s="167"/>
      <c r="FW419" s="167"/>
      <c r="FX419" s="167"/>
      <c r="FY419" s="167"/>
      <c r="FZ419" s="167"/>
      <c r="GA419" s="125"/>
      <c r="GB419" s="125"/>
      <c r="GC419" s="125"/>
      <c r="GD419" s="125"/>
      <c r="GE419" s="125"/>
      <c r="GF419" s="125"/>
    </row>
    <row r="420" spans="1:188" s="125" customFormat="1">
      <c r="A420" s="84">
        <v>42</v>
      </c>
      <c r="B420" s="56">
        <v>43126</v>
      </c>
      <c r="C420" s="18"/>
      <c r="D420" s="19" t="s">
        <v>1203</v>
      </c>
      <c r="E420" s="20" t="s">
        <v>462</v>
      </c>
      <c r="F420" s="82" t="s">
        <v>1309</v>
      </c>
      <c r="G420" s="58">
        <v>1710</v>
      </c>
      <c r="H420" s="121">
        <f>130000+2289200</f>
        <v>2419200</v>
      </c>
      <c r="I420" s="24"/>
      <c r="J420" s="24">
        <f>H420/1.05</f>
        <v>2304000</v>
      </c>
      <c r="K420" s="24">
        <f t="shared" si="27"/>
        <v>2304000</v>
      </c>
      <c r="L420" s="123">
        <v>1</v>
      </c>
      <c r="M420" s="24">
        <f t="shared" si="28"/>
        <v>2304000</v>
      </c>
      <c r="N420" s="124">
        <f t="shared" si="29"/>
        <v>0</v>
      </c>
      <c r="O420" s="85" t="s">
        <v>1284</v>
      </c>
      <c r="P420" s="3"/>
      <c r="Q420" s="3"/>
      <c r="R420" s="3"/>
      <c r="S420" s="3"/>
      <c r="T420" s="3"/>
      <c r="U420" s="3"/>
      <c r="V420" s="131"/>
      <c r="W420" s="15"/>
      <c r="X420" s="3"/>
      <c r="Y420" s="3"/>
      <c r="Z420" s="3"/>
      <c r="AA420" s="3"/>
      <c r="AB420" s="3"/>
      <c r="AC420" s="131"/>
      <c r="AD420" s="15"/>
      <c r="AE420" s="132"/>
      <c r="AF420" s="133"/>
      <c r="AG420" s="134"/>
      <c r="AH420" s="134"/>
      <c r="AI420" s="135"/>
      <c r="AJ420" s="136"/>
      <c r="AK420" s="137"/>
      <c r="AL420" s="137"/>
      <c r="AM420" s="3"/>
      <c r="AN420" s="138"/>
      <c r="AO420" s="2"/>
      <c r="AP420" s="139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131"/>
      <c r="BB420" s="15"/>
      <c r="BC420" s="132"/>
      <c r="BD420" s="133"/>
      <c r="BE420" s="134"/>
      <c r="BF420" s="134"/>
      <c r="BG420" s="135"/>
      <c r="BH420" s="136"/>
      <c r="BI420" s="137"/>
      <c r="BJ420" s="137"/>
      <c r="BK420" s="3"/>
      <c r="BL420" s="138"/>
      <c r="BM420" s="2"/>
      <c r="BN420" s="139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131"/>
      <c r="BZ420" s="15"/>
      <c r="CA420" s="132"/>
      <c r="CB420" s="133"/>
      <c r="CC420" s="134"/>
      <c r="CD420" s="134"/>
      <c r="CE420" s="135"/>
      <c r="CF420" s="136"/>
      <c r="CG420" s="137"/>
      <c r="CH420" s="137"/>
      <c r="CI420" s="3"/>
      <c r="CJ420" s="138"/>
      <c r="CK420" s="2"/>
      <c r="CL420" s="139"/>
      <c r="CM420" s="3"/>
      <c r="CN420" s="3"/>
      <c r="CO420" s="3"/>
      <c r="CP420" s="3"/>
      <c r="CQ420" s="3"/>
      <c r="CR420" s="3"/>
      <c r="CS420" s="3"/>
      <c r="CT420" s="3"/>
      <c r="CU420" s="3"/>
      <c r="CV420" s="3"/>
      <c r="CW420" s="131"/>
      <c r="CX420" s="15"/>
      <c r="CY420" s="132"/>
      <c r="CZ420" s="133"/>
      <c r="DA420" s="134"/>
      <c r="DB420" s="134"/>
      <c r="DC420" s="135"/>
      <c r="DD420" s="136"/>
      <c r="DE420" s="137"/>
      <c r="DF420" s="137"/>
      <c r="DG420" s="3"/>
      <c r="DH420" s="138"/>
      <c r="DI420" s="2"/>
      <c r="DJ420" s="139"/>
      <c r="DK420" s="3"/>
      <c r="DL420" s="3"/>
      <c r="DM420" s="3"/>
      <c r="DN420" s="3"/>
      <c r="DO420" s="3"/>
      <c r="DP420" s="3"/>
      <c r="DQ420" s="3"/>
      <c r="DR420" s="3"/>
      <c r="DS420" s="3"/>
      <c r="DT420" s="3"/>
      <c r="DU420" s="131"/>
      <c r="DV420" s="15"/>
      <c r="DW420" s="132"/>
      <c r="DX420" s="133"/>
      <c r="DY420" s="134"/>
      <c r="DZ420" s="134"/>
      <c r="EA420" s="135"/>
      <c r="EB420" s="136"/>
      <c r="EC420" s="137"/>
      <c r="ED420" s="137"/>
      <c r="EE420" s="3"/>
      <c r="EF420" s="138"/>
      <c r="EG420" s="2"/>
      <c r="EH420" s="139"/>
      <c r="EI420" s="3"/>
      <c r="EJ420" s="3"/>
      <c r="EK420" s="3"/>
      <c r="EL420" s="3"/>
      <c r="EM420" s="3"/>
      <c r="EN420" s="3"/>
      <c r="EO420" s="3"/>
      <c r="EP420" s="3"/>
      <c r="EQ420" s="3"/>
      <c r="ER420" s="3"/>
      <c r="ES420" s="131"/>
      <c r="ET420" s="15"/>
      <c r="EU420" s="132"/>
      <c r="EV420" s="133"/>
      <c r="EW420" s="134"/>
      <c r="EX420" s="134"/>
      <c r="EY420" s="135"/>
      <c r="EZ420" s="136"/>
      <c r="FA420" s="137"/>
      <c r="FB420" s="137"/>
      <c r="FC420" s="3"/>
      <c r="FD420" s="138"/>
      <c r="FE420" s="2"/>
      <c r="FF420" s="139"/>
      <c r="FG420" s="3"/>
      <c r="FH420" s="3"/>
      <c r="FI420" s="3"/>
      <c r="FJ420" s="3"/>
      <c r="FK420" s="3"/>
      <c r="FL420" s="3"/>
      <c r="FM420" s="3"/>
      <c r="FN420" s="3"/>
      <c r="FO420" s="3"/>
      <c r="FP420" s="3"/>
      <c r="FQ420" s="131"/>
      <c r="FR420" s="15"/>
      <c r="FS420" s="132"/>
      <c r="FT420" s="133"/>
      <c r="FU420" s="134"/>
      <c r="FV420" s="134"/>
      <c r="FW420" s="135"/>
      <c r="FX420" s="136"/>
      <c r="FY420" s="137"/>
      <c r="FZ420" s="137"/>
      <c r="GA420" s="3"/>
      <c r="GB420" s="138"/>
      <c r="GC420" s="2"/>
      <c r="GD420" s="139"/>
      <c r="GE420" s="3"/>
      <c r="GF420" s="3"/>
    </row>
    <row r="421" spans="1:188" s="125" customFormat="1">
      <c r="A421" s="84">
        <v>43</v>
      </c>
      <c r="B421" s="83">
        <v>43125</v>
      </c>
      <c r="C421" s="18"/>
      <c r="D421" s="19" t="s">
        <v>1203</v>
      </c>
      <c r="E421" s="20" t="s">
        <v>467</v>
      </c>
      <c r="F421" s="82" t="s">
        <v>1310</v>
      </c>
      <c r="G421" s="58">
        <v>1710</v>
      </c>
      <c r="H421" s="121">
        <v>2648100</v>
      </c>
      <c r="I421" s="24"/>
      <c r="J421" s="24">
        <f>H421/1.05</f>
        <v>2522000</v>
      </c>
      <c r="K421" s="24">
        <f t="shared" si="27"/>
        <v>2522000</v>
      </c>
      <c r="L421" s="123">
        <v>1</v>
      </c>
      <c r="M421" s="24">
        <f t="shared" si="28"/>
        <v>2522000</v>
      </c>
      <c r="N421" s="124">
        <f t="shared" si="29"/>
        <v>0</v>
      </c>
      <c r="O421" s="85" t="s">
        <v>1284</v>
      </c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130"/>
      <c r="AF421" s="130"/>
      <c r="AG421" s="130"/>
      <c r="AH421" s="130"/>
      <c r="AI421" s="130"/>
      <c r="AJ421" s="130"/>
      <c r="AK421" s="130"/>
      <c r="AL421" s="130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130"/>
      <c r="BD421" s="130"/>
      <c r="BE421" s="130"/>
      <c r="BF421" s="130"/>
      <c r="BG421" s="130"/>
      <c r="BH421" s="130"/>
      <c r="BI421" s="130"/>
      <c r="BJ421" s="130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130"/>
      <c r="CB421" s="130"/>
      <c r="CC421" s="130"/>
      <c r="CD421" s="130"/>
      <c r="CE421" s="130"/>
      <c r="CF421" s="130"/>
      <c r="CG421" s="130"/>
      <c r="CH421" s="130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  <c r="CW421" s="3"/>
      <c r="CX421" s="3"/>
      <c r="CY421" s="130"/>
      <c r="CZ421" s="130"/>
      <c r="DA421" s="130"/>
      <c r="DB421" s="130"/>
      <c r="DC421" s="130"/>
      <c r="DD421" s="130"/>
      <c r="DE421" s="130"/>
      <c r="DF421" s="130"/>
      <c r="DG421" s="3"/>
      <c r="DH421" s="3"/>
      <c r="DI421" s="3"/>
      <c r="DJ421" s="3"/>
      <c r="DK421" s="3"/>
      <c r="DL421" s="3"/>
      <c r="DM421" s="3"/>
      <c r="DN421" s="3"/>
      <c r="DO421" s="3"/>
      <c r="DP421" s="3"/>
      <c r="DQ421" s="3"/>
      <c r="DR421" s="3"/>
      <c r="DS421" s="3"/>
      <c r="DT421" s="3"/>
      <c r="DU421" s="3"/>
      <c r="DV421" s="3"/>
      <c r="DW421" s="130"/>
      <c r="DX421" s="130"/>
      <c r="DY421" s="130"/>
      <c r="DZ421" s="130"/>
      <c r="EA421" s="130"/>
      <c r="EB421" s="130"/>
      <c r="EC421" s="130"/>
      <c r="ED421" s="130"/>
      <c r="EE421" s="3"/>
      <c r="EF421" s="3"/>
      <c r="EG421" s="3"/>
      <c r="EH421" s="3"/>
      <c r="EI421" s="3"/>
      <c r="EJ421" s="3"/>
      <c r="EK421" s="3"/>
      <c r="EL421" s="3"/>
      <c r="EM421" s="3"/>
      <c r="EN421" s="3"/>
      <c r="EO421" s="3"/>
      <c r="EP421" s="3"/>
      <c r="EQ421" s="3"/>
      <c r="ER421" s="3"/>
      <c r="ES421" s="3"/>
      <c r="ET421" s="3"/>
      <c r="EU421" s="130"/>
      <c r="EV421" s="130"/>
      <c r="EW421" s="130"/>
      <c r="EX421" s="130"/>
      <c r="EY421" s="130"/>
      <c r="EZ421" s="130"/>
      <c r="FA421" s="130"/>
      <c r="FB421" s="130"/>
      <c r="FC421" s="3"/>
      <c r="FD421" s="3"/>
      <c r="FE421" s="3"/>
      <c r="FF421" s="3"/>
      <c r="FG421" s="3"/>
      <c r="FH421" s="3"/>
      <c r="FI421" s="3"/>
      <c r="FJ421" s="3"/>
      <c r="FK421" s="3"/>
      <c r="FL421" s="3"/>
      <c r="FM421" s="3"/>
      <c r="FN421" s="3"/>
      <c r="FO421" s="3"/>
      <c r="FP421" s="3"/>
      <c r="FQ421" s="3"/>
      <c r="FR421" s="3"/>
      <c r="FS421" s="130"/>
      <c r="FT421" s="130"/>
      <c r="FU421" s="130"/>
      <c r="FV421" s="130"/>
      <c r="FW421" s="130"/>
      <c r="FX421" s="130"/>
      <c r="FY421" s="130"/>
      <c r="FZ421" s="130"/>
      <c r="GA421" s="3"/>
      <c r="GB421" s="3"/>
      <c r="GC421" s="3"/>
      <c r="GD421" s="3"/>
      <c r="GE421" s="3"/>
      <c r="GF421" s="3"/>
    </row>
    <row r="422" spans="1:188" s="125" customFormat="1">
      <c r="A422" s="84">
        <v>44</v>
      </c>
      <c r="B422" s="56">
        <v>43125</v>
      </c>
      <c r="C422" s="18"/>
      <c r="D422" s="19" t="s">
        <v>1203</v>
      </c>
      <c r="E422" s="20" t="s">
        <v>467</v>
      </c>
      <c r="F422" s="82" t="s">
        <v>1311</v>
      </c>
      <c r="G422" s="63">
        <v>1710</v>
      </c>
      <c r="H422" s="121">
        <v>2648100</v>
      </c>
      <c r="I422" s="24"/>
      <c r="J422" s="24">
        <f>H422/1.05</f>
        <v>2522000</v>
      </c>
      <c r="K422" s="24">
        <f t="shared" si="27"/>
        <v>2522000</v>
      </c>
      <c r="L422" s="123">
        <v>1</v>
      </c>
      <c r="M422" s="24">
        <f t="shared" si="28"/>
        <v>2522000</v>
      </c>
      <c r="N422" s="124">
        <f t="shared" si="29"/>
        <v>0</v>
      </c>
      <c r="O422" s="85" t="s">
        <v>1284</v>
      </c>
      <c r="P422" s="3"/>
      <c r="Q422" s="3"/>
      <c r="R422" s="3"/>
      <c r="S422" s="3"/>
      <c r="T422" s="3"/>
      <c r="U422" s="3"/>
      <c r="V422" s="131"/>
      <c r="W422" s="15"/>
      <c r="X422" s="3"/>
      <c r="Y422" s="3"/>
      <c r="Z422" s="3"/>
      <c r="AA422" s="3"/>
      <c r="AB422" s="3"/>
      <c r="AC422" s="131"/>
      <c r="AD422" s="15"/>
      <c r="AE422" s="99"/>
      <c r="AF422" s="149"/>
      <c r="AG422" s="134"/>
      <c r="AH422" s="134"/>
      <c r="AI422" s="137"/>
      <c r="AJ422" s="150"/>
      <c r="AK422" s="137"/>
      <c r="AL422" s="137"/>
      <c r="AM422" s="3"/>
      <c r="AN422" s="138"/>
      <c r="AO422" s="2"/>
      <c r="AP422" s="139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131"/>
      <c r="BB422" s="15"/>
      <c r="BC422" s="99"/>
      <c r="BD422" s="149"/>
      <c r="BE422" s="134"/>
      <c r="BF422" s="134"/>
      <c r="BG422" s="137"/>
      <c r="BH422" s="150"/>
      <c r="BI422" s="137"/>
      <c r="BJ422" s="137"/>
      <c r="BK422" s="3"/>
      <c r="BL422" s="138"/>
      <c r="BM422" s="2"/>
      <c r="BN422" s="139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131"/>
      <c r="BZ422" s="15"/>
      <c r="CA422" s="99"/>
      <c r="CB422" s="149"/>
      <c r="CC422" s="134"/>
      <c r="CD422" s="134"/>
      <c r="CE422" s="137"/>
      <c r="CF422" s="150"/>
      <c r="CG422" s="137"/>
      <c r="CH422" s="137"/>
      <c r="CI422" s="3"/>
      <c r="CJ422" s="138"/>
      <c r="CK422" s="2"/>
      <c r="CL422" s="139"/>
      <c r="CM422" s="3"/>
      <c r="CN422" s="3"/>
      <c r="CO422" s="3"/>
      <c r="CP422" s="3"/>
      <c r="CQ422" s="3"/>
      <c r="CR422" s="3"/>
      <c r="CS422" s="3"/>
      <c r="CT422" s="3"/>
      <c r="CU422" s="3"/>
      <c r="CV422" s="3"/>
      <c r="CW422" s="131"/>
      <c r="CX422" s="15"/>
      <c r="CY422" s="99"/>
      <c r="CZ422" s="149"/>
      <c r="DA422" s="134"/>
      <c r="DB422" s="134"/>
      <c r="DC422" s="137"/>
      <c r="DD422" s="150"/>
      <c r="DE422" s="137"/>
      <c r="DF422" s="137"/>
      <c r="DG422" s="3"/>
      <c r="DH422" s="138"/>
      <c r="DI422" s="2"/>
      <c r="DJ422" s="139"/>
      <c r="DK422" s="3"/>
      <c r="DL422" s="3"/>
      <c r="DM422" s="3"/>
      <c r="DN422" s="3"/>
      <c r="DO422" s="3"/>
      <c r="DP422" s="3"/>
      <c r="DQ422" s="3"/>
      <c r="DR422" s="3"/>
      <c r="DS422" s="3"/>
      <c r="DT422" s="3"/>
      <c r="DU422" s="131"/>
      <c r="DV422" s="15"/>
      <c r="DW422" s="99"/>
      <c r="DX422" s="149"/>
      <c r="DY422" s="134"/>
      <c r="DZ422" s="134"/>
      <c r="EA422" s="137"/>
      <c r="EB422" s="150"/>
      <c r="EC422" s="137"/>
      <c r="ED422" s="137"/>
      <c r="EE422" s="3"/>
      <c r="EF422" s="138"/>
      <c r="EG422" s="2"/>
      <c r="EH422" s="139"/>
      <c r="EI422" s="3"/>
      <c r="EJ422" s="3"/>
      <c r="EK422" s="3"/>
      <c r="EL422" s="3"/>
      <c r="EM422" s="3"/>
      <c r="EN422" s="3"/>
      <c r="EO422" s="3"/>
      <c r="EP422" s="3"/>
      <c r="EQ422" s="3"/>
      <c r="ER422" s="3"/>
      <c r="ES422" s="131"/>
      <c r="ET422" s="15"/>
      <c r="EU422" s="99"/>
      <c r="EV422" s="149"/>
      <c r="EW422" s="134"/>
      <c r="EX422" s="134"/>
      <c r="EY422" s="137"/>
      <c r="EZ422" s="150"/>
      <c r="FA422" s="137"/>
      <c r="FB422" s="137"/>
      <c r="FC422" s="3"/>
      <c r="FD422" s="138"/>
      <c r="FE422" s="2"/>
      <c r="FF422" s="139"/>
      <c r="FG422" s="3"/>
      <c r="FH422" s="3"/>
      <c r="FI422" s="3"/>
      <c r="FJ422" s="3"/>
      <c r="FK422" s="3"/>
      <c r="FL422" s="3"/>
      <c r="FM422" s="3"/>
      <c r="FN422" s="3"/>
      <c r="FO422" s="3"/>
      <c r="FP422" s="3"/>
      <c r="FQ422" s="131"/>
      <c r="FR422" s="15"/>
      <c r="FS422" s="99"/>
      <c r="FT422" s="149"/>
      <c r="FU422" s="134"/>
      <c r="FV422" s="134"/>
      <c r="FW422" s="137"/>
      <c r="FX422" s="150"/>
      <c r="FY422" s="137"/>
      <c r="FZ422" s="137"/>
      <c r="GA422" s="3"/>
      <c r="GB422" s="138"/>
      <c r="GC422" s="2"/>
      <c r="GD422" s="139"/>
      <c r="GE422" s="3"/>
      <c r="GF422" s="3"/>
    </row>
    <row r="423" spans="1:188" s="125" customFormat="1">
      <c r="A423" s="84">
        <v>45</v>
      </c>
      <c r="B423" s="56">
        <v>43096</v>
      </c>
      <c r="C423" s="18"/>
      <c r="D423" s="19" t="s">
        <v>1205</v>
      </c>
      <c r="E423" s="20" t="s">
        <v>473</v>
      </c>
      <c r="F423" s="62" t="s">
        <v>474</v>
      </c>
      <c r="G423" s="63">
        <v>1709</v>
      </c>
      <c r="H423" s="121">
        <v>2246600</v>
      </c>
      <c r="I423" s="24">
        <v>2139619</v>
      </c>
      <c r="J423" s="24"/>
      <c r="K423" s="24">
        <f t="shared" si="27"/>
        <v>2139619</v>
      </c>
      <c r="L423" s="123">
        <v>1</v>
      </c>
      <c r="M423" s="24">
        <f t="shared" si="28"/>
        <v>2139619</v>
      </c>
      <c r="N423" s="124">
        <f t="shared" si="29"/>
        <v>0</v>
      </c>
      <c r="O423" s="85" t="s">
        <v>1284</v>
      </c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130"/>
      <c r="AF423" s="130"/>
      <c r="AG423" s="130"/>
      <c r="AH423" s="130"/>
      <c r="AI423" s="130"/>
      <c r="AJ423" s="130"/>
      <c r="AK423" s="130"/>
      <c r="AL423" s="130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130"/>
      <c r="BD423" s="130"/>
      <c r="BE423" s="130"/>
      <c r="BF423" s="130"/>
      <c r="BG423" s="130"/>
      <c r="BH423" s="130"/>
      <c r="BI423" s="130"/>
      <c r="BJ423" s="130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130"/>
      <c r="CB423" s="130"/>
      <c r="CC423" s="130"/>
      <c r="CD423" s="130"/>
      <c r="CE423" s="130"/>
      <c r="CF423" s="130"/>
      <c r="CG423" s="130"/>
      <c r="CH423" s="130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  <c r="CW423" s="3"/>
      <c r="CX423" s="3"/>
      <c r="CY423" s="130"/>
      <c r="CZ423" s="130"/>
      <c r="DA423" s="130"/>
      <c r="DB423" s="130"/>
      <c r="DC423" s="130"/>
      <c r="DD423" s="130"/>
      <c r="DE423" s="130"/>
      <c r="DF423" s="130"/>
      <c r="DG423" s="3"/>
      <c r="DH423" s="3"/>
      <c r="DI423" s="3"/>
      <c r="DJ423" s="3"/>
      <c r="DK423" s="3"/>
      <c r="DL423" s="3"/>
      <c r="DM423" s="3"/>
      <c r="DN423" s="3"/>
      <c r="DO423" s="3"/>
      <c r="DP423" s="3"/>
      <c r="DQ423" s="3"/>
      <c r="DR423" s="3"/>
      <c r="DS423" s="3"/>
      <c r="DT423" s="3"/>
      <c r="DU423" s="3"/>
      <c r="DV423" s="3"/>
      <c r="DW423" s="130"/>
      <c r="DX423" s="130"/>
      <c r="DY423" s="130"/>
      <c r="DZ423" s="130"/>
      <c r="EA423" s="130"/>
      <c r="EB423" s="130"/>
      <c r="EC423" s="130"/>
      <c r="ED423" s="130"/>
      <c r="EE423" s="3"/>
      <c r="EF423" s="3"/>
      <c r="EG423" s="3"/>
      <c r="EH423" s="3"/>
      <c r="EI423" s="3"/>
      <c r="EJ423" s="3"/>
      <c r="EK423" s="3"/>
      <c r="EL423" s="3"/>
      <c r="EM423" s="3"/>
      <c r="EN423" s="3"/>
      <c r="EO423" s="3"/>
      <c r="EP423" s="3"/>
      <c r="EQ423" s="3"/>
      <c r="ER423" s="3"/>
      <c r="ES423" s="3"/>
      <c r="ET423" s="3"/>
      <c r="EU423" s="130"/>
      <c r="EV423" s="130"/>
      <c r="EW423" s="130"/>
      <c r="EX423" s="130"/>
      <c r="EY423" s="130"/>
      <c r="EZ423" s="130"/>
      <c r="FA423" s="130"/>
      <c r="FB423" s="130"/>
      <c r="FC423" s="3"/>
      <c r="FD423" s="3"/>
      <c r="FE423" s="3"/>
      <c r="FF423" s="3"/>
      <c r="FG423" s="3"/>
      <c r="FH423" s="3"/>
      <c r="FI423" s="3"/>
      <c r="FJ423" s="3"/>
      <c r="FK423" s="3"/>
      <c r="FL423" s="3"/>
      <c r="FM423" s="3"/>
      <c r="FN423" s="3"/>
      <c r="FO423" s="3"/>
      <c r="FP423" s="3"/>
      <c r="FQ423" s="3"/>
      <c r="FR423" s="3"/>
      <c r="FS423" s="130"/>
      <c r="FT423" s="130"/>
      <c r="FU423" s="130"/>
      <c r="FV423" s="130"/>
      <c r="FW423" s="130"/>
      <c r="FX423" s="130"/>
      <c r="FY423" s="130"/>
      <c r="FZ423" s="130"/>
      <c r="GA423" s="3"/>
      <c r="GB423" s="3"/>
      <c r="GC423" s="3"/>
      <c r="GD423" s="3"/>
      <c r="GE423" s="3"/>
      <c r="GF423" s="3"/>
    </row>
    <row r="424" spans="1:188" s="125" customFormat="1">
      <c r="A424" s="84">
        <v>46</v>
      </c>
      <c r="B424" s="60">
        <v>43116</v>
      </c>
      <c r="C424" s="18"/>
      <c r="D424" s="19" t="s">
        <v>1205</v>
      </c>
      <c r="E424" s="20" t="s">
        <v>473</v>
      </c>
      <c r="F424" s="168" t="s">
        <v>1312</v>
      </c>
      <c r="G424" s="63">
        <v>1709</v>
      </c>
      <c r="H424" s="121">
        <v>2220000</v>
      </c>
      <c r="I424" s="24"/>
      <c r="J424" s="24">
        <f>H424/1.05</f>
        <v>2114285.7142857141</v>
      </c>
      <c r="K424" s="24">
        <f t="shared" si="27"/>
        <v>2114285.7142857141</v>
      </c>
      <c r="L424" s="123">
        <v>1</v>
      </c>
      <c r="M424" s="24">
        <f t="shared" si="28"/>
        <v>2114285.7142857141</v>
      </c>
      <c r="N424" s="124">
        <f t="shared" si="29"/>
        <v>0</v>
      </c>
      <c r="O424" s="85" t="s">
        <v>1284</v>
      </c>
      <c r="P424" s="3"/>
      <c r="Q424" s="3"/>
      <c r="R424" s="3"/>
      <c r="S424" s="3"/>
      <c r="T424" s="3"/>
      <c r="U424" s="3"/>
      <c r="V424" s="131"/>
      <c r="W424" s="15"/>
      <c r="X424" s="3"/>
      <c r="Y424" s="3"/>
      <c r="Z424" s="3"/>
      <c r="AA424" s="3"/>
      <c r="AB424" s="3"/>
      <c r="AC424" s="131"/>
      <c r="AD424" s="15"/>
      <c r="AE424" s="99"/>
      <c r="AF424" s="149"/>
      <c r="AG424" s="134"/>
      <c r="AH424" s="134"/>
      <c r="AI424" s="137"/>
      <c r="AJ424" s="150"/>
      <c r="AK424" s="137"/>
      <c r="AL424" s="137"/>
      <c r="AM424" s="3"/>
      <c r="AN424" s="138"/>
      <c r="AO424" s="2"/>
      <c r="AP424" s="139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131"/>
      <c r="BB424" s="15"/>
      <c r="BC424" s="99"/>
      <c r="BD424" s="149"/>
      <c r="BE424" s="134"/>
      <c r="BF424" s="134"/>
      <c r="BG424" s="137"/>
      <c r="BH424" s="150"/>
      <c r="BI424" s="137"/>
      <c r="BJ424" s="137"/>
      <c r="BK424" s="3"/>
      <c r="BL424" s="138"/>
      <c r="BM424" s="2"/>
      <c r="BN424" s="139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131"/>
      <c r="BZ424" s="15"/>
      <c r="CA424" s="99"/>
      <c r="CB424" s="149"/>
      <c r="CC424" s="134"/>
      <c r="CD424" s="134"/>
      <c r="CE424" s="137"/>
      <c r="CF424" s="150"/>
      <c r="CG424" s="137"/>
      <c r="CH424" s="137"/>
      <c r="CI424" s="3"/>
      <c r="CJ424" s="138"/>
      <c r="CK424" s="2"/>
      <c r="CL424" s="139"/>
      <c r="CM424" s="3"/>
      <c r="CN424" s="3"/>
      <c r="CO424" s="3"/>
      <c r="CP424" s="3"/>
      <c r="CQ424" s="3"/>
      <c r="CR424" s="3"/>
      <c r="CS424" s="3"/>
      <c r="CT424" s="3"/>
      <c r="CU424" s="3"/>
      <c r="CV424" s="3"/>
      <c r="CW424" s="131"/>
      <c r="CX424" s="15"/>
      <c r="CY424" s="99"/>
      <c r="CZ424" s="149"/>
      <c r="DA424" s="134"/>
      <c r="DB424" s="134"/>
      <c r="DC424" s="137"/>
      <c r="DD424" s="150"/>
      <c r="DE424" s="137"/>
      <c r="DF424" s="137"/>
      <c r="DG424" s="3"/>
      <c r="DH424" s="138"/>
      <c r="DI424" s="2"/>
      <c r="DJ424" s="139"/>
      <c r="DK424" s="3"/>
      <c r="DL424" s="3"/>
      <c r="DM424" s="3"/>
      <c r="DN424" s="3"/>
      <c r="DO424" s="3"/>
      <c r="DP424" s="3"/>
      <c r="DQ424" s="3"/>
      <c r="DR424" s="3"/>
      <c r="DS424" s="3"/>
      <c r="DT424" s="3"/>
      <c r="DU424" s="131"/>
      <c r="DV424" s="15"/>
      <c r="DW424" s="99"/>
      <c r="DX424" s="149"/>
      <c r="DY424" s="134"/>
      <c r="DZ424" s="134"/>
      <c r="EA424" s="137"/>
      <c r="EB424" s="150"/>
      <c r="EC424" s="137"/>
      <c r="ED424" s="137"/>
      <c r="EE424" s="3"/>
      <c r="EF424" s="138"/>
      <c r="EG424" s="2"/>
      <c r="EH424" s="139"/>
      <c r="EI424" s="3"/>
      <c r="EJ424" s="3"/>
      <c r="EK424" s="3"/>
      <c r="EL424" s="3"/>
      <c r="EM424" s="3"/>
      <c r="EN424" s="3"/>
      <c r="EO424" s="3"/>
      <c r="EP424" s="3"/>
      <c r="EQ424" s="3"/>
      <c r="ER424" s="3"/>
      <c r="ES424" s="131"/>
      <c r="ET424" s="15"/>
      <c r="EU424" s="99"/>
      <c r="EV424" s="149"/>
      <c r="EW424" s="134"/>
      <c r="EX424" s="134"/>
      <c r="EY424" s="137"/>
      <c r="EZ424" s="150"/>
      <c r="FA424" s="137"/>
      <c r="FB424" s="137"/>
      <c r="FC424" s="3"/>
      <c r="FD424" s="138"/>
      <c r="FE424" s="2"/>
      <c r="FF424" s="139"/>
      <c r="FG424" s="3"/>
      <c r="FH424" s="3"/>
      <c r="FI424" s="3"/>
      <c r="FJ424" s="3"/>
      <c r="FK424" s="3"/>
      <c r="FL424" s="3"/>
      <c r="FM424" s="3"/>
      <c r="FN424" s="3"/>
      <c r="FO424" s="3"/>
      <c r="FP424" s="3"/>
      <c r="FQ424" s="131"/>
      <c r="FR424" s="15"/>
      <c r="FS424" s="99"/>
      <c r="FT424" s="149"/>
      <c r="FU424" s="134"/>
      <c r="FV424" s="134"/>
      <c r="FW424" s="137"/>
      <c r="FX424" s="150"/>
      <c r="FY424" s="137"/>
      <c r="FZ424" s="137"/>
      <c r="GA424" s="3"/>
      <c r="GB424" s="138"/>
      <c r="GC424" s="2"/>
      <c r="GD424" s="139"/>
      <c r="GE424" s="3"/>
      <c r="GF424" s="3"/>
    </row>
    <row r="425" spans="1:188" s="125" customFormat="1">
      <c r="A425" s="84">
        <v>47</v>
      </c>
      <c r="B425" s="83">
        <v>43118</v>
      </c>
      <c r="C425" s="18"/>
      <c r="D425" s="19" t="s">
        <v>1206</v>
      </c>
      <c r="E425" s="20" t="s">
        <v>480</v>
      </c>
      <c r="F425" s="82" t="s">
        <v>1313</v>
      </c>
      <c r="G425" s="63">
        <v>1708</v>
      </c>
      <c r="H425" s="121">
        <v>2570000</v>
      </c>
      <c r="I425" s="24"/>
      <c r="J425" s="24">
        <f>H425/1.05</f>
        <v>2447619.0476190476</v>
      </c>
      <c r="K425" s="24">
        <f t="shared" ref="K425:K488" si="30">I425+J425</f>
        <v>2447619.0476190476</v>
      </c>
      <c r="L425" s="123">
        <v>1</v>
      </c>
      <c r="M425" s="24">
        <f t="shared" ref="M425:M460" si="31">K425*L425</f>
        <v>2447619.0476190476</v>
      </c>
      <c r="N425" s="124">
        <f t="shared" ref="N425:N488" si="32">K425-M425</f>
        <v>0</v>
      </c>
      <c r="O425" s="85" t="s">
        <v>1284</v>
      </c>
      <c r="V425" s="187"/>
      <c r="W425" s="188"/>
      <c r="AC425" s="187"/>
      <c r="AD425" s="188"/>
      <c r="AE425" s="194"/>
      <c r="AF425" s="195"/>
      <c r="AG425" s="191"/>
      <c r="AH425" s="191"/>
      <c r="AI425" s="183"/>
      <c r="AJ425" s="193"/>
      <c r="AK425" s="183"/>
      <c r="AL425" s="183"/>
      <c r="AN425" s="184"/>
      <c r="AO425" s="185"/>
      <c r="AP425" s="186"/>
      <c r="BA425" s="187"/>
      <c r="BB425" s="188"/>
      <c r="BC425" s="194"/>
      <c r="BD425" s="195"/>
      <c r="BE425" s="191"/>
      <c r="BF425" s="191"/>
      <c r="BG425" s="183"/>
      <c r="BH425" s="193"/>
      <c r="BI425" s="183"/>
      <c r="BJ425" s="183"/>
      <c r="BL425" s="184"/>
      <c r="BM425" s="185"/>
      <c r="BN425" s="186"/>
      <c r="BY425" s="187"/>
      <c r="BZ425" s="188"/>
      <c r="CA425" s="194"/>
      <c r="CB425" s="195"/>
      <c r="CC425" s="191"/>
      <c r="CD425" s="191"/>
      <c r="CE425" s="183"/>
      <c r="CF425" s="193"/>
      <c r="CG425" s="183"/>
      <c r="CH425" s="183"/>
      <c r="CJ425" s="184"/>
      <c r="CK425" s="185"/>
      <c r="CL425" s="186"/>
      <c r="CW425" s="187"/>
      <c r="CX425" s="188"/>
      <c r="CY425" s="194"/>
      <c r="CZ425" s="195"/>
      <c r="DA425" s="191"/>
      <c r="DB425" s="191"/>
      <c r="DC425" s="183"/>
      <c r="DD425" s="193"/>
      <c r="DE425" s="183"/>
      <c r="DF425" s="183"/>
      <c r="DH425" s="184"/>
      <c r="DI425" s="185"/>
      <c r="DJ425" s="186"/>
      <c r="DU425" s="187"/>
      <c r="DV425" s="188"/>
      <c r="DW425" s="194"/>
      <c r="DX425" s="195"/>
      <c r="DY425" s="191"/>
      <c r="DZ425" s="191"/>
      <c r="EA425" s="183"/>
      <c r="EB425" s="193"/>
      <c r="EC425" s="183"/>
      <c r="ED425" s="183"/>
      <c r="EF425" s="184"/>
      <c r="EG425" s="185"/>
      <c r="EH425" s="186"/>
      <c r="ES425" s="187"/>
      <c r="ET425" s="188"/>
      <c r="EU425" s="194"/>
      <c r="EV425" s="195"/>
      <c r="EW425" s="191"/>
      <c r="EX425" s="191"/>
      <c r="EY425" s="183"/>
      <c r="EZ425" s="193"/>
      <c r="FA425" s="183"/>
      <c r="FB425" s="183"/>
      <c r="FD425" s="184"/>
      <c r="FE425" s="185"/>
      <c r="FF425" s="186"/>
      <c r="FQ425" s="187"/>
      <c r="FR425" s="188"/>
      <c r="FS425" s="194"/>
      <c r="FT425" s="195"/>
      <c r="FU425" s="191"/>
      <c r="FV425" s="191"/>
      <c r="FW425" s="183"/>
      <c r="FX425" s="193"/>
      <c r="FY425" s="183"/>
      <c r="FZ425" s="183"/>
      <c r="GB425" s="184"/>
      <c r="GC425" s="185"/>
      <c r="GD425" s="186"/>
    </row>
    <row r="426" spans="1:188" s="125" customFormat="1">
      <c r="A426" s="84">
        <v>48</v>
      </c>
      <c r="B426" s="60">
        <v>43125</v>
      </c>
      <c r="C426" s="18"/>
      <c r="D426" s="19" t="s">
        <v>1206</v>
      </c>
      <c r="E426" s="20" t="s">
        <v>480</v>
      </c>
      <c r="F426" s="168" t="s">
        <v>1314</v>
      </c>
      <c r="G426" s="63">
        <v>1709</v>
      </c>
      <c r="H426" s="121">
        <v>2570000</v>
      </c>
      <c r="I426" s="24"/>
      <c r="J426" s="24">
        <f>H426/1.05</f>
        <v>2447619.0476190476</v>
      </c>
      <c r="K426" s="24">
        <f t="shared" si="30"/>
        <v>2447619.0476190476</v>
      </c>
      <c r="L426" s="123">
        <v>1</v>
      </c>
      <c r="M426" s="24">
        <f t="shared" si="31"/>
        <v>2447619.0476190476</v>
      </c>
      <c r="N426" s="124">
        <f t="shared" si="32"/>
        <v>0</v>
      </c>
      <c r="O426" s="85" t="s">
        <v>1284</v>
      </c>
      <c r="V426" s="187"/>
      <c r="W426" s="188"/>
      <c r="AC426" s="187"/>
      <c r="AD426" s="188"/>
      <c r="AE426" s="194"/>
      <c r="AF426" s="195"/>
      <c r="AG426" s="191"/>
      <c r="AH426" s="191"/>
      <c r="AI426" s="183"/>
      <c r="AJ426" s="193"/>
      <c r="AK426" s="183"/>
      <c r="AL426" s="183"/>
      <c r="AN426" s="184"/>
      <c r="AO426" s="185"/>
      <c r="AP426" s="186"/>
      <c r="BA426" s="187"/>
      <c r="BB426" s="188"/>
      <c r="BC426" s="194"/>
      <c r="BD426" s="195"/>
      <c r="BE426" s="191"/>
      <c r="BF426" s="191"/>
      <c r="BG426" s="183"/>
      <c r="BH426" s="193"/>
      <c r="BI426" s="183"/>
      <c r="BJ426" s="183"/>
      <c r="BL426" s="184"/>
      <c r="BM426" s="185"/>
      <c r="BN426" s="186"/>
      <c r="BY426" s="187"/>
      <c r="BZ426" s="188"/>
      <c r="CA426" s="194"/>
      <c r="CB426" s="195"/>
      <c r="CC426" s="191"/>
      <c r="CD426" s="191"/>
      <c r="CE426" s="183"/>
      <c r="CF426" s="193"/>
      <c r="CG426" s="183"/>
      <c r="CH426" s="183"/>
      <c r="CJ426" s="184"/>
      <c r="CK426" s="185"/>
      <c r="CL426" s="186"/>
      <c r="CW426" s="187"/>
      <c r="CX426" s="188"/>
      <c r="CY426" s="194"/>
      <c r="CZ426" s="195"/>
      <c r="DA426" s="191"/>
      <c r="DB426" s="191"/>
      <c r="DC426" s="183"/>
      <c r="DD426" s="193"/>
      <c r="DE426" s="183"/>
      <c r="DF426" s="183"/>
      <c r="DH426" s="184"/>
      <c r="DI426" s="185"/>
      <c r="DJ426" s="186"/>
      <c r="DU426" s="187"/>
      <c r="DV426" s="188"/>
      <c r="DW426" s="194"/>
      <c r="DX426" s="195"/>
      <c r="DY426" s="191"/>
      <c r="DZ426" s="191"/>
      <c r="EA426" s="183"/>
      <c r="EB426" s="193"/>
      <c r="EC426" s="183"/>
      <c r="ED426" s="183"/>
      <c r="EF426" s="184"/>
      <c r="EG426" s="185"/>
      <c r="EH426" s="186"/>
      <c r="ES426" s="187"/>
      <c r="ET426" s="188"/>
      <c r="EU426" s="194"/>
      <c r="EV426" s="195"/>
      <c r="EW426" s="191"/>
      <c r="EX426" s="191"/>
      <c r="EY426" s="183"/>
      <c r="EZ426" s="193"/>
      <c r="FA426" s="183"/>
      <c r="FB426" s="183"/>
      <c r="FD426" s="184"/>
      <c r="FE426" s="185"/>
      <c r="FF426" s="186"/>
      <c r="FQ426" s="187"/>
      <c r="FR426" s="188"/>
      <c r="FS426" s="194"/>
      <c r="FT426" s="195"/>
      <c r="FU426" s="191"/>
      <c r="FV426" s="191"/>
      <c r="FW426" s="183"/>
      <c r="FX426" s="193"/>
      <c r="FY426" s="183"/>
      <c r="FZ426" s="183"/>
      <c r="GB426" s="184"/>
      <c r="GC426" s="185"/>
      <c r="GD426" s="186"/>
    </row>
    <row r="427" spans="1:188" s="125" customFormat="1">
      <c r="A427" s="84">
        <v>49</v>
      </c>
      <c r="B427" s="56">
        <v>43125</v>
      </c>
      <c r="C427" s="18"/>
      <c r="D427" s="19" t="s">
        <v>1206</v>
      </c>
      <c r="E427" s="20" t="s">
        <v>480</v>
      </c>
      <c r="F427" s="82" t="s">
        <v>1315</v>
      </c>
      <c r="G427" s="58">
        <v>1709</v>
      </c>
      <c r="H427" s="121">
        <v>2570000</v>
      </c>
      <c r="I427" s="24"/>
      <c r="J427" s="24">
        <f>H427/1.05</f>
        <v>2447619.0476190476</v>
      </c>
      <c r="K427" s="24">
        <f t="shared" si="30"/>
        <v>2447619.0476190476</v>
      </c>
      <c r="L427" s="123">
        <v>1</v>
      </c>
      <c r="M427" s="24">
        <f t="shared" si="31"/>
        <v>2447619.0476190476</v>
      </c>
      <c r="N427" s="124">
        <f t="shared" si="32"/>
        <v>0</v>
      </c>
      <c r="O427" s="85" t="s">
        <v>1284</v>
      </c>
      <c r="V427" s="187"/>
      <c r="W427" s="188"/>
      <c r="AC427" s="187"/>
      <c r="AD427" s="188"/>
      <c r="AE427" s="194"/>
      <c r="AF427" s="195"/>
      <c r="AG427" s="191"/>
      <c r="AH427" s="191"/>
      <c r="AI427" s="183"/>
      <c r="AJ427" s="193"/>
      <c r="AK427" s="183"/>
      <c r="AL427" s="183"/>
      <c r="AN427" s="184"/>
      <c r="AO427" s="185"/>
      <c r="AP427" s="186"/>
      <c r="BA427" s="187"/>
      <c r="BB427" s="188"/>
      <c r="BC427" s="194"/>
      <c r="BD427" s="195"/>
      <c r="BE427" s="191"/>
      <c r="BF427" s="191"/>
      <c r="BG427" s="183"/>
      <c r="BH427" s="193"/>
      <c r="BI427" s="183"/>
      <c r="BJ427" s="183"/>
      <c r="BL427" s="184"/>
      <c r="BM427" s="185"/>
      <c r="BN427" s="186"/>
      <c r="BY427" s="187"/>
      <c r="BZ427" s="188"/>
      <c r="CA427" s="194"/>
      <c r="CB427" s="195"/>
      <c r="CC427" s="191"/>
      <c r="CD427" s="191"/>
      <c r="CE427" s="183"/>
      <c r="CF427" s="193"/>
      <c r="CG427" s="183"/>
      <c r="CH427" s="183"/>
      <c r="CJ427" s="184"/>
      <c r="CK427" s="185"/>
      <c r="CL427" s="186"/>
      <c r="CW427" s="187"/>
      <c r="CX427" s="188"/>
      <c r="CY427" s="194"/>
      <c r="CZ427" s="195"/>
      <c r="DA427" s="191"/>
      <c r="DB427" s="191"/>
      <c r="DC427" s="183"/>
      <c r="DD427" s="193"/>
      <c r="DE427" s="183"/>
      <c r="DF427" s="183"/>
      <c r="DH427" s="184"/>
      <c r="DI427" s="185"/>
      <c r="DJ427" s="186"/>
      <c r="DU427" s="187"/>
      <c r="DV427" s="188"/>
      <c r="DW427" s="194"/>
      <c r="DX427" s="195"/>
      <c r="DY427" s="191"/>
      <c r="DZ427" s="191"/>
      <c r="EA427" s="183"/>
      <c r="EB427" s="193"/>
      <c r="EC427" s="183"/>
      <c r="ED427" s="183"/>
      <c r="EF427" s="184"/>
      <c r="EG427" s="185"/>
      <c r="EH427" s="186"/>
      <c r="ES427" s="187"/>
      <c r="ET427" s="188"/>
      <c r="EU427" s="194"/>
      <c r="EV427" s="195"/>
      <c r="EW427" s="191"/>
      <c r="EX427" s="191"/>
      <c r="EY427" s="183"/>
      <c r="EZ427" s="193"/>
      <c r="FA427" s="183"/>
      <c r="FB427" s="183"/>
      <c r="FD427" s="184"/>
      <c r="FE427" s="185"/>
      <c r="FF427" s="186"/>
      <c r="FQ427" s="187"/>
      <c r="FR427" s="188"/>
      <c r="FS427" s="194"/>
      <c r="FT427" s="195"/>
      <c r="FU427" s="191"/>
      <c r="FV427" s="191"/>
      <c r="FW427" s="183"/>
      <c r="FX427" s="193"/>
      <c r="FY427" s="183"/>
      <c r="FZ427" s="183"/>
      <c r="GB427" s="184"/>
      <c r="GC427" s="185"/>
      <c r="GD427" s="186"/>
    </row>
    <row r="428" spans="1:188" s="125" customFormat="1">
      <c r="A428" s="84">
        <v>50</v>
      </c>
      <c r="B428" s="56">
        <v>43126</v>
      </c>
      <c r="C428" s="18"/>
      <c r="D428" s="19" t="s">
        <v>1206</v>
      </c>
      <c r="E428" s="20" t="s">
        <v>480</v>
      </c>
      <c r="F428" s="82" t="s">
        <v>1316</v>
      </c>
      <c r="G428" s="63">
        <v>1711</v>
      </c>
      <c r="H428" s="121">
        <v>2570000</v>
      </c>
      <c r="I428" s="24"/>
      <c r="J428" s="24">
        <f>H428/1.05</f>
        <v>2447619.0476190476</v>
      </c>
      <c r="K428" s="24">
        <f t="shared" si="30"/>
        <v>2447619.0476190476</v>
      </c>
      <c r="L428" s="123">
        <v>1</v>
      </c>
      <c r="M428" s="24">
        <f t="shared" si="31"/>
        <v>2447619.0476190476</v>
      </c>
      <c r="N428" s="124">
        <f t="shared" si="32"/>
        <v>0</v>
      </c>
      <c r="O428" s="85" t="s">
        <v>1284</v>
      </c>
      <c r="V428" s="187"/>
      <c r="W428" s="188"/>
      <c r="AC428" s="187"/>
      <c r="AD428" s="188"/>
      <c r="AE428" s="194"/>
      <c r="AF428" s="195"/>
      <c r="AG428" s="191"/>
      <c r="AH428" s="191"/>
      <c r="AI428" s="183"/>
      <c r="AJ428" s="193"/>
      <c r="AK428" s="183"/>
      <c r="AL428" s="183"/>
      <c r="AN428" s="184"/>
      <c r="AO428" s="185"/>
      <c r="AP428" s="186"/>
      <c r="BA428" s="187"/>
      <c r="BB428" s="188"/>
      <c r="BC428" s="194"/>
      <c r="BD428" s="195"/>
      <c r="BE428" s="191"/>
      <c r="BF428" s="191"/>
      <c r="BG428" s="183"/>
      <c r="BH428" s="193"/>
      <c r="BI428" s="183"/>
      <c r="BJ428" s="183"/>
      <c r="BL428" s="184"/>
      <c r="BM428" s="185"/>
      <c r="BN428" s="186"/>
      <c r="BY428" s="187"/>
      <c r="BZ428" s="188"/>
      <c r="CA428" s="194"/>
      <c r="CB428" s="195"/>
      <c r="CC428" s="191"/>
      <c r="CD428" s="191"/>
      <c r="CE428" s="183"/>
      <c r="CF428" s="193"/>
      <c r="CG428" s="183"/>
      <c r="CH428" s="183"/>
      <c r="CJ428" s="184"/>
      <c r="CK428" s="185"/>
      <c r="CL428" s="186"/>
      <c r="CW428" s="187"/>
      <c r="CX428" s="188"/>
      <c r="CY428" s="194"/>
      <c r="CZ428" s="195"/>
      <c r="DA428" s="191"/>
      <c r="DB428" s="191"/>
      <c r="DC428" s="183"/>
      <c r="DD428" s="193"/>
      <c r="DE428" s="183"/>
      <c r="DF428" s="183"/>
      <c r="DH428" s="184"/>
      <c r="DI428" s="185"/>
      <c r="DJ428" s="186"/>
      <c r="DU428" s="187"/>
      <c r="DV428" s="188"/>
      <c r="DW428" s="194"/>
      <c r="DX428" s="195"/>
      <c r="DY428" s="191"/>
      <c r="DZ428" s="191"/>
      <c r="EA428" s="183"/>
      <c r="EB428" s="193"/>
      <c r="EC428" s="183"/>
      <c r="ED428" s="183"/>
      <c r="EF428" s="184"/>
      <c r="EG428" s="185"/>
      <c r="EH428" s="186"/>
      <c r="ES428" s="187"/>
      <c r="ET428" s="188"/>
      <c r="EU428" s="194"/>
      <c r="EV428" s="195"/>
      <c r="EW428" s="191"/>
      <c r="EX428" s="191"/>
      <c r="EY428" s="183"/>
      <c r="EZ428" s="193"/>
      <c r="FA428" s="183"/>
      <c r="FB428" s="183"/>
      <c r="FD428" s="184"/>
      <c r="FE428" s="185"/>
      <c r="FF428" s="186"/>
      <c r="FQ428" s="187"/>
      <c r="FR428" s="188"/>
      <c r="FS428" s="194"/>
      <c r="FT428" s="195"/>
      <c r="FU428" s="191"/>
      <c r="FV428" s="191"/>
      <c r="FW428" s="183"/>
      <c r="FX428" s="193"/>
      <c r="FY428" s="183"/>
      <c r="FZ428" s="183"/>
      <c r="GB428" s="184"/>
      <c r="GC428" s="185"/>
      <c r="GD428" s="186"/>
    </row>
    <row r="429" spans="1:188" s="125" customFormat="1">
      <c r="A429" s="84">
        <v>51</v>
      </c>
      <c r="B429" s="60">
        <v>43082</v>
      </c>
      <c r="C429" s="18"/>
      <c r="D429" s="19" t="s">
        <v>1206</v>
      </c>
      <c r="E429" s="20" t="s">
        <v>489</v>
      </c>
      <c r="F429" s="82" t="s">
        <v>490</v>
      </c>
      <c r="G429" s="58">
        <v>1705</v>
      </c>
      <c r="H429" s="121">
        <v>3130000</v>
      </c>
      <c r="I429" s="24">
        <v>2980952</v>
      </c>
      <c r="J429" s="24"/>
      <c r="K429" s="24">
        <f t="shared" si="30"/>
        <v>2980952</v>
      </c>
      <c r="L429" s="123">
        <v>1</v>
      </c>
      <c r="M429" s="24">
        <f t="shared" si="31"/>
        <v>2980952</v>
      </c>
      <c r="N429" s="124">
        <f t="shared" si="32"/>
        <v>0</v>
      </c>
      <c r="O429" s="85" t="s">
        <v>1284</v>
      </c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130"/>
      <c r="AF429" s="130"/>
      <c r="AG429" s="130"/>
      <c r="AH429" s="130"/>
      <c r="AI429" s="130"/>
      <c r="AJ429" s="130"/>
      <c r="AK429" s="130"/>
      <c r="AL429" s="130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130"/>
      <c r="BD429" s="130"/>
      <c r="BE429" s="130"/>
      <c r="BF429" s="130"/>
      <c r="BG429" s="130"/>
      <c r="BH429" s="130"/>
      <c r="BI429" s="130"/>
      <c r="BJ429" s="130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130"/>
      <c r="CB429" s="130"/>
      <c r="CC429" s="130"/>
      <c r="CD429" s="130"/>
      <c r="CE429" s="130"/>
      <c r="CF429" s="130"/>
      <c r="CG429" s="130"/>
      <c r="CH429" s="130"/>
      <c r="CI429" s="3"/>
      <c r="CJ429" s="3"/>
      <c r="CK429" s="3"/>
      <c r="CL429" s="3"/>
      <c r="CM429" s="3"/>
      <c r="CN429" s="3"/>
      <c r="CO429" s="3"/>
      <c r="CP429" s="3"/>
      <c r="CQ429" s="3"/>
      <c r="CR429" s="3"/>
      <c r="CS429" s="3"/>
      <c r="CT429" s="3"/>
      <c r="CU429" s="3"/>
      <c r="CV429" s="3"/>
      <c r="CW429" s="3"/>
      <c r="CX429" s="3"/>
      <c r="CY429" s="130"/>
      <c r="CZ429" s="130"/>
      <c r="DA429" s="130"/>
      <c r="DB429" s="130"/>
      <c r="DC429" s="130"/>
      <c r="DD429" s="130"/>
      <c r="DE429" s="130"/>
      <c r="DF429" s="130"/>
      <c r="DG429" s="3"/>
      <c r="DH429" s="3"/>
      <c r="DI429" s="3"/>
      <c r="DJ429" s="3"/>
      <c r="DK429" s="3"/>
      <c r="DL429" s="3"/>
      <c r="DM429" s="3"/>
      <c r="DN429" s="3"/>
      <c r="DO429" s="3"/>
      <c r="DP429" s="3"/>
      <c r="DQ429" s="3"/>
      <c r="DR429" s="3"/>
      <c r="DS429" s="3"/>
      <c r="DT429" s="3"/>
      <c r="DU429" s="3"/>
      <c r="DV429" s="3"/>
      <c r="DW429" s="130"/>
      <c r="DX429" s="130"/>
      <c r="DY429" s="130"/>
      <c r="DZ429" s="130"/>
      <c r="EA429" s="130"/>
      <c r="EB429" s="130"/>
      <c r="EC429" s="130"/>
      <c r="ED429" s="130"/>
      <c r="EE429" s="3"/>
      <c r="EF429" s="3"/>
      <c r="EG429" s="3"/>
      <c r="EH429" s="3"/>
      <c r="EI429" s="3"/>
      <c r="EJ429" s="3"/>
      <c r="EK429" s="3"/>
      <c r="EL429" s="3"/>
      <c r="EM429" s="3"/>
      <c r="EN429" s="3"/>
      <c r="EO429" s="3"/>
      <c r="EP429" s="3"/>
      <c r="EQ429" s="3"/>
      <c r="ER429" s="3"/>
      <c r="ES429" s="3"/>
      <c r="ET429" s="3"/>
      <c r="EU429" s="130"/>
      <c r="EV429" s="130"/>
      <c r="EW429" s="130"/>
      <c r="EX429" s="130"/>
      <c r="EY429" s="130"/>
      <c r="EZ429" s="130"/>
      <c r="FA429" s="130"/>
      <c r="FB429" s="130"/>
      <c r="FC429" s="3"/>
      <c r="FD429" s="3"/>
      <c r="FE429" s="3"/>
      <c r="FF429" s="3"/>
      <c r="FG429" s="3"/>
      <c r="FH429" s="3"/>
      <c r="FI429" s="3"/>
      <c r="FJ429" s="3"/>
      <c r="FK429" s="3"/>
      <c r="FL429" s="3"/>
      <c r="FM429" s="3"/>
      <c r="FN429" s="3"/>
      <c r="FO429" s="3"/>
      <c r="FP429" s="3"/>
      <c r="FQ429" s="3"/>
      <c r="FR429" s="3"/>
      <c r="FS429" s="130"/>
      <c r="FT429" s="130"/>
      <c r="FU429" s="130"/>
      <c r="FV429" s="130"/>
      <c r="FW429" s="130"/>
      <c r="FX429" s="130"/>
      <c r="FY429" s="130"/>
      <c r="FZ429" s="130"/>
      <c r="GA429" s="3"/>
      <c r="GB429" s="3"/>
      <c r="GC429" s="3"/>
      <c r="GD429" s="3"/>
      <c r="GE429" s="3"/>
      <c r="GF429" s="3"/>
    </row>
    <row r="430" spans="1:188" s="125" customFormat="1">
      <c r="A430" s="84">
        <v>52</v>
      </c>
      <c r="B430" s="83">
        <v>43108</v>
      </c>
      <c r="C430" s="18"/>
      <c r="D430" s="19" t="s">
        <v>1206</v>
      </c>
      <c r="E430" s="20" t="s">
        <v>489</v>
      </c>
      <c r="F430" s="62" t="s">
        <v>1317</v>
      </c>
      <c r="G430" s="63">
        <v>1708</v>
      </c>
      <c r="H430" s="121">
        <v>3180000</v>
      </c>
      <c r="I430" s="24"/>
      <c r="J430" s="24">
        <v>3028572</v>
      </c>
      <c r="K430" s="24">
        <f t="shared" si="30"/>
        <v>3028572</v>
      </c>
      <c r="L430" s="26">
        <v>1</v>
      </c>
      <c r="M430" s="24">
        <f t="shared" si="31"/>
        <v>3028572</v>
      </c>
      <c r="N430" s="124">
        <f t="shared" si="32"/>
        <v>0</v>
      </c>
      <c r="O430" s="85" t="s">
        <v>1284</v>
      </c>
      <c r="AE430" s="167"/>
      <c r="AF430" s="167"/>
      <c r="AG430" s="167"/>
      <c r="AH430" s="167"/>
      <c r="AI430" s="167"/>
      <c r="AJ430" s="167"/>
      <c r="AK430" s="167"/>
      <c r="AL430" s="167"/>
      <c r="BC430" s="167"/>
      <c r="BD430" s="167"/>
      <c r="BE430" s="167"/>
      <c r="BF430" s="167"/>
      <c r="BG430" s="167"/>
      <c r="BH430" s="167"/>
      <c r="BI430" s="167"/>
      <c r="BJ430" s="167"/>
      <c r="CA430" s="167"/>
      <c r="CB430" s="167"/>
      <c r="CC430" s="167"/>
      <c r="CD430" s="167"/>
      <c r="CE430" s="167"/>
      <c r="CF430" s="167"/>
      <c r="CG430" s="167"/>
      <c r="CH430" s="167"/>
      <c r="CY430" s="167"/>
      <c r="CZ430" s="167"/>
      <c r="DA430" s="167"/>
      <c r="DB430" s="167"/>
      <c r="DC430" s="167"/>
      <c r="DD430" s="167"/>
      <c r="DE430" s="167"/>
      <c r="DF430" s="167"/>
      <c r="DW430" s="167"/>
      <c r="DX430" s="167"/>
      <c r="DY430" s="167"/>
      <c r="DZ430" s="167"/>
      <c r="EA430" s="167"/>
      <c r="EB430" s="167"/>
      <c r="EC430" s="167"/>
      <c r="ED430" s="167"/>
      <c r="EU430" s="167"/>
      <c r="EV430" s="167"/>
      <c r="EW430" s="167"/>
      <c r="EX430" s="167"/>
      <c r="EY430" s="167"/>
      <c r="EZ430" s="167"/>
      <c r="FA430" s="167"/>
      <c r="FB430" s="167"/>
      <c r="FS430" s="167"/>
      <c r="FT430" s="167"/>
      <c r="FU430" s="167"/>
      <c r="FV430" s="167"/>
      <c r="FW430" s="167"/>
      <c r="FX430" s="167"/>
      <c r="FY430" s="167"/>
      <c r="FZ430" s="167"/>
    </row>
    <row r="431" spans="1:188" s="125" customFormat="1">
      <c r="A431" s="84">
        <v>53</v>
      </c>
      <c r="B431" s="56">
        <v>43109</v>
      </c>
      <c r="C431" s="18" t="s">
        <v>1234</v>
      </c>
      <c r="D431" s="19" t="s">
        <v>1206</v>
      </c>
      <c r="E431" s="20" t="s">
        <v>1212</v>
      </c>
      <c r="F431" s="62" t="s">
        <v>1318</v>
      </c>
      <c r="G431" s="63">
        <v>1708</v>
      </c>
      <c r="H431" s="121">
        <v>3180000</v>
      </c>
      <c r="I431" s="24"/>
      <c r="J431" s="24">
        <v>3028571</v>
      </c>
      <c r="K431" s="24">
        <f t="shared" si="30"/>
        <v>3028571</v>
      </c>
      <c r="L431" s="123">
        <v>1</v>
      </c>
      <c r="M431" s="24">
        <f t="shared" si="31"/>
        <v>3028571</v>
      </c>
      <c r="N431" s="124">
        <f t="shared" si="32"/>
        <v>0</v>
      </c>
      <c r="O431" s="85" t="s">
        <v>1284</v>
      </c>
      <c r="V431" s="187"/>
      <c r="W431" s="188"/>
      <c r="AC431" s="187"/>
      <c r="AD431" s="188"/>
      <c r="AE431" s="194"/>
      <c r="AF431" s="195"/>
      <c r="AG431" s="191"/>
      <c r="AH431" s="191"/>
      <c r="AI431" s="183"/>
      <c r="AJ431" s="193"/>
      <c r="AK431" s="183"/>
      <c r="AL431" s="183"/>
      <c r="AN431" s="184"/>
      <c r="AO431" s="185"/>
      <c r="AP431" s="186"/>
      <c r="BA431" s="187"/>
      <c r="BB431" s="188"/>
      <c r="BC431" s="194"/>
      <c r="BD431" s="195"/>
      <c r="BE431" s="191"/>
      <c r="BF431" s="191"/>
      <c r="BG431" s="183"/>
      <c r="BH431" s="193"/>
      <c r="BI431" s="183"/>
      <c r="BJ431" s="183"/>
      <c r="BL431" s="184"/>
      <c r="BM431" s="185"/>
      <c r="BN431" s="186"/>
      <c r="BY431" s="187"/>
      <c r="BZ431" s="188"/>
      <c r="CA431" s="194"/>
      <c r="CB431" s="195"/>
      <c r="CC431" s="191"/>
      <c r="CD431" s="191"/>
      <c r="CE431" s="183"/>
      <c r="CF431" s="193"/>
      <c r="CG431" s="183"/>
      <c r="CH431" s="183"/>
      <c r="CJ431" s="184"/>
      <c r="CK431" s="185"/>
      <c r="CL431" s="186"/>
      <c r="CW431" s="187"/>
      <c r="CX431" s="188"/>
      <c r="CY431" s="194"/>
      <c r="CZ431" s="195"/>
      <c r="DA431" s="191"/>
      <c r="DB431" s="191"/>
      <c r="DC431" s="183"/>
      <c r="DD431" s="193"/>
      <c r="DE431" s="183"/>
      <c r="DF431" s="183"/>
      <c r="DH431" s="184"/>
      <c r="DI431" s="185"/>
      <c r="DJ431" s="186"/>
      <c r="DU431" s="187"/>
      <c r="DV431" s="188"/>
      <c r="DW431" s="194"/>
      <c r="DX431" s="195"/>
      <c r="DY431" s="191"/>
      <c r="DZ431" s="191"/>
      <c r="EA431" s="183"/>
      <c r="EB431" s="193"/>
      <c r="EC431" s="183"/>
      <c r="ED431" s="183"/>
      <c r="EF431" s="184"/>
      <c r="EG431" s="185"/>
      <c r="EH431" s="186"/>
      <c r="ES431" s="187"/>
      <c r="ET431" s="188"/>
      <c r="EU431" s="194"/>
      <c r="EV431" s="195"/>
      <c r="EW431" s="191"/>
      <c r="EX431" s="191"/>
      <c r="EY431" s="183"/>
      <c r="EZ431" s="193"/>
      <c r="FA431" s="183"/>
      <c r="FB431" s="183"/>
      <c r="FD431" s="184"/>
      <c r="FE431" s="185"/>
      <c r="FF431" s="186"/>
      <c r="FQ431" s="187"/>
      <c r="FR431" s="188"/>
      <c r="FS431" s="194"/>
      <c r="FT431" s="195"/>
      <c r="FU431" s="191"/>
      <c r="FV431" s="191"/>
      <c r="FW431" s="183"/>
      <c r="FX431" s="193"/>
      <c r="FY431" s="183"/>
      <c r="FZ431" s="183"/>
      <c r="GB431" s="184"/>
      <c r="GC431" s="185"/>
      <c r="GD431" s="186"/>
    </row>
    <row r="432" spans="1:188" s="125" customFormat="1">
      <c r="A432" s="84">
        <v>54</v>
      </c>
      <c r="B432" s="56">
        <v>43115</v>
      </c>
      <c r="C432" s="18"/>
      <c r="D432" s="19" t="s">
        <v>1206</v>
      </c>
      <c r="E432" s="20" t="s">
        <v>489</v>
      </c>
      <c r="F432" s="82" t="s">
        <v>1319</v>
      </c>
      <c r="G432" s="58">
        <v>1708</v>
      </c>
      <c r="H432" s="121">
        <v>3180000</v>
      </c>
      <c r="I432" s="24"/>
      <c r="J432" s="24">
        <f>H432/1.05</f>
        <v>3028571.4285714286</v>
      </c>
      <c r="K432" s="24">
        <f t="shared" si="30"/>
        <v>3028571.4285714286</v>
      </c>
      <c r="L432" s="123">
        <v>1</v>
      </c>
      <c r="M432" s="24">
        <f t="shared" si="31"/>
        <v>3028571.4285714286</v>
      </c>
      <c r="N432" s="124">
        <f t="shared" si="32"/>
        <v>0</v>
      </c>
      <c r="O432" s="85" t="s">
        <v>1284</v>
      </c>
      <c r="P432" s="3"/>
      <c r="Q432" s="3"/>
      <c r="R432" s="3"/>
      <c r="S432" s="3"/>
      <c r="T432" s="3"/>
      <c r="U432" s="3"/>
      <c r="V432" s="131"/>
      <c r="W432" s="15"/>
      <c r="X432" s="3"/>
      <c r="Y432" s="3"/>
      <c r="Z432" s="3"/>
      <c r="AA432" s="3"/>
      <c r="AB432" s="3"/>
      <c r="AC432" s="131"/>
      <c r="AD432" s="15"/>
      <c r="AE432" s="132"/>
      <c r="AF432" s="133"/>
      <c r="AG432" s="134"/>
      <c r="AH432" s="134"/>
      <c r="AI432" s="135"/>
      <c r="AJ432" s="136"/>
      <c r="AK432" s="137"/>
      <c r="AL432" s="137"/>
      <c r="AM432" s="3"/>
      <c r="AN432" s="138"/>
      <c r="AO432" s="2"/>
      <c r="AP432" s="139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131"/>
      <c r="BB432" s="15"/>
      <c r="BC432" s="132"/>
      <c r="BD432" s="133"/>
      <c r="BE432" s="134"/>
      <c r="BF432" s="134"/>
      <c r="BG432" s="135"/>
      <c r="BH432" s="136"/>
      <c r="BI432" s="137"/>
      <c r="BJ432" s="137"/>
      <c r="BK432" s="3"/>
      <c r="BL432" s="138"/>
      <c r="BM432" s="2"/>
      <c r="BN432" s="139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131"/>
      <c r="BZ432" s="15"/>
      <c r="CA432" s="132"/>
      <c r="CB432" s="133"/>
      <c r="CC432" s="134"/>
      <c r="CD432" s="134"/>
      <c r="CE432" s="135"/>
      <c r="CF432" s="136"/>
      <c r="CG432" s="137"/>
      <c r="CH432" s="137"/>
      <c r="CI432" s="3"/>
      <c r="CJ432" s="138"/>
      <c r="CK432" s="2"/>
      <c r="CL432" s="139"/>
      <c r="CM432" s="3"/>
      <c r="CN432" s="3"/>
      <c r="CO432" s="3"/>
      <c r="CP432" s="3"/>
      <c r="CQ432" s="3"/>
      <c r="CR432" s="3"/>
      <c r="CS432" s="3"/>
      <c r="CT432" s="3"/>
      <c r="CU432" s="3"/>
      <c r="CV432" s="3"/>
      <c r="CW432" s="131"/>
      <c r="CX432" s="15"/>
      <c r="CY432" s="132"/>
      <c r="CZ432" s="133"/>
      <c r="DA432" s="134"/>
      <c r="DB432" s="134"/>
      <c r="DC432" s="135"/>
      <c r="DD432" s="136"/>
      <c r="DE432" s="137"/>
      <c r="DF432" s="137"/>
      <c r="DG432" s="3"/>
      <c r="DH432" s="138"/>
      <c r="DI432" s="2"/>
      <c r="DJ432" s="139"/>
      <c r="DK432" s="3"/>
      <c r="DL432" s="3"/>
      <c r="DM432" s="3"/>
      <c r="DN432" s="3"/>
      <c r="DO432" s="3"/>
      <c r="DP432" s="3"/>
      <c r="DQ432" s="3"/>
      <c r="DR432" s="3"/>
      <c r="DS432" s="3"/>
      <c r="DT432" s="3"/>
      <c r="DU432" s="131"/>
      <c r="DV432" s="15"/>
      <c r="DW432" s="132"/>
      <c r="DX432" s="133"/>
      <c r="DY432" s="134"/>
      <c r="DZ432" s="134"/>
      <c r="EA432" s="135"/>
      <c r="EB432" s="136"/>
      <c r="EC432" s="137"/>
      <c r="ED432" s="137"/>
      <c r="EE432" s="3"/>
      <c r="EF432" s="138"/>
      <c r="EG432" s="2"/>
      <c r="EH432" s="139"/>
      <c r="EI432" s="3"/>
      <c r="EJ432" s="3"/>
      <c r="EK432" s="3"/>
      <c r="EL432" s="3"/>
      <c r="EM432" s="3"/>
      <c r="EN432" s="3"/>
      <c r="EO432" s="3"/>
      <c r="EP432" s="3"/>
      <c r="EQ432" s="3"/>
      <c r="ER432" s="3"/>
      <c r="ES432" s="131"/>
      <c r="ET432" s="15"/>
      <c r="EU432" s="132"/>
      <c r="EV432" s="133"/>
      <c r="EW432" s="134"/>
      <c r="EX432" s="134"/>
      <c r="EY432" s="135"/>
      <c r="EZ432" s="136"/>
      <c r="FA432" s="137"/>
      <c r="FB432" s="137"/>
      <c r="FC432" s="3"/>
      <c r="FD432" s="138"/>
      <c r="FE432" s="2"/>
      <c r="FF432" s="139"/>
      <c r="FG432" s="3"/>
      <c r="FH432" s="3"/>
      <c r="FI432" s="3"/>
      <c r="FJ432" s="3"/>
      <c r="FK432" s="3"/>
      <c r="FL432" s="3"/>
      <c r="FM432" s="3"/>
      <c r="FN432" s="3"/>
      <c r="FO432" s="3"/>
      <c r="FP432" s="3"/>
      <c r="FQ432" s="131"/>
      <c r="FR432" s="15"/>
      <c r="FS432" s="132"/>
      <c r="FT432" s="133"/>
      <c r="FU432" s="134"/>
      <c r="FV432" s="134"/>
      <c r="FW432" s="135"/>
      <c r="FX432" s="136"/>
      <c r="FY432" s="137"/>
      <c r="FZ432" s="137"/>
      <c r="GA432" s="3"/>
      <c r="GB432" s="138"/>
      <c r="GC432" s="2"/>
      <c r="GD432" s="139"/>
      <c r="GE432" s="3"/>
      <c r="GF432" s="3"/>
    </row>
    <row r="433" spans="1:188" s="125" customFormat="1">
      <c r="A433" s="213">
        <v>1</v>
      </c>
      <c r="B433" s="56">
        <v>43109</v>
      </c>
      <c r="C433" s="18"/>
      <c r="D433" s="19" t="s">
        <v>1169</v>
      </c>
      <c r="E433" s="20" t="s">
        <v>348</v>
      </c>
      <c r="F433" s="57" t="s">
        <v>1320</v>
      </c>
      <c r="G433" s="58">
        <v>1708</v>
      </c>
      <c r="H433" s="121">
        <v>2960000</v>
      </c>
      <c r="I433" s="24"/>
      <c r="J433" s="24">
        <v>2819047</v>
      </c>
      <c r="K433" s="24">
        <f t="shared" si="30"/>
        <v>2819047</v>
      </c>
      <c r="L433" s="123">
        <v>1</v>
      </c>
      <c r="M433" s="24">
        <f t="shared" si="31"/>
        <v>2819047</v>
      </c>
      <c r="N433" s="124">
        <f t="shared" si="32"/>
        <v>0</v>
      </c>
      <c r="O433" s="196" t="s">
        <v>1063</v>
      </c>
      <c r="P433" s="3"/>
      <c r="Q433" s="3"/>
      <c r="R433" s="3"/>
      <c r="S433" s="3"/>
      <c r="T433" s="3"/>
      <c r="U433" s="3"/>
      <c r="V433" s="131"/>
      <c r="W433" s="15"/>
      <c r="X433" s="3"/>
      <c r="Y433" s="3"/>
      <c r="Z433" s="3"/>
      <c r="AA433" s="3"/>
      <c r="AB433" s="3"/>
      <c r="AC433" s="131"/>
      <c r="AD433" s="15"/>
      <c r="AE433" s="132"/>
      <c r="AF433" s="133"/>
      <c r="AG433" s="134"/>
      <c r="AH433" s="134"/>
      <c r="AI433" s="135"/>
      <c r="AJ433" s="136"/>
      <c r="AK433" s="137"/>
      <c r="AL433" s="137"/>
      <c r="AM433" s="3"/>
      <c r="AN433" s="138"/>
      <c r="AO433" s="2"/>
      <c r="AP433" s="139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131"/>
      <c r="BB433" s="15"/>
      <c r="BC433" s="132"/>
      <c r="BD433" s="133"/>
      <c r="BE433" s="134"/>
      <c r="BF433" s="134"/>
      <c r="BG433" s="135"/>
      <c r="BH433" s="136"/>
      <c r="BI433" s="137"/>
      <c r="BJ433" s="137"/>
      <c r="BK433" s="3"/>
      <c r="BL433" s="138"/>
      <c r="BM433" s="2"/>
      <c r="BN433" s="139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131"/>
      <c r="BZ433" s="15"/>
      <c r="CA433" s="132"/>
      <c r="CB433" s="133"/>
      <c r="CC433" s="134"/>
      <c r="CD433" s="134"/>
      <c r="CE433" s="135"/>
      <c r="CF433" s="136"/>
      <c r="CG433" s="137"/>
      <c r="CH433" s="137"/>
      <c r="CI433" s="3"/>
      <c r="CJ433" s="138"/>
      <c r="CK433" s="2"/>
      <c r="CL433" s="139"/>
      <c r="CM433" s="3"/>
      <c r="CN433" s="3"/>
      <c r="CO433" s="3"/>
      <c r="CP433" s="3"/>
      <c r="CQ433" s="3"/>
      <c r="CR433" s="3"/>
      <c r="CS433" s="3"/>
      <c r="CT433" s="3"/>
      <c r="CU433" s="3"/>
      <c r="CV433" s="3"/>
      <c r="CW433" s="131"/>
      <c r="CX433" s="15"/>
      <c r="CY433" s="132"/>
      <c r="CZ433" s="133"/>
      <c r="DA433" s="134"/>
      <c r="DB433" s="134"/>
      <c r="DC433" s="135"/>
      <c r="DD433" s="136"/>
      <c r="DE433" s="137"/>
      <c r="DF433" s="137"/>
      <c r="DG433" s="3"/>
      <c r="DH433" s="138"/>
      <c r="DI433" s="2"/>
      <c r="DJ433" s="139"/>
      <c r="DK433" s="3"/>
      <c r="DL433" s="3"/>
      <c r="DM433" s="3"/>
      <c r="DN433" s="3"/>
      <c r="DO433" s="3"/>
      <c r="DP433" s="3"/>
      <c r="DQ433" s="3"/>
      <c r="DR433" s="3"/>
      <c r="DS433" s="3"/>
      <c r="DT433" s="3"/>
      <c r="DU433" s="131"/>
      <c r="DV433" s="15"/>
      <c r="DW433" s="132"/>
      <c r="DX433" s="133"/>
      <c r="DY433" s="134"/>
      <c r="DZ433" s="134"/>
      <c r="EA433" s="135"/>
      <c r="EB433" s="136"/>
      <c r="EC433" s="137"/>
      <c r="ED433" s="137"/>
      <c r="EE433" s="3"/>
      <c r="EF433" s="138"/>
      <c r="EG433" s="2"/>
      <c r="EH433" s="139"/>
      <c r="EI433" s="3"/>
      <c r="EJ433" s="3"/>
      <c r="EK433" s="3"/>
      <c r="EL433" s="3"/>
      <c r="EM433" s="3"/>
      <c r="EN433" s="3"/>
      <c r="EO433" s="3"/>
      <c r="EP433" s="3"/>
      <c r="EQ433" s="3"/>
      <c r="ER433" s="3"/>
      <c r="ES433" s="131"/>
      <c r="ET433" s="15"/>
      <c r="EU433" s="132"/>
      <c r="EV433" s="133"/>
      <c r="EW433" s="134"/>
      <c r="EX433" s="134"/>
      <c r="EY433" s="135"/>
      <c r="EZ433" s="136"/>
      <c r="FA433" s="137"/>
      <c r="FB433" s="137"/>
      <c r="FC433" s="3"/>
      <c r="FD433" s="138"/>
      <c r="FE433" s="2"/>
      <c r="FF433" s="139"/>
      <c r="FG433" s="3"/>
      <c r="FH433" s="3"/>
      <c r="FI433" s="3"/>
      <c r="FJ433" s="3"/>
      <c r="FK433" s="3"/>
      <c r="FL433" s="3"/>
      <c r="FM433" s="3"/>
      <c r="FN433" s="3"/>
      <c r="FO433" s="3"/>
      <c r="FP433" s="3"/>
      <c r="FQ433" s="131"/>
      <c r="FR433" s="15"/>
      <c r="FS433" s="132"/>
      <c r="FT433" s="133"/>
      <c r="FU433" s="134"/>
      <c r="FV433" s="134"/>
      <c r="FW433" s="135"/>
      <c r="FX433" s="136"/>
      <c r="FY433" s="137"/>
      <c r="FZ433" s="137"/>
      <c r="GA433" s="3"/>
      <c r="GB433" s="138"/>
      <c r="GC433" s="2"/>
      <c r="GD433" s="139"/>
      <c r="GE433" s="3"/>
      <c r="GF433" s="3"/>
    </row>
    <row r="434" spans="1:188" s="125" customFormat="1" ht="13.5" customHeight="1">
      <c r="A434" s="213">
        <v>2</v>
      </c>
      <c r="B434" s="60">
        <v>43069</v>
      </c>
      <c r="C434" s="18"/>
      <c r="D434" s="19" t="s">
        <v>1165</v>
      </c>
      <c r="E434" s="20" t="s">
        <v>413</v>
      </c>
      <c r="F434" s="168" t="s">
        <v>414</v>
      </c>
      <c r="G434" s="63">
        <v>1707</v>
      </c>
      <c r="H434" s="121">
        <f>2071000-30000</f>
        <v>2041000</v>
      </c>
      <c r="I434" s="24">
        <v>1943810</v>
      </c>
      <c r="J434" s="24"/>
      <c r="K434" s="24">
        <f t="shared" si="30"/>
        <v>1943810</v>
      </c>
      <c r="L434" s="123">
        <v>1</v>
      </c>
      <c r="M434" s="24">
        <f t="shared" si="31"/>
        <v>1943810</v>
      </c>
      <c r="N434" s="124">
        <f t="shared" si="32"/>
        <v>0</v>
      </c>
      <c r="O434" s="196" t="s">
        <v>1234</v>
      </c>
      <c r="AE434" s="167"/>
      <c r="AF434" s="167"/>
      <c r="AG434" s="167"/>
      <c r="AH434" s="167"/>
      <c r="AI434" s="167"/>
      <c r="AJ434" s="167"/>
      <c r="AK434" s="167"/>
      <c r="AL434" s="167"/>
      <c r="BC434" s="167"/>
      <c r="BD434" s="167"/>
      <c r="BE434" s="167"/>
      <c r="BF434" s="167"/>
      <c r="BG434" s="167"/>
      <c r="BH434" s="167"/>
      <c r="BI434" s="167"/>
      <c r="BJ434" s="167"/>
      <c r="CA434" s="167"/>
      <c r="CB434" s="167"/>
      <c r="CC434" s="167"/>
      <c r="CD434" s="167"/>
      <c r="CE434" s="167"/>
      <c r="CF434" s="167"/>
      <c r="CG434" s="167"/>
      <c r="CH434" s="167"/>
      <c r="CY434" s="167"/>
      <c r="CZ434" s="167"/>
      <c r="DA434" s="167"/>
      <c r="DB434" s="167"/>
      <c r="DC434" s="167"/>
      <c r="DD434" s="167"/>
      <c r="DE434" s="167"/>
      <c r="DF434" s="167"/>
      <c r="DW434" s="167"/>
      <c r="DX434" s="167"/>
      <c r="DY434" s="167"/>
      <c r="DZ434" s="167"/>
      <c r="EA434" s="167"/>
      <c r="EB434" s="167"/>
      <c r="EC434" s="167"/>
      <c r="ED434" s="167"/>
      <c r="EU434" s="167"/>
      <c r="EV434" s="167"/>
      <c r="EW434" s="167"/>
      <c r="EX434" s="167"/>
      <c r="EY434" s="167"/>
      <c r="EZ434" s="167"/>
      <c r="FA434" s="167"/>
      <c r="FB434" s="167"/>
      <c r="FS434" s="167"/>
      <c r="FT434" s="167"/>
      <c r="FU434" s="167"/>
      <c r="FV434" s="167"/>
      <c r="FW434" s="167"/>
      <c r="FX434" s="167"/>
      <c r="FY434" s="167"/>
      <c r="FZ434" s="167"/>
    </row>
    <row r="435" spans="1:188" s="125" customFormat="1" ht="13.5" customHeight="1">
      <c r="A435" s="213">
        <v>3</v>
      </c>
      <c r="B435" s="56">
        <v>43115</v>
      </c>
      <c r="C435" s="18"/>
      <c r="D435" s="19" t="s">
        <v>1165</v>
      </c>
      <c r="E435" s="20" t="s">
        <v>413</v>
      </c>
      <c r="F435" s="62" t="s">
        <v>1321</v>
      </c>
      <c r="G435" s="63">
        <v>1710</v>
      </c>
      <c r="H435" s="121">
        <v>2010000</v>
      </c>
      <c r="I435" s="24"/>
      <c r="J435" s="24">
        <f>H435/1.05</f>
        <v>1914285.7142857143</v>
      </c>
      <c r="K435" s="199">
        <f t="shared" si="30"/>
        <v>1914285.7142857143</v>
      </c>
      <c r="L435" s="26">
        <v>1</v>
      </c>
      <c r="M435" s="24">
        <f t="shared" si="31"/>
        <v>1914285.7142857143</v>
      </c>
      <c r="N435" s="124">
        <f t="shared" si="32"/>
        <v>0</v>
      </c>
      <c r="O435" s="196" t="s">
        <v>1234</v>
      </c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130"/>
      <c r="AF435" s="130"/>
      <c r="AG435" s="130"/>
      <c r="AH435" s="130"/>
      <c r="AI435" s="130"/>
      <c r="AJ435" s="130"/>
      <c r="AK435" s="130"/>
      <c r="AL435" s="130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130"/>
      <c r="BD435" s="130"/>
      <c r="BE435" s="130"/>
      <c r="BF435" s="130"/>
      <c r="BG435" s="130"/>
      <c r="BH435" s="130"/>
      <c r="BI435" s="130"/>
      <c r="BJ435" s="130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130"/>
      <c r="CB435" s="130"/>
      <c r="CC435" s="130"/>
      <c r="CD435" s="130"/>
      <c r="CE435" s="130"/>
      <c r="CF435" s="130"/>
      <c r="CG435" s="130"/>
      <c r="CH435" s="130"/>
      <c r="CI435" s="3"/>
      <c r="CJ435" s="3"/>
      <c r="CK435" s="3"/>
      <c r="CL435" s="3"/>
      <c r="CM435" s="3"/>
      <c r="CN435" s="3"/>
      <c r="CO435" s="3"/>
      <c r="CP435" s="3"/>
      <c r="CQ435" s="3"/>
      <c r="CR435" s="3"/>
      <c r="CS435" s="3"/>
      <c r="CT435" s="3"/>
      <c r="CU435" s="3"/>
      <c r="CV435" s="3"/>
      <c r="CW435" s="3"/>
      <c r="CX435" s="3"/>
      <c r="CY435" s="130"/>
      <c r="CZ435" s="130"/>
      <c r="DA435" s="130"/>
      <c r="DB435" s="130"/>
      <c r="DC435" s="130"/>
      <c r="DD435" s="130"/>
      <c r="DE435" s="130"/>
      <c r="DF435" s="130"/>
      <c r="DG435" s="3"/>
      <c r="DH435" s="3"/>
      <c r="DI435" s="3"/>
      <c r="DJ435" s="3"/>
      <c r="DK435" s="3"/>
      <c r="DL435" s="3"/>
      <c r="DM435" s="3"/>
      <c r="DN435" s="3"/>
      <c r="DO435" s="3"/>
      <c r="DP435" s="3"/>
      <c r="DQ435" s="3"/>
      <c r="DR435" s="3"/>
      <c r="DS435" s="3"/>
      <c r="DT435" s="3"/>
      <c r="DU435" s="3"/>
      <c r="DV435" s="3"/>
      <c r="DW435" s="130"/>
      <c r="DX435" s="130"/>
      <c r="DY435" s="130"/>
      <c r="DZ435" s="130"/>
      <c r="EA435" s="130"/>
      <c r="EB435" s="130"/>
      <c r="EC435" s="130"/>
      <c r="ED435" s="130"/>
      <c r="EE435" s="3"/>
      <c r="EF435" s="3"/>
      <c r="EG435" s="3"/>
      <c r="EH435" s="3"/>
      <c r="EI435" s="3"/>
      <c r="EJ435" s="3"/>
      <c r="EK435" s="3"/>
      <c r="EL435" s="3"/>
      <c r="EM435" s="3"/>
      <c r="EN435" s="3"/>
      <c r="EO435" s="3"/>
      <c r="EP435" s="3"/>
      <c r="EQ435" s="3"/>
      <c r="ER435" s="3"/>
      <c r="ES435" s="3"/>
      <c r="ET435" s="3"/>
      <c r="EU435" s="130"/>
      <c r="EV435" s="130"/>
      <c r="EW435" s="130"/>
      <c r="EX435" s="130"/>
      <c r="EY435" s="130"/>
      <c r="EZ435" s="130"/>
      <c r="FA435" s="130"/>
      <c r="FB435" s="130"/>
      <c r="FC435" s="3"/>
      <c r="FD435" s="3"/>
      <c r="FE435" s="3"/>
      <c r="FF435" s="3"/>
      <c r="FG435" s="3"/>
      <c r="FH435" s="3"/>
      <c r="FI435" s="3"/>
      <c r="FJ435" s="3"/>
      <c r="FK435" s="3"/>
      <c r="FL435" s="3"/>
      <c r="FM435" s="3"/>
      <c r="FN435" s="3"/>
      <c r="FO435" s="3"/>
      <c r="FP435" s="3"/>
      <c r="FQ435" s="3"/>
      <c r="FR435" s="3"/>
      <c r="FS435" s="130"/>
      <c r="FT435" s="130"/>
      <c r="FU435" s="130"/>
      <c r="FV435" s="130"/>
      <c r="FW435" s="130"/>
      <c r="FX435" s="130"/>
      <c r="FY435" s="130"/>
      <c r="FZ435" s="130"/>
      <c r="GA435" s="3"/>
      <c r="GB435" s="3"/>
      <c r="GC435" s="3"/>
      <c r="GD435" s="3"/>
      <c r="GE435" s="3"/>
      <c r="GF435" s="3"/>
    </row>
    <row r="436" spans="1:188" s="125" customFormat="1" ht="13.5" customHeight="1">
      <c r="A436" s="213">
        <v>4</v>
      </c>
      <c r="B436" s="56">
        <v>43125</v>
      </c>
      <c r="C436" s="18"/>
      <c r="D436" s="19" t="s">
        <v>1169</v>
      </c>
      <c r="E436" s="20" t="s">
        <v>341</v>
      </c>
      <c r="F436" s="82" t="s">
        <v>1322</v>
      </c>
      <c r="G436" s="58">
        <v>1709</v>
      </c>
      <c r="H436" s="121">
        <v>2630000</v>
      </c>
      <c r="I436" s="24"/>
      <c r="J436" s="24">
        <f>H436/1.05</f>
        <v>2504761.9047619049</v>
      </c>
      <c r="K436" s="24">
        <f t="shared" si="30"/>
        <v>2504761.9047619049</v>
      </c>
      <c r="L436" s="123">
        <v>1</v>
      </c>
      <c r="M436" s="24">
        <f t="shared" si="31"/>
        <v>2504761.9047619049</v>
      </c>
      <c r="N436" s="124">
        <f t="shared" si="32"/>
        <v>0</v>
      </c>
      <c r="O436" s="196" t="s">
        <v>1234</v>
      </c>
      <c r="AE436" s="167"/>
      <c r="AF436" s="167"/>
      <c r="AG436" s="167"/>
      <c r="AH436" s="167"/>
      <c r="AI436" s="167"/>
      <c r="AJ436" s="167"/>
      <c r="AK436" s="167"/>
      <c r="AL436" s="167"/>
      <c r="BC436" s="167"/>
      <c r="BD436" s="167"/>
      <c r="BE436" s="167"/>
      <c r="BF436" s="167"/>
      <c r="BG436" s="167"/>
      <c r="BH436" s="167"/>
      <c r="BI436" s="167"/>
      <c r="BJ436" s="167"/>
      <c r="CA436" s="167"/>
      <c r="CB436" s="167"/>
      <c r="CC436" s="167"/>
      <c r="CD436" s="167"/>
      <c r="CE436" s="167"/>
      <c r="CF436" s="167"/>
      <c r="CG436" s="167"/>
      <c r="CH436" s="167"/>
      <c r="CY436" s="167"/>
      <c r="CZ436" s="167"/>
      <c r="DA436" s="167"/>
      <c r="DB436" s="167"/>
      <c r="DC436" s="167"/>
      <c r="DD436" s="167"/>
      <c r="DE436" s="167"/>
      <c r="DF436" s="167"/>
      <c r="DW436" s="167"/>
      <c r="DX436" s="167"/>
      <c r="DY436" s="167"/>
      <c r="DZ436" s="167"/>
      <c r="EA436" s="167"/>
      <c r="EB436" s="167"/>
      <c r="EC436" s="167"/>
      <c r="ED436" s="167"/>
      <c r="EU436" s="167"/>
      <c r="EV436" s="167"/>
      <c r="EW436" s="167"/>
      <c r="EX436" s="167"/>
      <c r="EY436" s="167"/>
      <c r="EZ436" s="167"/>
      <c r="FA436" s="167"/>
      <c r="FB436" s="167"/>
      <c r="FS436" s="167"/>
      <c r="FT436" s="167"/>
      <c r="FU436" s="167"/>
      <c r="FV436" s="167"/>
      <c r="FW436" s="167"/>
      <c r="FX436" s="167"/>
      <c r="FY436" s="167"/>
      <c r="FZ436" s="167"/>
    </row>
    <row r="437" spans="1:188" s="125" customFormat="1" ht="13.5" customHeight="1">
      <c r="A437" s="213">
        <v>5</v>
      </c>
      <c r="B437" s="83">
        <v>43130</v>
      </c>
      <c r="C437" s="18"/>
      <c r="D437" s="19" t="s">
        <v>1181</v>
      </c>
      <c r="E437" s="20" t="s">
        <v>363</v>
      </c>
      <c r="F437" s="82" t="s">
        <v>1323</v>
      </c>
      <c r="G437" s="58">
        <v>1709</v>
      </c>
      <c r="H437" s="121">
        <v>3478000</v>
      </c>
      <c r="I437" s="24"/>
      <c r="J437" s="24">
        <f>H437/1.05</f>
        <v>3312380.9523809524</v>
      </c>
      <c r="K437" s="24">
        <f t="shared" si="30"/>
        <v>3312380.9523809524</v>
      </c>
      <c r="L437" s="123">
        <v>1</v>
      </c>
      <c r="M437" s="24">
        <f t="shared" si="31"/>
        <v>3312380.9523809524</v>
      </c>
      <c r="N437" s="124">
        <f t="shared" si="32"/>
        <v>0</v>
      </c>
      <c r="O437" s="196" t="s">
        <v>1234</v>
      </c>
      <c r="P437" s="3"/>
      <c r="Q437" s="3"/>
      <c r="R437" s="3"/>
      <c r="S437" s="3"/>
      <c r="T437" s="3"/>
      <c r="U437" s="3"/>
      <c r="V437" s="131"/>
      <c r="W437" s="15"/>
      <c r="X437" s="3"/>
      <c r="Y437" s="3"/>
      <c r="Z437" s="3"/>
      <c r="AA437" s="3"/>
      <c r="AB437" s="3"/>
      <c r="AC437" s="131"/>
      <c r="AD437" s="15"/>
      <c r="AE437" s="99"/>
      <c r="AF437" s="149"/>
      <c r="AG437" s="134"/>
      <c r="AH437" s="134"/>
      <c r="AI437" s="137"/>
      <c r="AJ437" s="150"/>
      <c r="AK437" s="137"/>
      <c r="AL437" s="137"/>
      <c r="AM437" s="3"/>
      <c r="AN437" s="138"/>
      <c r="AO437" s="2"/>
      <c r="AP437" s="139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131"/>
      <c r="BB437" s="15"/>
      <c r="BC437" s="99"/>
      <c r="BD437" s="149"/>
      <c r="BE437" s="134"/>
      <c r="BF437" s="134"/>
      <c r="BG437" s="137"/>
      <c r="BH437" s="150"/>
      <c r="BI437" s="137"/>
      <c r="BJ437" s="137"/>
      <c r="BK437" s="3"/>
      <c r="BL437" s="138"/>
      <c r="BM437" s="2"/>
      <c r="BN437" s="139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131"/>
      <c r="BZ437" s="15"/>
      <c r="CA437" s="99"/>
      <c r="CB437" s="149"/>
      <c r="CC437" s="134"/>
      <c r="CD437" s="134"/>
      <c r="CE437" s="137"/>
      <c r="CF437" s="150"/>
      <c r="CG437" s="137"/>
      <c r="CH437" s="137"/>
      <c r="CI437" s="3"/>
      <c r="CJ437" s="138"/>
      <c r="CK437" s="2"/>
      <c r="CL437" s="139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131"/>
      <c r="CX437" s="15"/>
      <c r="CY437" s="99"/>
      <c r="CZ437" s="149"/>
      <c r="DA437" s="134"/>
      <c r="DB437" s="134"/>
      <c r="DC437" s="137"/>
      <c r="DD437" s="150"/>
      <c r="DE437" s="137"/>
      <c r="DF437" s="137"/>
      <c r="DG437" s="3"/>
      <c r="DH437" s="138"/>
      <c r="DI437" s="2"/>
      <c r="DJ437" s="139"/>
      <c r="DK437" s="3"/>
      <c r="DL437" s="3"/>
      <c r="DM437" s="3"/>
      <c r="DN437" s="3"/>
      <c r="DO437" s="3"/>
      <c r="DP437" s="3"/>
      <c r="DQ437" s="3"/>
      <c r="DR437" s="3"/>
      <c r="DS437" s="3"/>
      <c r="DT437" s="3"/>
      <c r="DU437" s="131"/>
      <c r="DV437" s="15"/>
      <c r="DW437" s="99"/>
      <c r="DX437" s="149"/>
      <c r="DY437" s="134"/>
      <c r="DZ437" s="134"/>
      <c r="EA437" s="137"/>
      <c r="EB437" s="150"/>
      <c r="EC437" s="137"/>
      <c r="ED437" s="137"/>
      <c r="EE437" s="3"/>
      <c r="EF437" s="138"/>
      <c r="EG437" s="2"/>
      <c r="EH437" s="139"/>
      <c r="EI437" s="3"/>
      <c r="EJ437" s="3"/>
      <c r="EK437" s="3"/>
      <c r="EL437" s="3"/>
      <c r="EM437" s="3"/>
      <c r="EN437" s="3"/>
      <c r="EO437" s="3"/>
      <c r="EP437" s="3"/>
      <c r="EQ437" s="3"/>
      <c r="ER437" s="3"/>
      <c r="ES437" s="131"/>
      <c r="ET437" s="15"/>
      <c r="EU437" s="99"/>
      <c r="EV437" s="149"/>
      <c r="EW437" s="134"/>
      <c r="EX437" s="134"/>
      <c r="EY437" s="137"/>
      <c r="EZ437" s="150"/>
      <c r="FA437" s="137"/>
      <c r="FB437" s="137"/>
      <c r="FC437" s="3"/>
      <c r="FD437" s="138"/>
      <c r="FE437" s="2"/>
      <c r="FF437" s="139"/>
      <c r="FG437" s="3"/>
      <c r="FH437" s="3"/>
      <c r="FI437" s="3"/>
      <c r="FJ437" s="3"/>
      <c r="FK437" s="3"/>
      <c r="FL437" s="3"/>
      <c r="FM437" s="3"/>
      <c r="FN437" s="3"/>
      <c r="FO437" s="3"/>
      <c r="FP437" s="3"/>
      <c r="FQ437" s="131"/>
      <c r="FR437" s="15"/>
      <c r="FS437" s="99"/>
      <c r="FT437" s="149"/>
      <c r="FU437" s="134"/>
      <c r="FV437" s="134"/>
      <c r="FW437" s="137"/>
      <c r="FX437" s="150"/>
      <c r="FY437" s="137"/>
      <c r="FZ437" s="137"/>
      <c r="GA437" s="3"/>
      <c r="GB437" s="138"/>
      <c r="GC437" s="2"/>
      <c r="GD437" s="139"/>
      <c r="GE437" s="3"/>
      <c r="GF437" s="3"/>
    </row>
    <row r="438" spans="1:188" s="125" customFormat="1" ht="13.5" customHeight="1">
      <c r="A438" s="213">
        <v>6</v>
      </c>
      <c r="B438" s="60">
        <v>43110</v>
      </c>
      <c r="C438" s="18"/>
      <c r="D438" s="19" t="s">
        <v>1169</v>
      </c>
      <c r="E438" s="20" t="s">
        <v>330</v>
      </c>
      <c r="F438" s="168" t="s">
        <v>1324</v>
      </c>
      <c r="G438" s="63">
        <v>1708</v>
      </c>
      <c r="H438" s="121">
        <v>2440000</v>
      </c>
      <c r="I438" s="24"/>
      <c r="J438" s="24">
        <f>H438/1.05</f>
        <v>2323809.5238095238</v>
      </c>
      <c r="K438" s="24">
        <f t="shared" si="30"/>
        <v>2323809.5238095238</v>
      </c>
      <c r="L438" s="123">
        <v>1</v>
      </c>
      <c r="M438" s="24">
        <f t="shared" si="31"/>
        <v>2323809.5238095238</v>
      </c>
      <c r="N438" s="124">
        <f t="shared" si="32"/>
        <v>0</v>
      </c>
      <c r="O438" s="196" t="s">
        <v>1102</v>
      </c>
      <c r="P438" s="3"/>
      <c r="Q438" s="3"/>
      <c r="R438" s="3"/>
      <c r="S438" s="3"/>
      <c r="T438" s="3"/>
      <c r="U438" s="3"/>
      <c r="V438" s="131"/>
      <c r="W438" s="15"/>
      <c r="X438" s="3"/>
      <c r="Y438" s="3"/>
      <c r="Z438" s="3"/>
      <c r="AA438" s="3"/>
      <c r="AB438" s="3"/>
      <c r="AC438" s="131"/>
      <c r="AD438" s="15"/>
      <c r="AE438" s="99"/>
      <c r="AF438" s="149"/>
      <c r="AG438" s="134"/>
      <c r="AH438" s="134"/>
      <c r="AI438" s="137"/>
      <c r="AJ438" s="150"/>
      <c r="AK438" s="137"/>
      <c r="AL438" s="137"/>
      <c r="AM438" s="3"/>
      <c r="AN438" s="138"/>
      <c r="AO438" s="2"/>
      <c r="AP438" s="139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131"/>
      <c r="BB438" s="15"/>
      <c r="BC438" s="99"/>
      <c r="BD438" s="149"/>
      <c r="BE438" s="134"/>
      <c r="BF438" s="134"/>
      <c r="BG438" s="137"/>
      <c r="BH438" s="150"/>
      <c r="BI438" s="137"/>
      <c r="BJ438" s="137"/>
      <c r="BK438" s="3"/>
      <c r="BL438" s="138"/>
      <c r="BM438" s="2"/>
      <c r="BN438" s="139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131"/>
      <c r="BZ438" s="15"/>
      <c r="CA438" s="99"/>
      <c r="CB438" s="149"/>
      <c r="CC438" s="134"/>
      <c r="CD438" s="134"/>
      <c r="CE438" s="137"/>
      <c r="CF438" s="150"/>
      <c r="CG438" s="137"/>
      <c r="CH438" s="137"/>
      <c r="CI438" s="3"/>
      <c r="CJ438" s="138"/>
      <c r="CK438" s="2"/>
      <c r="CL438" s="139"/>
      <c r="CM438" s="3"/>
      <c r="CN438" s="3"/>
      <c r="CO438" s="3"/>
      <c r="CP438" s="3"/>
      <c r="CQ438" s="3"/>
      <c r="CR438" s="3"/>
      <c r="CS438" s="3"/>
      <c r="CT438" s="3"/>
      <c r="CU438" s="3"/>
      <c r="CV438" s="3"/>
      <c r="CW438" s="131"/>
      <c r="CX438" s="15"/>
      <c r="CY438" s="99"/>
      <c r="CZ438" s="149"/>
      <c r="DA438" s="134"/>
      <c r="DB438" s="134"/>
      <c r="DC438" s="137"/>
      <c r="DD438" s="150"/>
      <c r="DE438" s="137"/>
      <c r="DF438" s="137"/>
      <c r="DG438" s="3"/>
      <c r="DH438" s="138"/>
      <c r="DI438" s="2"/>
      <c r="DJ438" s="139"/>
      <c r="DK438" s="3"/>
      <c r="DL438" s="3"/>
      <c r="DM438" s="3"/>
      <c r="DN438" s="3"/>
      <c r="DO438" s="3"/>
      <c r="DP438" s="3"/>
      <c r="DQ438" s="3"/>
      <c r="DR438" s="3"/>
      <c r="DS438" s="3"/>
      <c r="DT438" s="3"/>
      <c r="DU438" s="131"/>
      <c r="DV438" s="15"/>
      <c r="DW438" s="99"/>
      <c r="DX438" s="149"/>
      <c r="DY438" s="134"/>
      <c r="DZ438" s="134"/>
      <c r="EA438" s="137"/>
      <c r="EB438" s="150"/>
      <c r="EC438" s="137"/>
      <c r="ED438" s="137"/>
      <c r="EE438" s="3"/>
      <c r="EF438" s="138"/>
      <c r="EG438" s="2"/>
      <c r="EH438" s="139"/>
      <c r="EI438" s="3"/>
      <c r="EJ438" s="3"/>
      <c r="EK438" s="3"/>
      <c r="EL438" s="3"/>
      <c r="EM438" s="3"/>
      <c r="EN438" s="3"/>
      <c r="EO438" s="3"/>
      <c r="EP438" s="3"/>
      <c r="EQ438" s="3"/>
      <c r="ER438" s="3"/>
      <c r="ES438" s="131"/>
      <c r="ET438" s="15"/>
      <c r="EU438" s="99"/>
      <c r="EV438" s="149"/>
      <c r="EW438" s="134"/>
      <c r="EX438" s="134"/>
      <c r="EY438" s="137"/>
      <c r="EZ438" s="150"/>
      <c r="FA438" s="137"/>
      <c r="FB438" s="137"/>
      <c r="FC438" s="3"/>
      <c r="FD438" s="138"/>
      <c r="FE438" s="2"/>
      <c r="FF438" s="139"/>
      <c r="FG438" s="3"/>
      <c r="FH438" s="3"/>
      <c r="FI438" s="3"/>
      <c r="FJ438" s="3"/>
      <c r="FK438" s="3"/>
      <c r="FL438" s="3"/>
      <c r="FM438" s="3"/>
      <c r="FN438" s="3"/>
      <c r="FO438" s="3"/>
      <c r="FP438" s="3"/>
      <c r="FQ438" s="131"/>
      <c r="FR438" s="15"/>
      <c r="FS438" s="99"/>
      <c r="FT438" s="149"/>
      <c r="FU438" s="134"/>
      <c r="FV438" s="134"/>
      <c r="FW438" s="137"/>
      <c r="FX438" s="150"/>
      <c r="FY438" s="137"/>
      <c r="FZ438" s="137"/>
      <c r="GA438" s="3"/>
      <c r="GB438" s="138"/>
      <c r="GC438" s="2"/>
      <c r="GD438" s="139"/>
      <c r="GE438" s="3"/>
      <c r="GF438" s="3"/>
    </row>
    <row r="439" spans="1:188" s="125" customFormat="1" ht="13.5" customHeight="1">
      <c r="A439" s="213">
        <v>7</v>
      </c>
      <c r="B439" s="17">
        <v>43129</v>
      </c>
      <c r="C439" s="18"/>
      <c r="D439" s="19" t="s">
        <v>1180</v>
      </c>
      <c r="E439" s="20" t="s">
        <v>420</v>
      </c>
      <c r="F439" s="168" t="s">
        <v>1325</v>
      </c>
      <c r="G439" s="63">
        <v>1708</v>
      </c>
      <c r="H439" s="121">
        <v>3696000</v>
      </c>
      <c r="I439" s="24"/>
      <c r="J439" s="24">
        <v>3535013</v>
      </c>
      <c r="K439" s="24">
        <f t="shared" si="30"/>
        <v>3535013</v>
      </c>
      <c r="L439" s="123">
        <v>1</v>
      </c>
      <c r="M439" s="24">
        <f t="shared" si="31"/>
        <v>3535013</v>
      </c>
      <c r="N439" s="124">
        <f t="shared" si="32"/>
        <v>0</v>
      </c>
      <c r="O439" s="196" t="s">
        <v>1275</v>
      </c>
      <c r="P439" s="3"/>
      <c r="Q439" s="3"/>
      <c r="R439" s="3"/>
      <c r="S439" s="3"/>
      <c r="T439" s="3"/>
      <c r="U439" s="3"/>
      <c r="V439" s="131"/>
      <c r="W439" s="15"/>
      <c r="X439" s="3"/>
      <c r="Y439" s="3"/>
      <c r="Z439" s="3"/>
      <c r="AA439" s="3"/>
      <c r="AB439" s="3"/>
      <c r="AC439" s="131"/>
      <c r="AD439" s="15"/>
      <c r="AE439" s="99"/>
      <c r="AF439" s="149"/>
      <c r="AG439" s="134"/>
      <c r="AH439" s="134"/>
      <c r="AI439" s="137"/>
      <c r="AJ439" s="150"/>
      <c r="AK439" s="137"/>
      <c r="AL439" s="137"/>
      <c r="AM439" s="3"/>
      <c r="AN439" s="138"/>
      <c r="AO439" s="2"/>
      <c r="AP439" s="139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131"/>
      <c r="BB439" s="15"/>
      <c r="BC439" s="99"/>
      <c r="BD439" s="149"/>
      <c r="BE439" s="134"/>
      <c r="BF439" s="134"/>
      <c r="BG439" s="137"/>
      <c r="BH439" s="150"/>
      <c r="BI439" s="137"/>
      <c r="BJ439" s="137"/>
      <c r="BK439" s="3"/>
      <c r="BL439" s="138"/>
      <c r="BM439" s="2"/>
      <c r="BN439" s="139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131"/>
      <c r="BZ439" s="15"/>
      <c r="CA439" s="99"/>
      <c r="CB439" s="149"/>
      <c r="CC439" s="134"/>
      <c r="CD439" s="134"/>
      <c r="CE439" s="137"/>
      <c r="CF439" s="150"/>
      <c r="CG439" s="137"/>
      <c r="CH439" s="137"/>
      <c r="CI439" s="3"/>
      <c r="CJ439" s="138"/>
      <c r="CK439" s="2"/>
      <c r="CL439" s="139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131"/>
      <c r="CX439" s="15"/>
      <c r="CY439" s="99"/>
      <c r="CZ439" s="149"/>
      <c r="DA439" s="134"/>
      <c r="DB439" s="134"/>
      <c r="DC439" s="137"/>
      <c r="DD439" s="150"/>
      <c r="DE439" s="137"/>
      <c r="DF439" s="137"/>
      <c r="DG439" s="3"/>
      <c r="DH439" s="138"/>
      <c r="DI439" s="2"/>
      <c r="DJ439" s="139"/>
      <c r="DK439" s="3"/>
      <c r="DL439" s="3"/>
      <c r="DM439" s="3"/>
      <c r="DN439" s="3"/>
      <c r="DO439" s="3"/>
      <c r="DP439" s="3"/>
      <c r="DQ439" s="3"/>
      <c r="DR439" s="3"/>
      <c r="DS439" s="3"/>
      <c r="DT439" s="3"/>
      <c r="DU439" s="131"/>
      <c r="DV439" s="15"/>
      <c r="DW439" s="99"/>
      <c r="DX439" s="149"/>
      <c r="DY439" s="134"/>
      <c r="DZ439" s="134"/>
      <c r="EA439" s="137"/>
      <c r="EB439" s="150"/>
      <c r="EC439" s="137"/>
      <c r="ED439" s="137"/>
      <c r="EE439" s="3"/>
      <c r="EF439" s="138"/>
      <c r="EG439" s="2"/>
      <c r="EH439" s="139"/>
      <c r="EI439" s="3"/>
      <c r="EJ439" s="3"/>
      <c r="EK439" s="3"/>
      <c r="EL439" s="3"/>
      <c r="EM439" s="3"/>
      <c r="EN439" s="3"/>
      <c r="EO439" s="3"/>
      <c r="EP439" s="3"/>
      <c r="EQ439" s="3"/>
      <c r="ER439" s="3"/>
      <c r="ES439" s="131"/>
      <c r="ET439" s="15"/>
      <c r="EU439" s="99"/>
      <c r="EV439" s="149"/>
      <c r="EW439" s="134"/>
      <c r="EX439" s="134"/>
      <c r="EY439" s="137"/>
      <c r="EZ439" s="150"/>
      <c r="FA439" s="137"/>
      <c r="FB439" s="137"/>
      <c r="FC439" s="3"/>
      <c r="FD439" s="138"/>
      <c r="FE439" s="2"/>
      <c r="FF439" s="139"/>
      <c r="FG439" s="3"/>
      <c r="FH439" s="3"/>
      <c r="FI439" s="3"/>
      <c r="FJ439" s="3"/>
      <c r="FK439" s="3"/>
      <c r="FL439" s="3"/>
      <c r="FM439" s="3"/>
      <c r="FN439" s="3"/>
      <c r="FO439" s="3"/>
      <c r="FP439" s="3"/>
      <c r="FQ439" s="131"/>
      <c r="FR439" s="15"/>
      <c r="FS439" s="99"/>
      <c r="FT439" s="149"/>
      <c r="FU439" s="134"/>
      <c r="FV439" s="134"/>
      <c r="FW439" s="137"/>
      <c r="FX439" s="150"/>
      <c r="FY439" s="137"/>
      <c r="FZ439" s="137"/>
      <c r="GA439" s="3"/>
      <c r="GB439" s="138"/>
      <c r="GC439" s="2"/>
      <c r="GD439" s="139"/>
      <c r="GE439" s="3"/>
      <c r="GF439" s="3"/>
    </row>
    <row r="440" spans="1:188" s="125" customFormat="1" ht="13.5" customHeight="1">
      <c r="A440" s="213">
        <v>8</v>
      </c>
      <c r="B440" s="56">
        <v>43082</v>
      </c>
      <c r="C440" s="18"/>
      <c r="D440" s="19" t="s">
        <v>1165</v>
      </c>
      <c r="E440" s="20" t="s">
        <v>413</v>
      </c>
      <c r="F440" s="62" t="s">
        <v>415</v>
      </c>
      <c r="G440" s="63">
        <v>1707</v>
      </c>
      <c r="H440" s="121">
        <f>2010000-30000</f>
        <v>1980000</v>
      </c>
      <c r="I440" s="24">
        <v>1885714</v>
      </c>
      <c r="J440" s="24"/>
      <c r="K440" s="24">
        <f t="shared" si="30"/>
        <v>1885714</v>
      </c>
      <c r="L440" s="123">
        <v>1</v>
      </c>
      <c r="M440" s="24">
        <f t="shared" si="31"/>
        <v>1885714</v>
      </c>
      <c r="N440" s="124">
        <f t="shared" si="32"/>
        <v>0</v>
      </c>
      <c r="O440" s="196" t="s">
        <v>1326</v>
      </c>
      <c r="P440" s="3"/>
      <c r="Q440" s="3"/>
      <c r="R440" s="3"/>
      <c r="S440" s="3"/>
      <c r="T440" s="3"/>
      <c r="U440" s="3"/>
      <c r="V440" s="131"/>
      <c r="W440" s="15"/>
      <c r="X440" s="3"/>
      <c r="Y440" s="3"/>
      <c r="Z440" s="3"/>
      <c r="AA440" s="3"/>
      <c r="AB440" s="3"/>
      <c r="AC440" s="131"/>
      <c r="AD440" s="15"/>
      <c r="AE440" s="99"/>
      <c r="AF440" s="149"/>
      <c r="AG440" s="134"/>
      <c r="AH440" s="134"/>
      <c r="AI440" s="137"/>
      <c r="AJ440" s="150"/>
      <c r="AK440" s="137"/>
      <c r="AL440" s="137"/>
      <c r="AM440" s="3"/>
      <c r="AN440" s="138"/>
      <c r="AO440" s="2"/>
      <c r="AP440" s="139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131"/>
      <c r="BB440" s="15"/>
      <c r="BC440" s="99"/>
      <c r="BD440" s="149"/>
      <c r="BE440" s="134"/>
      <c r="BF440" s="134"/>
      <c r="BG440" s="137"/>
      <c r="BH440" s="150"/>
      <c r="BI440" s="137"/>
      <c r="BJ440" s="137"/>
      <c r="BK440" s="3"/>
      <c r="BL440" s="138"/>
      <c r="BM440" s="2"/>
      <c r="BN440" s="139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131"/>
      <c r="BZ440" s="15"/>
      <c r="CA440" s="99"/>
      <c r="CB440" s="149"/>
      <c r="CC440" s="134"/>
      <c r="CD440" s="134"/>
      <c r="CE440" s="137"/>
      <c r="CF440" s="150"/>
      <c r="CG440" s="137"/>
      <c r="CH440" s="137"/>
      <c r="CI440" s="3"/>
      <c r="CJ440" s="138"/>
      <c r="CK440" s="2"/>
      <c r="CL440" s="139"/>
      <c r="CM440" s="3"/>
      <c r="CN440" s="3"/>
      <c r="CO440" s="3"/>
      <c r="CP440" s="3"/>
      <c r="CQ440" s="3"/>
      <c r="CR440" s="3"/>
      <c r="CS440" s="3"/>
      <c r="CT440" s="3"/>
      <c r="CU440" s="3"/>
      <c r="CV440" s="3"/>
      <c r="CW440" s="131"/>
      <c r="CX440" s="15"/>
      <c r="CY440" s="99"/>
      <c r="CZ440" s="149"/>
      <c r="DA440" s="134"/>
      <c r="DB440" s="134"/>
      <c r="DC440" s="137"/>
      <c r="DD440" s="150"/>
      <c r="DE440" s="137"/>
      <c r="DF440" s="137"/>
      <c r="DG440" s="3"/>
      <c r="DH440" s="138"/>
      <c r="DI440" s="2"/>
      <c r="DJ440" s="139"/>
      <c r="DK440" s="3"/>
      <c r="DL440" s="3"/>
      <c r="DM440" s="3"/>
      <c r="DN440" s="3"/>
      <c r="DO440" s="3"/>
      <c r="DP440" s="3"/>
      <c r="DQ440" s="3"/>
      <c r="DR440" s="3"/>
      <c r="DS440" s="3"/>
      <c r="DT440" s="3"/>
      <c r="DU440" s="131"/>
      <c r="DV440" s="15"/>
      <c r="DW440" s="99"/>
      <c r="DX440" s="149"/>
      <c r="DY440" s="134"/>
      <c r="DZ440" s="134"/>
      <c r="EA440" s="137"/>
      <c r="EB440" s="150"/>
      <c r="EC440" s="137"/>
      <c r="ED440" s="137"/>
      <c r="EE440" s="3"/>
      <c r="EF440" s="138"/>
      <c r="EG440" s="2"/>
      <c r="EH440" s="139"/>
      <c r="EI440" s="3"/>
      <c r="EJ440" s="3"/>
      <c r="EK440" s="3"/>
      <c r="EL440" s="3"/>
      <c r="EM440" s="3"/>
      <c r="EN440" s="3"/>
      <c r="EO440" s="3"/>
      <c r="EP440" s="3"/>
      <c r="EQ440" s="3"/>
      <c r="ER440" s="3"/>
      <c r="ES440" s="131"/>
      <c r="ET440" s="15"/>
      <c r="EU440" s="99"/>
      <c r="EV440" s="149"/>
      <c r="EW440" s="134"/>
      <c r="EX440" s="134"/>
      <c r="EY440" s="137"/>
      <c r="EZ440" s="150"/>
      <c r="FA440" s="137"/>
      <c r="FB440" s="137"/>
      <c r="FC440" s="3"/>
      <c r="FD440" s="138"/>
      <c r="FE440" s="2"/>
      <c r="FF440" s="139"/>
      <c r="FG440" s="3"/>
      <c r="FH440" s="3"/>
      <c r="FI440" s="3"/>
      <c r="FJ440" s="3"/>
      <c r="FK440" s="3"/>
      <c r="FL440" s="3"/>
      <c r="FM440" s="3"/>
      <c r="FN440" s="3"/>
      <c r="FO440" s="3"/>
      <c r="FP440" s="3"/>
      <c r="FQ440" s="131"/>
      <c r="FR440" s="15"/>
      <c r="FS440" s="99"/>
      <c r="FT440" s="149"/>
      <c r="FU440" s="134"/>
      <c r="FV440" s="134"/>
      <c r="FW440" s="137"/>
      <c r="FX440" s="150"/>
      <c r="FY440" s="137"/>
      <c r="FZ440" s="137"/>
      <c r="GA440" s="3"/>
      <c r="GB440" s="138"/>
      <c r="GC440" s="2"/>
      <c r="GD440" s="139"/>
      <c r="GE440" s="3"/>
      <c r="GF440" s="3"/>
    </row>
    <row r="441" spans="1:188" s="125" customFormat="1" ht="13.5" customHeight="1">
      <c r="A441" s="213">
        <v>9</v>
      </c>
      <c r="B441" s="83">
        <v>43084</v>
      </c>
      <c r="C441" s="18"/>
      <c r="D441" s="19" t="s">
        <v>1206</v>
      </c>
      <c r="E441" s="20" t="s">
        <v>480</v>
      </c>
      <c r="F441" s="168" t="s">
        <v>481</v>
      </c>
      <c r="G441" s="63">
        <v>1708</v>
      </c>
      <c r="H441" s="121">
        <v>2630000</v>
      </c>
      <c r="I441" s="24">
        <v>2504762</v>
      </c>
      <c r="J441" s="24"/>
      <c r="K441" s="24">
        <f t="shared" si="30"/>
        <v>2504762</v>
      </c>
      <c r="L441" s="123">
        <v>1</v>
      </c>
      <c r="M441" s="24">
        <f t="shared" si="31"/>
        <v>2504762</v>
      </c>
      <c r="N441" s="124">
        <f t="shared" si="32"/>
        <v>0</v>
      </c>
      <c r="O441" s="196" t="s">
        <v>1326</v>
      </c>
      <c r="P441" s="3"/>
      <c r="Q441" s="3"/>
      <c r="R441" s="3"/>
      <c r="S441" s="3"/>
      <c r="T441" s="3"/>
      <c r="U441" s="3"/>
      <c r="V441" s="131"/>
      <c r="W441" s="15"/>
      <c r="X441" s="3"/>
      <c r="Y441" s="3"/>
      <c r="Z441" s="3"/>
      <c r="AA441" s="3"/>
      <c r="AB441" s="3"/>
      <c r="AC441" s="131"/>
      <c r="AD441" s="15"/>
      <c r="AE441" s="99"/>
      <c r="AF441" s="149"/>
      <c r="AG441" s="134"/>
      <c r="AH441" s="134"/>
      <c r="AI441" s="137"/>
      <c r="AJ441" s="150"/>
      <c r="AK441" s="137"/>
      <c r="AL441" s="137"/>
      <c r="AM441" s="3"/>
      <c r="AN441" s="138"/>
      <c r="AO441" s="2"/>
      <c r="AP441" s="139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131"/>
      <c r="BB441" s="15"/>
      <c r="BC441" s="99"/>
      <c r="BD441" s="149"/>
      <c r="BE441" s="134"/>
      <c r="BF441" s="134"/>
      <c r="BG441" s="137"/>
      <c r="BH441" s="150"/>
      <c r="BI441" s="137"/>
      <c r="BJ441" s="137"/>
      <c r="BK441" s="3"/>
      <c r="BL441" s="138"/>
      <c r="BM441" s="2"/>
      <c r="BN441" s="139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131"/>
      <c r="BZ441" s="15"/>
      <c r="CA441" s="99"/>
      <c r="CB441" s="149"/>
      <c r="CC441" s="134"/>
      <c r="CD441" s="134"/>
      <c r="CE441" s="137"/>
      <c r="CF441" s="150"/>
      <c r="CG441" s="137"/>
      <c r="CH441" s="137"/>
      <c r="CI441" s="3"/>
      <c r="CJ441" s="138"/>
      <c r="CK441" s="2"/>
      <c r="CL441" s="139"/>
      <c r="CM441" s="3"/>
      <c r="CN441" s="3"/>
      <c r="CO441" s="3"/>
      <c r="CP441" s="3"/>
      <c r="CQ441" s="3"/>
      <c r="CR441" s="3"/>
      <c r="CS441" s="3"/>
      <c r="CT441" s="3"/>
      <c r="CU441" s="3"/>
      <c r="CV441" s="3"/>
      <c r="CW441" s="131"/>
      <c r="CX441" s="15"/>
      <c r="CY441" s="99"/>
      <c r="CZ441" s="149"/>
      <c r="DA441" s="134"/>
      <c r="DB441" s="134"/>
      <c r="DC441" s="137"/>
      <c r="DD441" s="150"/>
      <c r="DE441" s="137"/>
      <c r="DF441" s="137"/>
      <c r="DG441" s="3"/>
      <c r="DH441" s="138"/>
      <c r="DI441" s="2"/>
      <c r="DJ441" s="139"/>
      <c r="DK441" s="3"/>
      <c r="DL441" s="3"/>
      <c r="DM441" s="3"/>
      <c r="DN441" s="3"/>
      <c r="DO441" s="3"/>
      <c r="DP441" s="3"/>
      <c r="DQ441" s="3"/>
      <c r="DR441" s="3"/>
      <c r="DS441" s="3"/>
      <c r="DT441" s="3"/>
      <c r="DU441" s="131"/>
      <c r="DV441" s="15"/>
      <c r="DW441" s="99"/>
      <c r="DX441" s="149"/>
      <c r="DY441" s="134"/>
      <c r="DZ441" s="134"/>
      <c r="EA441" s="137"/>
      <c r="EB441" s="150"/>
      <c r="EC441" s="137"/>
      <c r="ED441" s="137"/>
      <c r="EE441" s="3"/>
      <c r="EF441" s="138"/>
      <c r="EG441" s="2"/>
      <c r="EH441" s="139"/>
      <c r="EI441" s="3"/>
      <c r="EJ441" s="3"/>
      <c r="EK441" s="3"/>
      <c r="EL441" s="3"/>
      <c r="EM441" s="3"/>
      <c r="EN441" s="3"/>
      <c r="EO441" s="3"/>
      <c r="EP441" s="3"/>
      <c r="EQ441" s="3"/>
      <c r="ER441" s="3"/>
      <c r="ES441" s="131"/>
      <c r="ET441" s="15"/>
      <c r="EU441" s="99"/>
      <c r="EV441" s="149"/>
      <c r="EW441" s="134"/>
      <c r="EX441" s="134"/>
      <c r="EY441" s="137"/>
      <c r="EZ441" s="150"/>
      <c r="FA441" s="137"/>
      <c r="FB441" s="137"/>
      <c r="FC441" s="3"/>
      <c r="FD441" s="138"/>
      <c r="FE441" s="2"/>
      <c r="FF441" s="139"/>
      <c r="FG441" s="3"/>
      <c r="FH441" s="3"/>
      <c r="FI441" s="3"/>
      <c r="FJ441" s="3"/>
      <c r="FK441" s="3"/>
      <c r="FL441" s="3"/>
      <c r="FM441" s="3"/>
      <c r="FN441" s="3"/>
      <c r="FO441" s="3"/>
      <c r="FP441" s="3"/>
      <c r="FQ441" s="131"/>
      <c r="FR441" s="15"/>
      <c r="FS441" s="99"/>
      <c r="FT441" s="149"/>
      <c r="FU441" s="134"/>
      <c r="FV441" s="134"/>
      <c r="FW441" s="137"/>
      <c r="FX441" s="150"/>
      <c r="FY441" s="137"/>
      <c r="FZ441" s="137"/>
      <c r="GA441" s="3"/>
      <c r="GB441" s="138"/>
      <c r="GC441" s="2"/>
      <c r="GD441" s="139"/>
      <c r="GE441" s="3"/>
      <c r="GF441" s="3"/>
    </row>
    <row r="442" spans="1:188" s="125" customFormat="1" ht="13.5" customHeight="1">
      <c r="A442" s="213">
        <v>10</v>
      </c>
      <c r="B442" s="60">
        <v>43125</v>
      </c>
      <c r="C442" s="18"/>
      <c r="D442" s="19" t="s">
        <v>1132</v>
      </c>
      <c r="E442" s="20" t="s">
        <v>401</v>
      </c>
      <c r="F442" s="120" t="s">
        <v>1327</v>
      </c>
      <c r="G442" s="63">
        <v>1709</v>
      </c>
      <c r="H442" s="121">
        <v>1615000</v>
      </c>
      <c r="I442" s="24"/>
      <c r="J442" s="24">
        <f>H442/1.05</f>
        <v>1538095.2380952381</v>
      </c>
      <c r="K442" s="24">
        <f t="shared" si="30"/>
        <v>1538095.2380952381</v>
      </c>
      <c r="L442" s="123">
        <v>1</v>
      </c>
      <c r="M442" s="24">
        <f t="shared" si="31"/>
        <v>1538095.2380952381</v>
      </c>
      <c r="N442" s="124">
        <f t="shared" si="32"/>
        <v>0</v>
      </c>
      <c r="O442" s="196" t="s">
        <v>1257</v>
      </c>
      <c r="P442" s="3"/>
      <c r="Q442" s="3"/>
      <c r="R442" s="3"/>
      <c r="S442" s="3"/>
      <c r="T442" s="3"/>
      <c r="U442" s="3"/>
      <c r="V442" s="131"/>
      <c r="W442" s="15"/>
      <c r="X442" s="3"/>
      <c r="Y442" s="3"/>
      <c r="Z442" s="3"/>
      <c r="AA442" s="3"/>
      <c r="AB442" s="3"/>
      <c r="AC442" s="131"/>
      <c r="AD442" s="15"/>
      <c r="AE442" s="99"/>
      <c r="AF442" s="149"/>
      <c r="AG442" s="134"/>
      <c r="AH442" s="134"/>
      <c r="AI442" s="137"/>
      <c r="AJ442" s="150"/>
      <c r="AK442" s="137"/>
      <c r="AL442" s="137"/>
      <c r="AM442" s="3"/>
      <c r="AN442" s="138"/>
      <c r="AO442" s="2"/>
      <c r="AP442" s="139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131"/>
      <c r="BB442" s="15"/>
      <c r="BC442" s="99"/>
      <c r="BD442" s="149"/>
      <c r="BE442" s="134"/>
      <c r="BF442" s="134"/>
      <c r="BG442" s="137"/>
      <c r="BH442" s="150"/>
      <c r="BI442" s="137"/>
      <c r="BJ442" s="137"/>
      <c r="BK442" s="3"/>
      <c r="BL442" s="138"/>
      <c r="BM442" s="2"/>
      <c r="BN442" s="139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131"/>
      <c r="BZ442" s="15"/>
      <c r="CA442" s="99"/>
      <c r="CB442" s="149"/>
      <c r="CC442" s="134"/>
      <c r="CD442" s="134"/>
      <c r="CE442" s="137"/>
      <c r="CF442" s="150"/>
      <c r="CG442" s="137"/>
      <c r="CH442" s="137"/>
      <c r="CI442" s="3"/>
      <c r="CJ442" s="138"/>
      <c r="CK442" s="2"/>
      <c r="CL442" s="139"/>
      <c r="CM442" s="3"/>
      <c r="CN442" s="3"/>
      <c r="CO442" s="3"/>
      <c r="CP442" s="3"/>
      <c r="CQ442" s="3"/>
      <c r="CR442" s="3"/>
      <c r="CS442" s="3"/>
      <c r="CT442" s="3"/>
      <c r="CU442" s="3"/>
      <c r="CV442" s="3"/>
      <c r="CW442" s="131"/>
      <c r="CX442" s="15"/>
      <c r="CY442" s="99"/>
      <c r="CZ442" s="149"/>
      <c r="DA442" s="134"/>
      <c r="DB442" s="134"/>
      <c r="DC442" s="137"/>
      <c r="DD442" s="150"/>
      <c r="DE442" s="137"/>
      <c r="DF442" s="137"/>
      <c r="DG442" s="3"/>
      <c r="DH442" s="138"/>
      <c r="DI442" s="2"/>
      <c r="DJ442" s="139"/>
      <c r="DK442" s="3"/>
      <c r="DL442" s="3"/>
      <c r="DM442" s="3"/>
      <c r="DN442" s="3"/>
      <c r="DO442" s="3"/>
      <c r="DP442" s="3"/>
      <c r="DQ442" s="3"/>
      <c r="DR442" s="3"/>
      <c r="DS442" s="3"/>
      <c r="DT442" s="3"/>
      <c r="DU442" s="131"/>
      <c r="DV442" s="15"/>
      <c r="DW442" s="99"/>
      <c r="DX442" s="149"/>
      <c r="DY442" s="134"/>
      <c r="DZ442" s="134"/>
      <c r="EA442" s="137"/>
      <c r="EB442" s="150"/>
      <c r="EC442" s="137"/>
      <c r="ED442" s="137"/>
      <c r="EE442" s="3"/>
      <c r="EF442" s="138"/>
      <c r="EG442" s="2"/>
      <c r="EH442" s="139"/>
      <c r="EI442" s="3"/>
      <c r="EJ442" s="3"/>
      <c r="EK442" s="3"/>
      <c r="EL442" s="3"/>
      <c r="EM442" s="3"/>
      <c r="EN442" s="3"/>
      <c r="EO442" s="3"/>
      <c r="EP442" s="3"/>
      <c r="EQ442" s="3"/>
      <c r="ER442" s="3"/>
      <c r="ES442" s="131"/>
      <c r="ET442" s="15"/>
      <c r="EU442" s="99"/>
      <c r="EV442" s="149"/>
      <c r="EW442" s="134"/>
      <c r="EX442" s="134"/>
      <c r="EY442" s="137"/>
      <c r="EZ442" s="150"/>
      <c r="FA442" s="137"/>
      <c r="FB442" s="137"/>
      <c r="FC442" s="3"/>
      <c r="FD442" s="138"/>
      <c r="FE442" s="2"/>
      <c r="FF442" s="139"/>
      <c r="FG442" s="3"/>
      <c r="FH442" s="3"/>
      <c r="FI442" s="3"/>
      <c r="FJ442" s="3"/>
      <c r="FK442" s="3"/>
      <c r="FL442" s="3"/>
      <c r="FM442" s="3"/>
      <c r="FN442" s="3"/>
      <c r="FO442" s="3"/>
      <c r="FP442" s="3"/>
      <c r="FQ442" s="131"/>
      <c r="FR442" s="15"/>
      <c r="FS442" s="99"/>
      <c r="FT442" s="149"/>
      <c r="FU442" s="134"/>
      <c r="FV442" s="134"/>
      <c r="FW442" s="137"/>
      <c r="FX442" s="150"/>
      <c r="FY442" s="137"/>
      <c r="FZ442" s="137"/>
      <c r="GA442" s="3"/>
      <c r="GB442" s="138"/>
      <c r="GC442" s="2"/>
      <c r="GD442" s="139"/>
      <c r="GE442" s="3"/>
      <c r="GF442" s="3"/>
    </row>
    <row r="443" spans="1:188" s="125" customFormat="1" ht="13.5" customHeight="1">
      <c r="A443" s="213">
        <v>11</v>
      </c>
      <c r="B443" s="60">
        <v>43095</v>
      </c>
      <c r="C443" s="18"/>
      <c r="D443" s="19" t="s">
        <v>1141</v>
      </c>
      <c r="E443" s="20" t="s">
        <v>301</v>
      </c>
      <c r="F443" s="168" t="s">
        <v>303</v>
      </c>
      <c r="G443" s="63">
        <v>1708</v>
      </c>
      <c r="H443" s="121">
        <v>1674000</v>
      </c>
      <c r="I443" s="24">
        <v>1594286</v>
      </c>
      <c r="J443" s="24"/>
      <c r="K443" s="24">
        <f t="shared" si="30"/>
        <v>1594286</v>
      </c>
      <c r="L443" s="123">
        <v>1</v>
      </c>
      <c r="M443" s="24">
        <f t="shared" si="31"/>
        <v>1594286</v>
      </c>
      <c r="N443" s="124">
        <f t="shared" si="32"/>
        <v>0</v>
      </c>
      <c r="O443" s="196" t="s">
        <v>1168</v>
      </c>
      <c r="P443" s="3"/>
      <c r="Q443" s="3"/>
      <c r="R443" s="3"/>
      <c r="S443" s="3"/>
      <c r="T443" s="3"/>
      <c r="U443" s="3"/>
      <c r="V443" s="131"/>
      <c r="W443" s="15"/>
      <c r="X443" s="3"/>
      <c r="Y443" s="3"/>
      <c r="Z443" s="3"/>
      <c r="AA443" s="3"/>
      <c r="AB443" s="3"/>
      <c r="AC443" s="131"/>
      <c r="AD443" s="15"/>
      <c r="AE443" s="99"/>
      <c r="AF443" s="149"/>
      <c r="AG443" s="134"/>
      <c r="AH443" s="134"/>
      <c r="AI443" s="137"/>
      <c r="AJ443" s="150"/>
      <c r="AK443" s="137"/>
      <c r="AL443" s="137"/>
      <c r="AM443" s="3"/>
      <c r="AN443" s="138"/>
      <c r="AO443" s="2"/>
      <c r="AP443" s="139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131"/>
      <c r="BB443" s="15"/>
      <c r="BC443" s="99"/>
      <c r="BD443" s="149"/>
      <c r="BE443" s="134"/>
      <c r="BF443" s="134"/>
      <c r="BG443" s="137"/>
      <c r="BH443" s="150"/>
      <c r="BI443" s="137"/>
      <c r="BJ443" s="137"/>
      <c r="BK443" s="3"/>
      <c r="BL443" s="138"/>
      <c r="BM443" s="2"/>
      <c r="BN443" s="139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131"/>
      <c r="BZ443" s="15"/>
      <c r="CA443" s="99"/>
      <c r="CB443" s="149"/>
      <c r="CC443" s="134"/>
      <c r="CD443" s="134"/>
      <c r="CE443" s="137"/>
      <c r="CF443" s="150"/>
      <c r="CG443" s="137"/>
      <c r="CH443" s="137"/>
      <c r="CI443" s="3"/>
      <c r="CJ443" s="138"/>
      <c r="CK443" s="2"/>
      <c r="CL443" s="139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131"/>
      <c r="CX443" s="15"/>
      <c r="CY443" s="99"/>
      <c r="CZ443" s="149"/>
      <c r="DA443" s="134"/>
      <c r="DB443" s="134"/>
      <c r="DC443" s="137"/>
      <c r="DD443" s="150"/>
      <c r="DE443" s="137"/>
      <c r="DF443" s="137"/>
      <c r="DG443" s="3"/>
      <c r="DH443" s="138"/>
      <c r="DI443" s="2"/>
      <c r="DJ443" s="139"/>
      <c r="DK443" s="3"/>
      <c r="DL443" s="3"/>
      <c r="DM443" s="3"/>
      <c r="DN443" s="3"/>
      <c r="DO443" s="3"/>
      <c r="DP443" s="3"/>
      <c r="DQ443" s="3"/>
      <c r="DR443" s="3"/>
      <c r="DS443" s="3"/>
      <c r="DT443" s="3"/>
      <c r="DU443" s="131"/>
      <c r="DV443" s="15"/>
      <c r="DW443" s="99"/>
      <c r="DX443" s="149"/>
      <c r="DY443" s="134"/>
      <c r="DZ443" s="134"/>
      <c r="EA443" s="137"/>
      <c r="EB443" s="150"/>
      <c r="EC443" s="137"/>
      <c r="ED443" s="137"/>
      <c r="EE443" s="3"/>
      <c r="EF443" s="138"/>
      <c r="EG443" s="2"/>
      <c r="EH443" s="139"/>
      <c r="EI443" s="3"/>
      <c r="EJ443" s="3"/>
      <c r="EK443" s="3"/>
      <c r="EL443" s="3"/>
      <c r="EM443" s="3"/>
      <c r="EN443" s="3"/>
      <c r="EO443" s="3"/>
      <c r="EP443" s="3"/>
      <c r="EQ443" s="3"/>
      <c r="ER443" s="3"/>
      <c r="ES443" s="131"/>
      <c r="ET443" s="15"/>
      <c r="EU443" s="99"/>
      <c r="EV443" s="149"/>
      <c r="EW443" s="134"/>
      <c r="EX443" s="134"/>
      <c r="EY443" s="137"/>
      <c r="EZ443" s="150"/>
      <c r="FA443" s="137"/>
      <c r="FB443" s="137"/>
      <c r="FC443" s="3"/>
      <c r="FD443" s="138"/>
      <c r="FE443" s="2"/>
      <c r="FF443" s="139"/>
      <c r="FG443" s="3"/>
      <c r="FH443" s="3"/>
      <c r="FI443" s="3"/>
      <c r="FJ443" s="3"/>
      <c r="FK443" s="3"/>
      <c r="FL443" s="3"/>
      <c r="FM443" s="3"/>
      <c r="FN443" s="3"/>
      <c r="FO443" s="3"/>
      <c r="FP443" s="3"/>
      <c r="FQ443" s="131"/>
      <c r="FR443" s="15"/>
      <c r="FS443" s="99"/>
      <c r="FT443" s="149"/>
      <c r="FU443" s="134"/>
      <c r="FV443" s="134"/>
      <c r="FW443" s="137"/>
      <c r="FX443" s="150"/>
      <c r="FY443" s="137"/>
      <c r="FZ443" s="137"/>
      <c r="GA443" s="3"/>
      <c r="GB443" s="138"/>
      <c r="GC443" s="2"/>
      <c r="GD443" s="139"/>
      <c r="GE443" s="3"/>
      <c r="GF443" s="3"/>
    </row>
    <row r="444" spans="1:188" s="125" customFormat="1" ht="13.5" customHeight="1">
      <c r="A444" s="213">
        <v>12</v>
      </c>
      <c r="B444" s="56">
        <v>43062</v>
      </c>
      <c r="C444" s="18"/>
      <c r="D444" s="19" t="s">
        <v>1163</v>
      </c>
      <c r="E444" s="20" t="s">
        <v>317</v>
      </c>
      <c r="F444" s="120" t="s">
        <v>318</v>
      </c>
      <c r="G444" s="63">
        <v>1709</v>
      </c>
      <c r="H444" s="121">
        <v>2444000</v>
      </c>
      <c r="I444" s="24">
        <v>2327619</v>
      </c>
      <c r="J444" s="24"/>
      <c r="K444" s="24">
        <f t="shared" si="30"/>
        <v>2327619</v>
      </c>
      <c r="L444" s="123">
        <v>1</v>
      </c>
      <c r="M444" s="24">
        <f t="shared" si="31"/>
        <v>2327619</v>
      </c>
      <c r="N444" s="124">
        <f t="shared" si="32"/>
        <v>0</v>
      </c>
      <c r="O444" s="196" t="s">
        <v>1168</v>
      </c>
      <c r="P444" s="3"/>
      <c r="Q444" s="3"/>
      <c r="R444" s="3"/>
      <c r="S444" s="3"/>
      <c r="T444" s="3"/>
      <c r="U444" s="3"/>
      <c r="V444" s="131"/>
      <c r="W444" s="15"/>
      <c r="X444" s="3"/>
      <c r="Y444" s="3"/>
      <c r="Z444" s="3"/>
      <c r="AA444" s="3"/>
      <c r="AB444" s="3"/>
      <c r="AC444" s="131"/>
      <c r="AD444" s="15"/>
      <c r="AE444" s="99"/>
      <c r="AF444" s="149"/>
      <c r="AG444" s="134"/>
      <c r="AH444" s="134"/>
      <c r="AI444" s="137"/>
      <c r="AJ444" s="150"/>
      <c r="AK444" s="137"/>
      <c r="AL444" s="137"/>
      <c r="AM444" s="3"/>
      <c r="AN444" s="138"/>
      <c r="AO444" s="2"/>
      <c r="AP444" s="139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131"/>
      <c r="BB444" s="15"/>
      <c r="BC444" s="99"/>
      <c r="BD444" s="149"/>
      <c r="BE444" s="134"/>
      <c r="BF444" s="134"/>
      <c r="BG444" s="137"/>
      <c r="BH444" s="150"/>
      <c r="BI444" s="137"/>
      <c r="BJ444" s="137"/>
      <c r="BK444" s="3"/>
      <c r="BL444" s="138"/>
      <c r="BM444" s="2"/>
      <c r="BN444" s="139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131"/>
      <c r="BZ444" s="15"/>
      <c r="CA444" s="99"/>
      <c r="CB444" s="149"/>
      <c r="CC444" s="134"/>
      <c r="CD444" s="134"/>
      <c r="CE444" s="137"/>
      <c r="CF444" s="150"/>
      <c r="CG444" s="137"/>
      <c r="CH444" s="137"/>
      <c r="CI444" s="3"/>
      <c r="CJ444" s="138"/>
      <c r="CK444" s="2"/>
      <c r="CL444" s="139"/>
      <c r="CM444" s="3"/>
      <c r="CN444" s="3"/>
      <c r="CO444" s="3"/>
      <c r="CP444" s="3"/>
      <c r="CQ444" s="3"/>
      <c r="CR444" s="3"/>
      <c r="CS444" s="3"/>
      <c r="CT444" s="3"/>
      <c r="CU444" s="3"/>
      <c r="CV444" s="3"/>
      <c r="CW444" s="131"/>
      <c r="CX444" s="15"/>
      <c r="CY444" s="99"/>
      <c r="CZ444" s="149"/>
      <c r="DA444" s="134"/>
      <c r="DB444" s="134"/>
      <c r="DC444" s="137"/>
      <c r="DD444" s="150"/>
      <c r="DE444" s="137"/>
      <c r="DF444" s="137"/>
      <c r="DG444" s="3"/>
      <c r="DH444" s="138"/>
      <c r="DI444" s="2"/>
      <c r="DJ444" s="139"/>
      <c r="DK444" s="3"/>
      <c r="DL444" s="3"/>
      <c r="DM444" s="3"/>
      <c r="DN444" s="3"/>
      <c r="DO444" s="3"/>
      <c r="DP444" s="3"/>
      <c r="DQ444" s="3"/>
      <c r="DR444" s="3"/>
      <c r="DS444" s="3"/>
      <c r="DT444" s="3"/>
      <c r="DU444" s="131"/>
      <c r="DV444" s="15"/>
      <c r="DW444" s="99"/>
      <c r="DX444" s="149"/>
      <c r="DY444" s="134"/>
      <c r="DZ444" s="134"/>
      <c r="EA444" s="137"/>
      <c r="EB444" s="150"/>
      <c r="EC444" s="137"/>
      <c r="ED444" s="137"/>
      <c r="EE444" s="3"/>
      <c r="EF444" s="138"/>
      <c r="EG444" s="2"/>
      <c r="EH444" s="139"/>
      <c r="EI444" s="3"/>
      <c r="EJ444" s="3"/>
      <c r="EK444" s="3"/>
      <c r="EL444" s="3"/>
      <c r="EM444" s="3"/>
      <c r="EN444" s="3"/>
      <c r="EO444" s="3"/>
      <c r="EP444" s="3"/>
      <c r="EQ444" s="3"/>
      <c r="ER444" s="3"/>
      <c r="ES444" s="131"/>
      <c r="ET444" s="15"/>
      <c r="EU444" s="99"/>
      <c r="EV444" s="149"/>
      <c r="EW444" s="134"/>
      <c r="EX444" s="134"/>
      <c r="EY444" s="137"/>
      <c r="EZ444" s="150"/>
      <c r="FA444" s="137"/>
      <c r="FB444" s="137"/>
      <c r="FC444" s="3"/>
      <c r="FD444" s="138"/>
      <c r="FE444" s="2"/>
      <c r="FF444" s="139"/>
      <c r="FG444" s="3"/>
      <c r="FH444" s="3"/>
      <c r="FI444" s="3"/>
      <c r="FJ444" s="3"/>
      <c r="FK444" s="3"/>
      <c r="FL444" s="3"/>
      <c r="FM444" s="3"/>
      <c r="FN444" s="3"/>
      <c r="FO444" s="3"/>
      <c r="FP444" s="3"/>
      <c r="FQ444" s="131"/>
      <c r="FR444" s="15"/>
      <c r="FS444" s="99"/>
      <c r="FT444" s="149"/>
      <c r="FU444" s="134"/>
      <c r="FV444" s="134"/>
      <c r="FW444" s="137"/>
      <c r="FX444" s="150"/>
      <c r="FY444" s="137"/>
      <c r="FZ444" s="137"/>
      <c r="GA444" s="3"/>
      <c r="GB444" s="138"/>
      <c r="GC444" s="2"/>
      <c r="GD444" s="139"/>
      <c r="GE444" s="3"/>
      <c r="GF444" s="3"/>
    </row>
    <row r="445" spans="1:188" s="125" customFormat="1" ht="13.5" customHeight="1">
      <c r="A445" s="213">
        <v>13</v>
      </c>
      <c r="B445" s="60">
        <v>43117</v>
      </c>
      <c r="C445" s="18"/>
      <c r="D445" s="19" t="s">
        <v>1169</v>
      </c>
      <c r="E445" s="20" t="s">
        <v>341</v>
      </c>
      <c r="F445" s="82" t="s">
        <v>1328</v>
      </c>
      <c r="G445" s="58">
        <v>1709</v>
      </c>
      <c r="H445" s="121">
        <v>2630000</v>
      </c>
      <c r="I445" s="24"/>
      <c r="J445" s="24">
        <f>H445/1.05</f>
        <v>2504761.9047619049</v>
      </c>
      <c r="K445" s="24">
        <f t="shared" si="30"/>
        <v>2504761.9047619049</v>
      </c>
      <c r="L445" s="123">
        <v>1</v>
      </c>
      <c r="M445" s="24">
        <f t="shared" si="31"/>
        <v>2504761.9047619049</v>
      </c>
      <c r="N445" s="124">
        <f t="shared" si="32"/>
        <v>0</v>
      </c>
      <c r="O445" s="196" t="s">
        <v>1168</v>
      </c>
      <c r="P445" s="3"/>
      <c r="Q445" s="3"/>
      <c r="R445" s="3"/>
      <c r="S445" s="3"/>
      <c r="T445" s="3"/>
      <c r="U445" s="3"/>
      <c r="V445" s="131"/>
      <c r="W445" s="15"/>
      <c r="X445" s="3"/>
      <c r="Y445" s="3"/>
      <c r="Z445" s="3"/>
      <c r="AA445" s="3"/>
      <c r="AB445" s="3"/>
      <c r="AC445" s="131"/>
      <c r="AD445" s="15"/>
      <c r="AE445" s="99"/>
      <c r="AF445" s="149"/>
      <c r="AG445" s="134"/>
      <c r="AH445" s="134"/>
      <c r="AI445" s="137"/>
      <c r="AJ445" s="150"/>
      <c r="AK445" s="137"/>
      <c r="AL445" s="137"/>
      <c r="AM445" s="3"/>
      <c r="AN445" s="138"/>
      <c r="AO445" s="2"/>
      <c r="AP445" s="139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131"/>
      <c r="BB445" s="15"/>
      <c r="BC445" s="99"/>
      <c r="BD445" s="149"/>
      <c r="BE445" s="134"/>
      <c r="BF445" s="134"/>
      <c r="BG445" s="137"/>
      <c r="BH445" s="150"/>
      <c r="BI445" s="137"/>
      <c r="BJ445" s="137"/>
      <c r="BK445" s="3"/>
      <c r="BL445" s="138"/>
      <c r="BM445" s="2"/>
      <c r="BN445" s="139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131"/>
      <c r="BZ445" s="15"/>
      <c r="CA445" s="99"/>
      <c r="CB445" s="149"/>
      <c r="CC445" s="134"/>
      <c r="CD445" s="134"/>
      <c r="CE445" s="137"/>
      <c r="CF445" s="150"/>
      <c r="CG445" s="137"/>
      <c r="CH445" s="137"/>
      <c r="CI445" s="3"/>
      <c r="CJ445" s="138"/>
      <c r="CK445" s="2"/>
      <c r="CL445" s="139"/>
      <c r="CM445" s="3"/>
      <c r="CN445" s="3"/>
      <c r="CO445" s="3"/>
      <c r="CP445" s="3"/>
      <c r="CQ445" s="3"/>
      <c r="CR445" s="3"/>
      <c r="CS445" s="3"/>
      <c r="CT445" s="3"/>
      <c r="CU445" s="3"/>
      <c r="CV445" s="3"/>
      <c r="CW445" s="131"/>
      <c r="CX445" s="15"/>
      <c r="CY445" s="99"/>
      <c r="CZ445" s="149"/>
      <c r="DA445" s="134"/>
      <c r="DB445" s="134"/>
      <c r="DC445" s="137"/>
      <c r="DD445" s="150"/>
      <c r="DE445" s="137"/>
      <c r="DF445" s="137"/>
      <c r="DG445" s="3"/>
      <c r="DH445" s="138"/>
      <c r="DI445" s="2"/>
      <c r="DJ445" s="139"/>
      <c r="DK445" s="3"/>
      <c r="DL445" s="3"/>
      <c r="DM445" s="3"/>
      <c r="DN445" s="3"/>
      <c r="DO445" s="3"/>
      <c r="DP445" s="3"/>
      <c r="DQ445" s="3"/>
      <c r="DR445" s="3"/>
      <c r="DS445" s="3"/>
      <c r="DT445" s="3"/>
      <c r="DU445" s="131"/>
      <c r="DV445" s="15"/>
      <c r="DW445" s="99"/>
      <c r="DX445" s="149"/>
      <c r="DY445" s="134"/>
      <c r="DZ445" s="134"/>
      <c r="EA445" s="137"/>
      <c r="EB445" s="150"/>
      <c r="EC445" s="137"/>
      <c r="ED445" s="137"/>
      <c r="EE445" s="3"/>
      <c r="EF445" s="138"/>
      <c r="EG445" s="2"/>
      <c r="EH445" s="139"/>
      <c r="EI445" s="3"/>
      <c r="EJ445" s="3"/>
      <c r="EK445" s="3"/>
      <c r="EL445" s="3"/>
      <c r="EM445" s="3"/>
      <c r="EN445" s="3"/>
      <c r="EO445" s="3"/>
      <c r="EP445" s="3"/>
      <c r="EQ445" s="3"/>
      <c r="ER445" s="3"/>
      <c r="ES445" s="131"/>
      <c r="ET445" s="15"/>
      <c r="EU445" s="99"/>
      <c r="EV445" s="149"/>
      <c r="EW445" s="134"/>
      <c r="EX445" s="134"/>
      <c r="EY445" s="137"/>
      <c r="EZ445" s="150"/>
      <c r="FA445" s="137"/>
      <c r="FB445" s="137"/>
      <c r="FC445" s="3"/>
      <c r="FD445" s="138"/>
      <c r="FE445" s="2"/>
      <c r="FF445" s="139"/>
      <c r="FG445" s="3"/>
      <c r="FH445" s="3"/>
      <c r="FI445" s="3"/>
      <c r="FJ445" s="3"/>
      <c r="FK445" s="3"/>
      <c r="FL445" s="3"/>
      <c r="FM445" s="3"/>
      <c r="FN445" s="3"/>
      <c r="FO445" s="3"/>
      <c r="FP445" s="3"/>
      <c r="FQ445" s="131"/>
      <c r="FR445" s="15"/>
      <c r="FS445" s="99"/>
      <c r="FT445" s="149"/>
      <c r="FU445" s="134"/>
      <c r="FV445" s="134"/>
      <c r="FW445" s="137"/>
      <c r="FX445" s="150"/>
      <c r="FY445" s="137"/>
      <c r="FZ445" s="137"/>
      <c r="GA445" s="3"/>
      <c r="GB445" s="138"/>
      <c r="GC445" s="2"/>
      <c r="GD445" s="139"/>
      <c r="GE445" s="3"/>
      <c r="GF445" s="3"/>
    </row>
    <row r="446" spans="1:188" s="125" customFormat="1" ht="13.5" customHeight="1">
      <c r="A446" s="86">
        <v>1</v>
      </c>
      <c r="B446" s="56">
        <v>43088</v>
      </c>
      <c r="C446" s="18"/>
      <c r="D446" s="19" t="s">
        <v>1124</v>
      </c>
      <c r="E446" s="20" t="s">
        <v>291</v>
      </c>
      <c r="F446" s="82" t="s">
        <v>292</v>
      </c>
      <c r="G446" s="63">
        <v>1709</v>
      </c>
      <c r="H446" s="121">
        <v>1212600</v>
      </c>
      <c r="I446" s="24">
        <v>1154857</v>
      </c>
      <c r="J446" s="24"/>
      <c r="K446" s="24">
        <f t="shared" si="30"/>
        <v>1154857</v>
      </c>
      <c r="L446" s="26">
        <v>1</v>
      </c>
      <c r="M446" s="24">
        <f t="shared" si="31"/>
        <v>1154857</v>
      </c>
      <c r="N446" s="124">
        <f t="shared" si="32"/>
        <v>0</v>
      </c>
      <c r="O446" s="87" t="s">
        <v>1056</v>
      </c>
      <c r="P446" s="3"/>
      <c r="Q446" s="3"/>
      <c r="R446" s="3"/>
      <c r="S446" s="3"/>
      <c r="T446" s="3"/>
      <c r="U446" s="3"/>
      <c r="V446" s="131"/>
      <c r="W446" s="15"/>
      <c r="X446" s="3"/>
      <c r="Y446" s="3"/>
      <c r="Z446" s="3"/>
      <c r="AA446" s="3"/>
      <c r="AB446" s="3"/>
      <c r="AC446" s="131"/>
      <c r="AD446" s="15"/>
      <c r="AE446" s="99"/>
      <c r="AF446" s="149"/>
      <c r="AG446" s="134"/>
      <c r="AH446" s="134"/>
      <c r="AI446" s="137"/>
      <c r="AJ446" s="150"/>
      <c r="AK446" s="137"/>
      <c r="AL446" s="137"/>
      <c r="AM446" s="3"/>
      <c r="AN446" s="138"/>
      <c r="AO446" s="2"/>
      <c r="AP446" s="139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131"/>
      <c r="BB446" s="15"/>
      <c r="BC446" s="99"/>
      <c r="BD446" s="149"/>
      <c r="BE446" s="134"/>
      <c r="BF446" s="134"/>
      <c r="BG446" s="137"/>
      <c r="BH446" s="150"/>
      <c r="BI446" s="137"/>
      <c r="BJ446" s="137"/>
      <c r="BK446" s="3"/>
      <c r="BL446" s="138"/>
      <c r="BM446" s="2"/>
      <c r="BN446" s="139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131"/>
      <c r="BZ446" s="15"/>
      <c r="CA446" s="99"/>
      <c r="CB446" s="149"/>
      <c r="CC446" s="134"/>
      <c r="CD446" s="134"/>
      <c r="CE446" s="137"/>
      <c r="CF446" s="150"/>
      <c r="CG446" s="137"/>
      <c r="CH446" s="137"/>
      <c r="CI446" s="3"/>
      <c r="CJ446" s="138"/>
      <c r="CK446" s="2"/>
      <c r="CL446" s="139"/>
      <c r="CM446" s="3"/>
      <c r="CN446" s="3"/>
      <c r="CO446" s="3"/>
      <c r="CP446" s="3"/>
      <c r="CQ446" s="3"/>
      <c r="CR446" s="3"/>
      <c r="CS446" s="3"/>
      <c r="CT446" s="3"/>
      <c r="CU446" s="3"/>
      <c r="CV446" s="3"/>
      <c r="CW446" s="131"/>
      <c r="CX446" s="15"/>
      <c r="CY446" s="99"/>
      <c r="CZ446" s="149"/>
      <c r="DA446" s="134"/>
      <c r="DB446" s="134"/>
      <c r="DC446" s="137"/>
      <c r="DD446" s="150"/>
      <c r="DE446" s="137"/>
      <c r="DF446" s="137"/>
      <c r="DG446" s="3"/>
      <c r="DH446" s="138"/>
      <c r="DI446" s="2"/>
      <c r="DJ446" s="139"/>
      <c r="DK446" s="3"/>
      <c r="DL446" s="3"/>
      <c r="DM446" s="3"/>
      <c r="DN446" s="3"/>
      <c r="DO446" s="3"/>
      <c r="DP446" s="3"/>
      <c r="DQ446" s="3"/>
      <c r="DR446" s="3"/>
      <c r="DS446" s="3"/>
      <c r="DT446" s="3"/>
      <c r="DU446" s="131"/>
      <c r="DV446" s="15"/>
      <c r="DW446" s="99"/>
      <c r="DX446" s="149"/>
      <c r="DY446" s="134"/>
      <c r="DZ446" s="134"/>
      <c r="EA446" s="137"/>
      <c r="EB446" s="150"/>
      <c r="EC446" s="137"/>
      <c r="ED446" s="137"/>
      <c r="EE446" s="3"/>
      <c r="EF446" s="138"/>
      <c r="EG446" s="2"/>
      <c r="EH446" s="139"/>
      <c r="EI446" s="3"/>
      <c r="EJ446" s="3"/>
      <c r="EK446" s="3"/>
      <c r="EL446" s="3"/>
      <c r="EM446" s="3"/>
      <c r="EN446" s="3"/>
      <c r="EO446" s="3"/>
      <c r="EP446" s="3"/>
      <c r="EQ446" s="3"/>
      <c r="ER446" s="3"/>
      <c r="ES446" s="131"/>
      <c r="ET446" s="15"/>
      <c r="EU446" s="99"/>
      <c r="EV446" s="149"/>
      <c r="EW446" s="134"/>
      <c r="EX446" s="134"/>
      <c r="EY446" s="137"/>
      <c r="EZ446" s="150"/>
      <c r="FA446" s="137"/>
      <c r="FB446" s="137"/>
      <c r="FC446" s="3"/>
      <c r="FD446" s="138"/>
      <c r="FE446" s="2"/>
      <c r="FF446" s="139"/>
      <c r="FG446" s="3"/>
      <c r="FH446" s="3"/>
      <c r="FI446" s="3"/>
      <c r="FJ446" s="3"/>
      <c r="FK446" s="3"/>
      <c r="FL446" s="3"/>
      <c r="FM446" s="3"/>
      <c r="FN446" s="3"/>
      <c r="FO446" s="3"/>
      <c r="FP446" s="3"/>
      <c r="FQ446" s="131"/>
      <c r="FR446" s="15"/>
      <c r="FS446" s="99"/>
      <c r="FT446" s="149"/>
      <c r="FU446" s="134"/>
      <c r="FV446" s="134"/>
      <c r="FW446" s="137"/>
      <c r="FX446" s="150"/>
      <c r="FY446" s="137"/>
      <c r="FZ446" s="137"/>
      <c r="GA446" s="3"/>
      <c r="GB446" s="138"/>
      <c r="GC446" s="2"/>
      <c r="GD446" s="139"/>
      <c r="GE446" s="3"/>
      <c r="GF446" s="3"/>
    </row>
    <row r="447" spans="1:188" s="125" customFormat="1" ht="13.5" customHeight="1">
      <c r="A447" s="86">
        <v>2</v>
      </c>
      <c r="B447" s="56">
        <v>43084</v>
      </c>
      <c r="C447" s="18"/>
      <c r="D447" s="19" t="s">
        <v>1132</v>
      </c>
      <c r="E447" s="20" t="s">
        <v>398</v>
      </c>
      <c r="F447" s="82" t="s">
        <v>399</v>
      </c>
      <c r="G447" s="63">
        <v>1708</v>
      </c>
      <c r="H447" s="121">
        <f>1729000</f>
        <v>1729000</v>
      </c>
      <c r="I447" s="24">
        <v>1646667</v>
      </c>
      <c r="J447" s="24"/>
      <c r="K447" s="24">
        <f t="shared" si="30"/>
        <v>1646667</v>
      </c>
      <c r="L447" s="123">
        <v>1</v>
      </c>
      <c r="M447" s="24">
        <f t="shared" si="31"/>
        <v>1646667</v>
      </c>
      <c r="N447" s="124">
        <f t="shared" si="32"/>
        <v>0</v>
      </c>
      <c r="O447" s="87" t="s">
        <v>1056</v>
      </c>
      <c r="P447" s="3"/>
      <c r="Q447" s="3"/>
      <c r="R447" s="3"/>
      <c r="S447" s="3"/>
      <c r="T447" s="3"/>
      <c r="U447" s="3"/>
      <c r="V447" s="131"/>
      <c r="W447" s="15"/>
      <c r="X447" s="3"/>
      <c r="Y447" s="3"/>
      <c r="Z447" s="3"/>
      <c r="AA447" s="3"/>
      <c r="AB447" s="3"/>
      <c r="AC447" s="131"/>
      <c r="AD447" s="15"/>
      <c r="AE447" s="99"/>
      <c r="AF447" s="149"/>
      <c r="AG447" s="134"/>
      <c r="AH447" s="134"/>
      <c r="AI447" s="137"/>
      <c r="AJ447" s="150"/>
      <c r="AK447" s="137"/>
      <c r="AL447" s="137"/>
      <c r="AM447" s="3"/>
      <c r="AN447" s="138"/>
      <c r="AO447" s="2"/>
      <c r="AP447" s="139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131"/>
      <c r="BB447" s="15"/>
      <c r="BC447" s="99"/>
      <c r="BD447" s="149"/>
      <c r="BE447" s="134"/>
      <c r="BF447" s="134"/>
      <c r="BG447" s="137"/>
      <c r="BH447" s="150"/>
      <c r="BI447" s="137"/>
      <c r="BJ447" s="137"/>
      <c r="BK447" s="3"/>
      <c r="BL447" s="138"/>
      <c r="BM447" s="2"/>
      <c r="BN447" s="139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131"/>
      <c r="BZ447" s="15"/>
      <c r="CA447" s="99"/>
      <c r="CB447" s="149"/>
      <c r="CC447" s="134"/>
      <c r="CD447" s="134"/>
      <c r="CE447" s="137"/>
      <c r="CF447" s="150"/>
      <c r="CG447" s="137"/>
      <c r="CH447" s="137"/>
      <c r="CI447" s="3"/>
      <c r="CJ447" s="138"/>
      <c r="CK447" s="2"/>
      <c r="CL447" s="139"/>
      <c r="CM447" s="3"/>
      <c r="CN447" s="3"/>
      <c r="CO447" s="3"/>
      <c r="CP447" s="3"/>
      <c r="CQ447" s="3"/>
      <c r="CR447" s="3"/>
      <c r="CS447" s="3"/>
      <c r="CT447" s="3"/>
      <c r="CU447" s="3"/>
      <c r="CV447" s="3"/>
      <c r="CW447" s="131"/>
      <c r="CX447" s="15"/>
      <c r="CY447" s="99"/>
      <c r="CZ447" s="149"/>
      <c r="DA447" s="134"/>
      <c r="DB447" s="134"/>
      <c r="DC447" s="137"/>
      <c r="DD447" s="150"/>
      <c r="DE447" s="137"/>
      <c r="DF447" s="137"/>
      <c r="DG447" s="3"/>
      <c r="DH447" s="138"/>
      <c r="DI447" s="2"/>
      <c r="DJ447" s="139"/>
      <c r="DK447" s="3"/>
      <c r="DL447" s="3"/>
      <c r="DM447" s="3"/>
      <c r="DN447" s="3"/>
      <c r="DO447" s="3"/>
      <c r="DP447" s="3"/>
      <c r="DQ447" s="3"/>
      <c r="DR447" s="3"/>
      <c r="DS447" s="3"/>
      <c r="DT447" s="3"/>
      <c r="DU447" s="131"/>
      <c r="DV447" s="15"/>
      <c r="DW447" s="99"/>
      <c r="DX447" s="149"/>
      <c r="DY447" s="134"/>
      <c r="DZ447" s="134"/>
      <c r="EA447" s="137"/>
      <c r="EB447" s="150"/>
      <c r="EC447" s="137"/>
      <c r="ED447" s="137"/>
      <c r="EE447" s="3"/>
      <c r="EF447" s="138"/>
      <c r="EG447" s="2"/>
      <c r="EH447" s="139"/>
      <c r="EI447" s="3"/>
      <c r="EJ447" s="3"/>
      <c r="EK447" s="3"/>
      <c r="EL447" s="3"/>
      <c r="EM447" s="3"/>
      <c r="EN447" s="3"/>
      <c r="EO447" s="3"/>
      <c r="EP447" s="3"/>
      <c r="EQ447" s="3"/>
      <c r="ER447" s="3"/>
      <c r="ES447" s="131"/>
      <c r="ET447" s="15"/>
      <c r="EU447" s="99"/>
      <c r="EV447" s="149"/>
      <c r="EW447" s="134"/>
      <c r="EX447" s="134"/>
      <c r="EY447" s="137"/>
      <c r="EZ447" s="150"/>
      <c r="FA447" s="137"/>
      <c r="FB447" s="137"/>
      <c r="FC447" s="3"/>
      <c r="FD447" s="138"/>
      <c r="FE447" s="2"/>
      <c r="FF447" s="139"/>
      <c r="FG447" s="3"/>
      <c r="FH447" s="3"/>
      <c r="FI447" s="3"/>
      <c r="FJ447" s="3"/>
      <c r="FK447" s="3"/>
      <c r="FL447" s="3"/>
      <c r="FM447" s="3"/>
      <c r="FN447" s="3"/>
      <c r="FO447" s="3"/>
      <c r="FP447" s="3"/>
      <c r="FQ447" s="131"/>
      <c r="FR447" s="15"/>
      <c r="FS447" s="99"/>
      <c r="FT447" s="149"/>
      <c r="FU447" s="134"/>
      <c r="FV447" s="134"/>
      <c r="FW447" s="137"/>
      <c r="FX447" s="150"/>
      <c r="FY447" s="137"/>
      <c r="FZ447" s="137"/>
      <c r="GA447" s="3"/>
      <c r="GB447" s="138"/>
      <c r="GC447" s="2"/>
      <c r="GD447" s="139"/>
      <c r="GE447" s="3"/>
      <c r="GF447" s="3"/>
    </row>
    <row r="448" spans="1:188" s="125" customFormat="1" ht="13.5" customHeight="1">
      <c r="A448" s="86">
        <v>3</v>
      </c>
      <c r="B448" s="60">
        <v>43095</v>
      </c>
      <c r="C448" s="18"/>
      <c r="D448" s="19" t="s">
        <v>1132</v>
      </c>
      <c r="E448" s="20" t="s">
        <v>401</v>
      </c>
      <c r="F448" s="168" t="s">
        <v>402</v>
      </c>
      <c r="G448" s="63">
        <v>1707</v>
      </c>
      <c r="H448" s="121">
        <f>1615000-30000</f>
        <v>1585000</v>
      </c>
      <c r="I448" s="24">
        <v>1509524</v>
      </c>
      <c r="J448" s="24"/>
      <c r="K448" s="24">
        <f t="shared" si="30"/>
        <v>1509524</v>
      </c>
      <c r="L448" s="123">
        <v>1</v>
      </c>
      <c r="M448" s="24">
        <f t="shared" si="31"/>
        <v>1509524</v>
      </c>
      <c r="N448" s="124">
        <f t="shared" si="32"/>
        <v>0</v>
      </c>
      <c r="O448" s="87" t="s">
        <v>1056</v>
      </c>
      <c r="P448" s="3"/>
      <c r="Q448" s="3"/>
      <c r="R448" s="3"/>
      <c r="S448" s="3"/>
      <c r="T448" s="3"/>
      <c r="U448" s="3"/>
      <c r="V448" s="131"/>
      <c r="W448" s="15"/>
      <c r="X448" s="3"/>
      <c r="Y448" s="3"/>
      <c r="Z448" s="3"/>
      <c r="AA448" s="3"/>
      <c r="AB448" s="3"/>
      <c r="AC448" s="131"/>
      <c r="AD448" s="15"/>
      <c r="AE448" s="99"/>
      <c r="AF448" s="149"/>
      <c r="AG448" s="134"/>
      <c r="AH448" s="134"/>
      <c r="AI448" s="137"/>
      <c r="AJ448" s="150"/>
      <c r="AK448" s="137"/>
      <c r="AL448" s="137"/>
      <c r="AM448" s="3"/>
      <c r="AN448" s="138"/>
      <c r="AO448" s="2"/>
      <c r="AP448" s="139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131"/>
      <c r="BB448" s="15"/>
      <c r="BC448" s="99"/>
      <c r="BD448" s="149"/>
      <c r="BE448" s="134"/>
      <c r="BF448" s="134"/>
      <c r="BG448" s="137"/>
      <c r="BH448" s="150"/>
      <c r="BI448" s="137"/>
      <c r="BJ448" s="137"/>
      <c r="BK448" s="3"/>
      <c r="BL448" s="138"/>
      <c r="BM448" s="2"/>
      <c r="BN448" s="139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131"/>
      <c r="BZ448" s="15"/>
      <c r="CA448" s="99"/>
      <c r="CB448" s="149"/>
      <c r="CC448" s="134"/>
      <c r="CD448" s="134"/>
      <c r="CE448" s="137"/>
      <c r="CF448" s="150"/>
      <c r="CG448" s="137"/>
      <c r="CH448" s="137"/>
      <c r="CI448" s="3"/>
      <c r="CJ448" s="138"/>
      <c r="CK448" s="2"/>
      <c r="CL448" s="139"/>
      <c r="CM448" s="3"/>
      <c r="CN448" s="3"/>
      <c r="CO448" s="3"/>
      <c r="CP448" s="3"/>
      <c r="CQ448" s="3"/>
      <c r="CR448" s="3"/>
      <c r="CS448" s="3"/>
      <c r="CT448" s="3"/>
      <c r="CU448" s="3"/>
      <c r="CV448" s="3"/>
      <c r="CW448" s="131"/>
      <c r="CX448" s="15"/>
      <c r="CY448" s="99"/>
      <c r="CZ448" s="149"/>
      <c r="DA448" s="134"/>
      <c r="DB448" s="134"/>
      <c r="DC448" s="137"/>
      <c r="DD448" s="150"/>
      <c r="DE448" s="137"/>
      <c r="DF448" s="137"/>
      <c r="DG448" s="3"/>
      <c r="DH448" s="138"/>
      <c r="DI448" s="2"/>
      <c r="DJ448" s="139"/>
      <c r="DK448" s="3"/>
      <c r="DL448" s="3"/>
      <c r="DM448" s="3"/>
      <c r="DN448" s="3"/>
      <c r="DO448" s="3"/>
      <c r="DP448" s="3"/>
      <c r="DQ448" s="3"/>
      <c r="DR448" s="3"/>
      <c r="DS448" s="3"/>
      <c r="DT448" s="3"/>
      <c r="DU448" s="131"/>
      <c r="DV448" s="15"/>
      <c r="DW448" s="99"/>
      <c r="DX448" s="149"/>
      <c r="DY448" s="134"/>
      <c r="DZ448" s="134"/>
      <c r="EA448" s="137"/>
      <c r="EB448" s="150"/>
      <c r="EC448" s="137"/>
      <c r="ED448" s="137"/>
      <c r="EE448" s="3"/>
      <c r="EF448" s="138"/>
      <c r="EG448" s="2"/>
      <c r="EH448" s="139"/>
      <c r="EI448" s="3"/>
      <c r="EJ448" s="3"/>
      <c r="EK448" s="3"/>
      <c r="EL448" s="3"/>
      <c r="EM448" s="3"/>
      <c r="EN448" s="3"/>
      <c r="EO448" s="3"/>
      <c r="EP448" s="3"/>
      <c r="EQ448" s="3"/>
      <c r="ER448" s="3"/>
      <c r="ES448" s="131"/>
      <c r="ET448" s="15"/>
      <c r="EU448" s="99"/>
      <c r="EV448" s="149"/>
      <c r="EW448" s="134"/>
      <c r="EX448" s="134"/>
      <c r="EY448" s="137"/>
      <c r="EZ448" s="150"/>
      <c r="FA448" s="137"/>
      <c r="FB448" s="137"/>
      <c r="FC448" s="3"/>
      <c r="FD448" s="138"/>
      <c r="FE448" s="2"/>
      <c r="FF448" s="139"/>
      <c r="FG448" s="3"/>
      <c r="FH448" s="3"/>
      <c r="FI448" s="3"/>
      <c r="FJ448" s="3"/>
      <c r="FK448" s="3"/>
      <c r="FL448" s="3"/>
      <c r="FM448" s="3"/>
      <c r="FN448" s="3"/>
      <c r="FO448" s="3"/>
      <c r="FP448" s="3"/>
      <c r="FQ448" s="131"/>
      <c r="FR448" s="15"/>
      <c r="FS448" s="99"/>
      <c r="FT448" s="149"/>
      <c r="FU448" s="134"/>
      <c r="FV448" s="134"/>
      <c r="FW448" s="137"/>
      <c r="FX448" s="150"/>
      <c r="FY448" s="137"/>
      <c r="FZ448" s="137"/>
      <c r="GA448" s="3"/>
      <c r="GB448" s="138"/>
      <c r="GC448" s="2"/>
      <c r="GD448" s="139"/>
      <c r="GE448" s="3"/>
      <c r="GF448" s="3"/>
    </row>
    <row r="449" spans="1:188" s="125" customFormat="1" ht="13.5" customHeight="1">
      <c r="A449" s="86">
        <v>4</v>
      </c>
      <c r="B449" s="83">
        <v>43073</v>
      </c>
      <c r="C449" s="18"/>
      <c r="D449" s="19" t="s">
        <v>1143</v>
      </c>
      <c r="E449" s="20" t="s">
        <v>306</v>
      </c>
      <c r="F449" s="168" t="s">
        <v>307</v>
      </c>
      <c r="G449" s="63">
        <v>1708</v>
      </c>
      <c r="H449" s="121">
        <v>1660000</v>
      </c>
      <c r="I449" s="24">
        <v>1580952</v>
      </c>
      <c r="J449" s="24"/>
      <c r="K449" s="24">
        <f t="shared" si="30"/>
        <v>1580952</v>
      </c>
      <c r="L449" s="26">
        <v>1</v>
      </c>
      <c r="M449" s="24">
        <f t="shared" si="31"/>
        <v>1580952</v>
      </c>
      <c r="N449" s="124">
        <f t="shared" si="32"/>
        <v>0</v>
      </c>
      <c r="O449" s="87" t="s">
        <v>1056</v>
      </c>
      <c r="P449" s="3"/>
      <c r="Q449" s="3"/>
      <c r="R449" s="3"/>
      <c r="S449" s="3"/>
      <c r="T449" s="3"/>
      <c r="U449" s="3"/>
      <c r="V449" s="131"/>
      <c r="W449" s="15"/>
      <c r="X449" s="3"/>
      <c r="Y449" s="3"/>
      <c r="Z449" s="3"/>
      <c r="AA449" s="3"/>
      <c r="AB449" s="3"/>
      <c r="AC449" s="131"/>
      <c r="AD449" s="15"/>
      <c r="AE449" s="99"/>
      <c r="AF449" s="149"/>
      <c r="AG449" s="134"/>
      <c r="AH449" s="134"/>
      <c r="AI449" s="137"/>
      <c r="AJ449" s="150"/>
      <c r="AK449" s="137"/>
      <c r="AL449" s="137"/>
      <c r="AM449" s="3"/>
      <c r="AN449" s="138"/>
      <c r="AO449" s="2"/>
      <c r="AP449" s="139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131"/>
      <c r="BB449" s="15"/>
      <c r="BC449" s="99"/>
      <c r="BD449" s="149"/>
      <c r="BE449" s="134"/>
      <c r="BF449" s="134"/>
      <c r="BG449" s="137"/>
      <c r="BH449" s="150"/>
      <c r="BI449" s="137"/>
      <c r="BJ449" s="137"/>
      <c r="BK449" s="3"/>
      <c r="BL449" s="138"/>
      <c r="BM449" s="2"/>
      <c r="BN449" s="139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131"/>
      <c r="BZ449" s="15"/>
      <c r="CA449" s="99"/>
      <c r="CB449" s="149"/>
      <c r="CC449" s="134"/>
      <c r="CD449" s="134"/>
      <c r="CE449" s="137"/>
      <c r="CF449" s="150"/>
      <c r="CG449" s="137"/>
      <c r="CH449" s="137"/>
      <c r="CI449" s="3"/>
      <c r="CJ449" s="138"/>
      <c r="CK449" s="2"/>
      <c r="CL449" s="139"/>
      <c r="CM449" s="3"/>
      <c r="CN449" s="3"/>
      <c r="CO449" s="3"/>
      <c r="CP449" s="3"/>
      <c r="CQ449" s="3"/>
      <c r="CR449" s="3"/>
      <c r="CS449" s="3"/>
      <c r="CT449" s="3"/>
      <c r="CU449" s="3"/>
      <c r="CV449" s="3"/>
      <c r="CW449" s="131"/>
      <c r="CX449" s="15"/>
      <c r="CY449" s="99"/>
      <c r="CZ449" s="149"/>
      <c r="DA449" s="134"/>
      <c r="DB449" s="134"/>
      <c r="DC449" s="137"/>
      <c r="DD449" s="150"/>
      <c r="DE449" s="137"/>
      <c r="DF449" s="137"/>
      <c r="DG449" s="3"/>
      <c r="DH449" s="138"/>
      <c r="DI449" s="2"/>
      <c r="DJ449" s="139"/>
      <c r="DK449" s="3"/>
      <c r="DL449" s="3"/>
      <c r="DM449" s="3"/>
      <c r="DN449" s="3"/>
      <c r="DO449" s="3"/>
      <c r="DP449" s="3"/>
      <c r="DQ449" s="3"/>
      <c r="DR449" s="3"/>
      <c r="DS449" s="3"/>
      <c r="DT449" s="3"/>
      <c r="DU449" s="131"/>
      <c r="DV449" s="15"/>
      <c r="DW449" s="99"/>
      <c r="DX449" s="149"/>
      <c r="DY449" s="134"/>
      <c r="DZ449" s="134"/>
      <c r="EA449" s="137"/>
      <c r="EB449" s="150"/>
      <c r="EC449" s="137"/>
      <c r="ED449" s="137"/>
      <c r="EE449" s="3"/>
      <c r="EF449" s="138"/>
      <c r="EG449" s="2"/>
      <c r="EH449" s="139"/>
      <c r="EI449" s="3"/>
      <c r="EJ449" s="3"/>
      <c r="EK449" s="3"/>
      <c r="EL449" s="3"/>
      <c r="EM449" s="3"/>
      <c r="EN449" s="3"/>
      <c r="EO449" s="3"/>
      <c r="EP449" s="3"/>
      <c r="EQ449" s="3"/>
      <c r="ER449" s="3"/>
      <c r="ES449" s="131"/>
      <c r="ET449" s="15"/>
      <c r="EU449" s="99"/>
      <c r="EV449" s="149"/>
      <c r="EW449" s="134"/>
      <c r="EX449" s="134"/>
      <c r="EY449" s="137"/>
      <c r="EZ449" s="150"/>
      <c r="FA449" s="137"/>
      <c r="FB449" s="137"/>
      <c r="FC449" s="3"/>
      <c r="FD449" s="138"/>
      <c r="FE449" s="2"/>
      <c r="FF449" s="139"/>
      <c r="FG449" s="3"/>
      <c r="FH449" s="3"/>
      <c r="FI449" s="3"/>
      <c r="FJ449" s="3"/>
      <c r="FK449" s="3"/>
      <c r="FL449" s="3"/>
      <c r="FM449" s="3"/>
      <c r="FN449" s="3"/>
      <c r="FO449" s="3"/>
      <c r="FP449" s="3"/>
      <c r="FQ449" s="131"/>
      <c r="FR449" s="15"/>
      <c r="FS449" s="99"/>
      <c r="FT449" s="149"/>
      <c r="FU449" s="134"/>
      <c r="FV449" s="134"/>
      <c r="FW449" s="137"/>
      <c r="FX449" s="150"/>
      <c r="FY449" s="137"/>
      <c r="FZ449" s="137"/>
      <c r="GA449" s="3"/>
      <c r="GB449" s="138"/>
      <c r="GC449" s="2"/>
      <c r="GD449" s="139"/>
      <c r="GE449" s="3"/>
      <c r="GF449" s="3"/>
    </row>
    <row r="450" spans="1:188" s="125" customFormat="1" ht="13.5" customHeight="1">
      <c r="A450" s="86">
        <v>5</v>
      </c>
      <c r="B450" s="56">
        <v>43084</v>
      </c>
      <c r="C450" s="18"/>
      <c r="D450" s="19" t="s">
        <v>1143</v>
      </c>
      <c r="E450" s="20" t="s">
        <v>314</v>
      </c>
      <c r="F450" s="120" t="s">
        <v>315</v>
      </c>
      <c r="G450" s="63">
        <v>1708</v>
      </c>
      <c r="H450" s="121">
        <f>1938000+160000</f>
        <v>2098000</v>
      </c>
      <c r="I450" s="24">
        <v>1998095</v>
      </c>
      <c r="J450" s="24"/>
      <c r="K450" s="24">
        <f t="shared" si="30"/>
        <v>1998095</v>
      </c>
      <c r="L450" s="123">
        <v>1</v>
      </c>
      <c r="M450" s="24">
        <f t="shared" si="31"/>
        <v>1998095</v>
      </c>
      <c r="N450" s="124">
        <f t="shared" si="32"/>
        <v>0</v>
      </c>
      <c r="O450" s="87" t="s">
        <v>1056</v>
      </c>
      <c r="P450" s="3"/>
      <c r="Q450" s="3"/>
      <c r="R450" s="3"/>
      <c r="S450" s="3"/>
      <c r="T450" s="3"/>
      <c r="U450" s="3"/>
      <c r="V450" s="131"/>
      <c r="W450" s="15"/>
      <c r="X450" s="3"/>
      <c r="Y450" s="3"/>
      <c r="Z450" s="3"/>
      <c r="AA450" s="3"/>
      <c r="AB450" s="3"/>
      <c r="AC450" s="131"/>
      <c r="AD450" s="15"/>
      <c r="AE450" s="99"/>
      <c r="AF450" s="149"/>
      <c r="AG450" s="134"/>
      <c r="AH450" s="134"/>
      <c r="AI450" s="137"/>
      <c r="AJ450" s="150"/>
      <c r="AK450" s="137"/>
      <c r="AL450" s="137"/>
      <c r="AM450" s="3"/>
      <c r="AN450" s="138"/>
      <c r="AO450" s="2"/>
      <c r="AP450" s="139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131"/>
      <c r="BB450" s="15"/>
      <c r="BC450" s="99"/>
      <c r="BD450" s="149"/>
      <c r="BE450" s="134"/>
      <c r="BF450" s="134"/>
      <c r="BG450" s="137"/>
      <c r="BH450" s="150"/>
      <c r="BI450" s="137"/>
      <c r="BJ450" s="137"/>
      <c r="BK450" s="3"/>
      <c r="BL450" s="138"/>
      <c r="BM450" s="2"/>
      <c r="BN450" s="139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131"/>
      <c r="BZ450" s="15"/>
      <c r="CA450" s="99"/>
      <c r="CB450" s="149"/>
      <c r="CC450" s="134"/>
      <c r="CD450" s="134"/>
      <c r="CE450" s="137"/>
      <c r="CF450" s="150"/>
      <c r="CG450" s="137"/>
      <c r="CH450" s="137"/>
      <c r="CI450" s="3"/>
      <c r="CJ450" s="138"/>
      <c r="CK450" s="2"/>
      <c r="CL450" s="139"/>
      <c r="CM450" s="3"/>
      <c r="CN450" s="3"/>
      <c r="CO450" s="3"/>
      <c r="CP450" s="3"/>
      <c r="CQ450" s="3"/>
      <c r="CR450" s="3"/>
      <c r="CS450" s="3"/>
      <c r="CT450" s="3"/>
      <c r="CU450" s="3"/>
      <c r="CV450" s="3"/>
      <c r="CW450" s="131"/>
      <c r="CX450" s="15"/>
      <c r="CY450" s="99"/>
      <c r="CZ450" s="149"/>
      <c r="DA450" s="134"/>
      <c r="DB450" s="134"/>
      <c r="DC450" s="137"/>
      <c r="DD450" s="150"/>
      <c r="DE450" s="137"/>
      <c r="DF450" s="137"/>
      <c r="DG450" s="3"/>
      <c r="DH450" s="138"/>
      <c r="DI450" s="2"/>
      <c r="DJ450" s="139"/>
      <c r="DK450" s="3"/>
      <c r="DL450" s="3"/>
      <c r="DM450" s="3"/>
      <c r="DN450" s="3"/>
      <c r="DO450" s="3"/>
      <c r="DP450" s="3"/>
      <c r="DQ450" s="3"/>
      <c r="DR450" s="3"/>
      <c r="DS450" s="3"/>
      <c r="DT450" s="3"/>
      <c r="DU450" s="131"/>
      <c r="DV450" s="15"/>
      <c r="DW450" s="99"/>
      <c r="DX450" s="149"/>
      <c r="DY450" s="134"/>
      <c r="DZ450" s="134"/>
      <c r="EA450" s="137"/>
      <c r="EB450" s="150"/>
      <c r="EC450" s="137"/>
      <c r="ED450" s="137"/>
      <c r="EE450" s="3"/>
      <c r="EF450" s="138"/>
      <c r="EG450" s="2"/>
      <c r="EH450" s="139"/>
      <c r="EI450" s="3"/>
      <c r="EJ450" s="3"/>
      <c r="EK450" s="3"/>
      <c r="EL450" s="3"/>
      <c r="EM450" s="3"/>
      <c r="EN450" s="3"/>
      <c r="EO450" s="3"/>
      <c r="EP450" s="3"/>
      <c r="EQ450" s="3"/>
      <c r="ER450" s="3"/>
      <c r="ES450" s="131"/>
      <c r="ET450" s="15"/>
      <c r="EU450" s="99"/>
      <c r="EV450" s="149"/>
      <c r="EW450" s="134"/>
      <c r="EX450" s="134"/>
      <c r="EY450" s="137"/>
      <c r="EZ450" s="150"/>
      <c r="FA450" s="137"/>
      <c r="FB450" s="137"/>
      <c r="FC450" s="3"/>
      <c r="FD450" s="138"/>
      <c r="FE450" s="2"/>
      <c r="FF450" s="139"/>
      <c r="FG450" s="3"/>
      <c r="FH450" s="3"/>
      <c r="FI450" s="3"/>
      <c r="FJ450" s="3"/>
      <c r="FK450" s="3"/>
      <c r="FL450" s="3"/>
      <c r="FM450" s="3"/>
      <c r="FN450" s="3"/>
      <c r="FO450" s="3"/>
      <c r="FP450" s="3"/>
      <c r="FQ450" s="131"/>
      <c r="FR450" s="15"/>
      <c r="FS450" s="99"/>
      <c r="FT450" s="149"/>
      <c r="FU450" s="134"/>
      <c r="FV450" s="134"/>
      <c r="FW450" s="137"/>
      <c r="FX450" s="150"/>
      <c r="FY450" s="137"/>
      <c r="FZ450" s="137"/>
      <c r="GA450" s="3"/>
      <c r="GB450" s="138"/>
      <c r="GC450" s="2"/>
      <c r="GD450" s="139"/>
      <c r="GE450" s="3"/>
      <c r="GF450" s="3"/>
    </row>
    <row r="451" spans="1:188" s="125" customFormat="1" ht="13.5" customHeight="1">
      <c r="A451" s="86">
        <v>6</v>
      </c>
      <c r="B451" s="56">
        <v>43082</v>
      </c>
      <c r="C451" s="18"/>
      <c r="D451" s="19" t="s">
        <v>1159</v>
      </c>
      <c r="E451" s="20" t="s">
        <v>407</v>
      </c>
      <c r="F451" s="62" t="s">
        <v>409</v>
      </c>
      <c r="G451" s="63">
        <v>1708</v>
      </c>
      <c r="H451" s="121">
        <v>2000000</v>
      </c>
      <c r="I451" s="24">
        <v>1904762</v>
      </c>
      <c r="J451" s="24"/>
      <c r="K451" s="24">
        <f t="shared" si="30"/>
        <v>1904762</v>
      </c>
      <c r="L451" s="123">
        <v>1</v>
      </c>
      <c r="M451" s="24">
        <f t="shared" si="31"/>
        <v>1904762</v>
      </c>
      <c r="N451" s="124">
        <f t="shared" si="32"/>
        <v>0</v>
      </c>
      <c r="O451" s="87" t="s">
        <v>1056</v>
      </c>
      <c r="P451" s="3"/>
      <c r="Q451" s="3"/>
      <c r="R451" s="3"/>
      <c r="S451" s="3"/>
      <c r="T451" s="3"/>
      <c r="U451" s="3"/>
      <c r="V451" s="131"/>
      <c r="W451" s="15"/>
      <c r="X451" s="3"/>
      <c r="Y451" s="3"/>
      <c r="Z451" s="3"/>
      <c r="AA451" s="3"/>
      <c r="AB451" s="3"/>
      <c r="AC451" s="131"/>
      <c r="AD451" s="15"/>
      <c r="AE451" s="99"/>
      <c r="AF451" s="149"/>
      <c r="AG451" s="134"/>
      <c r="AH451" s="134"/>
      <c r="AI451" s="137"/>
      <c r="AJ451" s="150"/>
      <c r="AK451" s="137"/>
      <c r="AL451" s="137"/>
      <c r="AM451" s="3"/>
      <c r="AN451" s="138"/>
      <c r="AO451" s="2"/>
      <c r="AP451" s="139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131"/>
      <c r="BB451" s="15"/>
      <c r="BC451" s="99"/>
      <c r="BD451" s="149"/>
      <c r="BE451" s="134"/>
      <c r="BF451" s="134"/>
      <c r="BG451" s="137"/>
      <c r="BH451" s="150"/>
      <c r="BI451" s="137"/>
      <c r="BJ451" s="137"/>
      <c r="BK451" s="3"/>
      <c r="BL451" s="138"/>
      <c r="BM451" s="2"/>
      <c r="BN451" s="139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131"/>
      <c r="BZ451" s="15"/>
      <c r="CA451" s="99"/>
      <c r="CB451" s="149"/>
      <c r="CC451" s="134"/>
      <c r="CD451" s="134"/>
      <c r="CE451" s="137"/>
      <c r="CF451" s="150"/>
      <c r="CG451" s="137"/>
      <c r="CH451" s="137"/>
      <c r="CI451" s="3"/>
      <c r="CJ451" s="138"/>
      <c r="CK451" s="2"/>
      <c r="CL451" s="139"/>
      <c r="CM451" s="3"/>
      <c r="CN451" s="3"/>
      <c r="CO451" s="3"/>
      <c r="CP451" s="3"/>
      <c r="CQ451" s="3"/>
      <c r="CR451" s="3"/>
      <c r="CS451" s="3"/>
      <c r="CT451" s="3"/>
      <c r="CU451" s="3"/>
      <c r="CV451" s="3"/>
      <c r="CW451" s="131"/>
      <c r="CX451" s="15"/>
      <c r="CY451" s="99"/>
      <c r="CZ451" s="149"/>
      <c r="DA451" s="134"/>
      <c r="DB451" s="134"/>
      <c r="DC451" s="137"/>
      <c r="DD451" s="150"/>
      <c r="DE451" s="137"/>
      <c r="DF451" s="137"/>
      <c r="DG451" s="3"/>
      <c r="DH451" s="138"/>
      <c r="DI451" s="2"/>
      <c r="DJ451" s="139"/>
      <c r="DK451" s="3"/>
      <c r="DL451" s="3"/>
      <c r="DM451" s="3"/>
      <c r="DN451" s="3"/>
      <c r="DO451" s="3"/>
      <c r="DP451" s="3"/>
      <c r="DQ451" s="3"/>
      <c r="DR451" s="3"/>
      <c r="DS451" s="3"/>
      <c r="DT451" s="3"/>
      <c r="DU451" s="131"/>
      <c r="DV451" s="15"/>
      <c r="DW451" s="99"/>
      <c r="DX451" s="149"/>
      <c r="DY451" s="134"/>
      <c r="DZ451" s="134"/>
      <c r="EA451" s="137"/>
      <c r="EB451" s="150"/>
      <c r="EC451" s="137"/>
      <c r="ED451" s="137"/>
      <c r="EE451" s="3"/>
      <c r="EF451" s="138"/>
      <c r="EG451" s="2"/>
      <c r="EH451" s="139"/>
      <c r="EI451" s="3"/>
      <c r="EJ451" s="3"/>
      <c r="EK451" s="3"/>
      <c r="EL451" s="3"/>
      <c r="EM451" s="3"/>
      <c r="EN451" s="3"/>
      <c r="EO451" s="3"/>
      <c r="EP451" s="3"/>
      <c r="EQ451" s="3"/>
      <c r="ER451" s="3"/>
      <c r="ES451" s="131"/>
      <c r="ET451" s="15"/>
      <c r="EU451" s="99"/>
      <c r="EV451" s="149"/>
      <c r="EW451" s="134"/>
      <c r="EX451" s="134"/>
      <c r="EY451" s="137"/>
      <c r="EZ451" s="150"/>
      <c r="FA451" s="137"/>
      <c r="FB451" s="137"/>
      <c r="FC451" s="3"/>
      <c r="FD451" s="138"/>
      <c r="FE451" s="2"/>
      <c r="FF451" s="139"/>
      <c r="FG451" s="3"/>
      <c r="FH451" s="3"/>
      <c r="FI451" s="3"/>
      <c r="FJ451" s="3"/>
      <c r="FK451" s="3"/>
      <c r="FL451" s="3"/>
      <c r="FM451" s="3"/>
      <c r="FN451" s="3"/>
      <c r="FO451" s="3"/>
      <c r="FP451" s="3"/>
      <c r="FQ451" s="131"/>
      <c r="FR451" s="15"/>
      <c r="FS451" s="99"/>
      <c r="FT451" s="149"/>
      <c r="FU451" s="134"/>
      <c r="FV451" s="134"/>
      <c r="FW451" s="137"/>
      <c r="FX451" s="150"/>
      <c r="FY451" s="137"/>
      <c r="FZ451" s="137"/>
      <c r="GA451" s="3"/>
      <c r="GB451" s="138"/>
      <c r="GC451" s="2"/>
      <c r="GD451" s="139"/>
      <c r="GE451" s="3"/>
      <c r="GF451" s="3"/>
    </row>
    <row r="452" spans="1:188" s="125" customFormat="1" ht="13.5" customHeight="1">
      <c r="A452" s="86">
        <v>7</v>
      </c>
      <c r="B452" s="60">
        <v>43095</v>
      </c>
      <c r="C452" s="18"/>
      <c r="D452" s="19" t="s">
        <v>1169</v>
      </c>
      <c r="E452" s="20" t="s">
        <v>330</v>
      </c>
      <c r="F452" s="168" t="s">
        <v>333</v>
      </c>
      <c r="G452" s="63">
        <v>1708</v>
      </c>
      <c r="H452" s="121">
        <v>2440000</v>
      </c>
      <c r="I452" s="24">
        <v>2323810</v>
      </c>
      <c r="J452" s="24"/>
      <c r="K452" s="24">
        <f t="shared" si="30"/>
        <v>2323810</v>
      </c>
      <c r="L452" s="123">
        <v>1</v>
      </c>
      <c r="M452" s="24">
        <f t="shared" si="31"/>
        <v>2323810</v>
      </c>
      <c r="N452" s="124">
        <f t="shared" si="32"/>
        <v>0</v>
      </c>
      <c r="O452" s="87" t="s">
        <v>1056</v>
      </c>
      <c r="P452" s="3"/>
      <c r="Q452" s="3"/>
      <c r="R452" s="3"/>
      <c r="S452" s="3"/>
      <c r="T452" s="3"/>
      <c r="U452" s="3"/>
      <c r="V452" s="131"/>
      <c r="W452" s="15"/>
      <c r="X452" s="3"/>
      <c r="Y452" s="3"/>
      <c r="Z452" s="3"/>
      <c r="AA452" s="3"/>
      <c r="AB452" s="3"/>
      <c r="AC452" s="131"/>
      <c r="AD452" s="15"/>
      <c r="AE452" s="99"/>
      <c r="AF452" s="149"/>
      <c r="AG452" s="134"/>
      <c r="AH452" s="134"/>
      <c r="AI452" s="137"/>
      <c r="AJ452" s="150"/>
      <c r="AK452" s="137"/>
      <c r="AL452" s="137"/>
      <c r="AM452" s="3"/>
      <c r="AN452" s="138"/>
      <c r="AO452" s="2"/>
      <c r="AP452" s="139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131"/>
      <c r="BB452" s="15"/>
      <c r="BC452" s="99"/>
      <c r="BD452" s="149"/>
      <c r="BE452" s="134"/>
      <c r="BF452" s="134"/>
      <c r="BG452" s="137"/>
      <c r="BH452" s="150"/>
      <c r="BI452" s="137"/>
      <c r="BJ452" s="137"/>
      <c r="BK452" s="3"/>
      <c r="BL452" s="138"/>
      <c r="BM452" s="2"/>
      <c r="BN452" s="139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131"/>
      <c r="BZ452" s="15"/>
      <c r="CA452" s="99"/>
      <c r="CB452" s="149"/>
      <c r="CC452" s="134"/>
      <c r="CD452" s="134"/>
      <c r="CE452" s="137"/>
      <c r="CF452" s="150"/>
      <c r="CG452" s="137"/>
      <c r="CH452" s="137"/>
      <c r="CI452" s="3"/>
      <c r="CJ452" s="138"/>
      <c r="CK452" s="2"/>
      <c r="CL452" s="139"/>
      <c r="CM452" s="3"/>
      <c r="CN452" s="3"/>
      <c r="CO452" s="3"/>
      <c r="CP452" s="3"/>
      <c r="CQ452" s="3"/>
      <c r="CR452" s="3"/>
      <c r="CS452" s="3"/>
      <c r="CT452" s="3"/>
      <c r="CU452" s="3"/>
      <c r="CV452" s="3"/>
      <c r="CW452" s="131"/>
      <c r="CX452" s="15"/>
      <c r="CY452" s="99"/>
      <c r="CZ452" s="149"/>
      <c r="DA452" s="134"/>
      <c r="DB452" s="134"/>
      <c r="DC452" s="137"/>
      <c r="DD452" s="150"/>
      <c r="DE452" s="137"/>
      <c r="DF452" s="137"/>
      <c r="DG452" s="3"/>
      <c r="DH452" s="138"/>
      <c r="DI452" s="2"/>
      <c r="DJ452" s="139"/>
      <c r="DK452" s="3"/>
      <c r="DL452" s="3"/>
      <c r="DM452" s="3"/>
      <c r="DN452" s="3"/>
      <c r="DO452" s="3"/>
      <c r="DP452" s="3"/>
      <c r="DQ452" s="3"/>
      <c r="DR452" s="3"/>
      <c r="DS452" s="3"/>
      <c r="DT452" s="3"/>
      <c r="DU452" s="131"/>
      <c r="DV452" s="15"/>
      <c r="DW452" s="99"/>
      <c r="DX452" s="149"/>
      <c r="DY452" s="134"/>
      <c r="DZ452" s="134"/>
      <c r="EA452" s="137"/>
      <c r="EB452" s="150"/>
      <c r="EC452" s="137"/>
      <c r="ED452" s="137"/>
      <c r="EE452" s="3"/>
      <c r="EF452" s="138"/>
      <c r="EG452" s="2"/>
      <c r="EH452" s="139"/>
      <c r="EI452" s="3"/>
      <c r="EJ452" s="3"/>
      <c r="EK452" s="3"/>
      <c r="EL452" s="3"/>
      <c r="EM452" s="3"/>
      <c r="EN452" s="3"/>
      <c r="EO452" s="3"/>
      <c r="EP452" s="3"/>
      <c r="EQ452" s="3"/>
      <c r="ER452" s="3"/>
      <c r="ES452" s="131"/>
      <c r="ET452" s="15"/>
      <c r="EU452" s="99"/>
      <c r="EV452" s="149"/>
      <c r="EW452" s="134"/>
      <c r="EX452" s="134"/>
      <c r="EY452" s="137"/>
      <c r="EZ452" s="150"/>
      <c r="FA452" s="137"/>
      <c r="FB452" s="137"/>
      <c r="FC452" s="3"/>
      <c r="FD452" s="138"/>
      <c r="FE452" s="2"/>
      <c r="FF452" s="139"/>
      <c r="FG452" s="3"/>
      <c r="FH452" s="3"/>
      <c r="FI452" s="3"/>
      <c r="FJ452" s="3"/>
      <c r="FK452" s="3"/>
      <c r="FL452" s="3"/>
      <c r="FM452" s="3"/>
      <c r="FN452" s="3"/>
      <c r="FO452" s="3"/>
      <c r="FP452" s="3"/>
      <c r="FQ452" s="131"/>
      <c r="FR452" s="15"/>
      <c r="FS452" s="99"/>
      <c r="FT452" s="149"/>
      <c r="FU452" s="134"/>
      <c r="FV452" s="134"/>
      <c r="FW452" s="137"/>
      <c r="FX452" s="150"/>
      <c r="FY452" s="137"/>
      <c r="FZ452" s="137"/>
      <c r="GA452" s="3"/>
      <c r="GB452" s="138"/>
      <c r="GC452" s="2"/>
      <c r="GD452" s="139"/>
      <c r="GE452" s="3"/>
      <c r="GF452" s="3"/>
    </row>
    <row r="453" spans="1:188" s="125" customFormat="1" ht="13.5" customHeight="1">
      <c r="A453" s="86">
        <v>8</v>
      </c>
      <c r="B453" s="60">
        <v>43095</v>
      </c>
      <c r="C453" s="18"/>
      <c r="D453" s="19" t="s">
        <v>1169</v>
      </c>
      <c r="E453" s="20" t="s">
        <v>330</v>
      </c>
      <c r="F453" s="168" t="s">
        <v>334</v>
      </c>
      <c r="G453" s="63">
        <v>1708</v>
      </c>
      <c r="H453" s="121">
        <v>2440000</v>
      </c>
      <c r="I453" s="24">
        <v>2323810</v>
      </c>
      <c r="J453" s="24"/>
      <c r="K453" s="24">
        <f t="shared" si="30"/>
        <v>2323810</v>
      </c>
      <c r="L453" s="123">
        <v>1</v>
      </c>
      <c r="M453" s="24">
        <f t="shared" si="31"/>
        <v>2323810</v>
      </c>
      <c r="N453" s="124">
        <f t="shared" si="32"/>
        <v>0</v>
      </c>
      <c r="O453" s="87" t="s">
        <v>1056</v>
      </c>
      <c r="P453" s="3"/>
      <c r="Q453" s="3"/>
      <c r="R453" s="3"/>
      <c r="S453" s="3"/>
      <c r="T453" s="3"/>
      <c r="U453" s="3"/>
      <c r="V453" s="131"/>
      <c r="W453" s="15"/>
      <c r="X453" s="3"/>
      <c r="Y453" s="3"/>
      <c r="Z453" s="3"/>
      <c r="AA453" s="3"/>
      <c r="AB453" s="3"/>
      <c r="AC453" s="131"/>
      <c r="AD453" s="15"/>
      <c r="AE453" s="99"/>
      <c r="AF453" s="149"/>
      <c r="AG453" s="134"/>
      <c r="AH453" s="134"/>
      <c r="AI453" s="137"/>
      <c r="AJ453" s="150"/>
      <c r="AK453" s="137"/>
      <c r="AL453" s="137"/>
      <c r="AM453" s="3"/>
      <c r="AN453" s="138"/>
      <c r="AO453" s="2"/>
      <c r="AP453" s="139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131"/>
      <c r="BB453" s="15"/>
      <c r="BC453" s="99"/>
      <c r="BD453" s="149"/>
      <c r="BE453" s="134"/>
      <c r="BF453" s="134"/>
      <c r="BG453" s="137"/>
      <c r="BH453" s="150"/>
      <c r="BI453" s="137"/>
      <c r="BJ453" s="137"/>
      <c r="BK453" s="3"/>
      <c r="BL453" s="138"/>
      <c r="BM453" s="2"/>
      <c r="BN453" s="139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131"/>
      <c r="BZ453" s="15"/>
      <c r="CA453" s="99"/>
      <c r="CB453" s="149"/>
      <c r="CC453" s="134"/>
      <c r="CD453" s="134"/>
      <c r="CE453" s="137"/>
      <c r="CF453" s="150"/>
      <c r="CG453" s="137"/>
      <c r="CH453" s="137"/>
      <c r="CI453" s="3"/>
      <c r="CJ453" s="138"/>
      <c r="CK453" s="2"/>
      <c r="CL453" s="139"/>
      <c r="CM453" s="3"/>
      <c r="CN453" s="3"/>
      <c r="CO453" s="3"/>
      <c r="CP453" s="3"/>
      <c r="CQ453" s="3"/>
      <c r="CR453" s="3"/>
      <c r="CS453" s="3"/>
      <c r="CT453" s="3"/>
      <c r="CU453" s="3"/>
      <c r="CV453" s="3"/>
      <c r="CW453" s="131"/>
      <c r="CX453" s="15"/>
      <c r="CY453" s="99"/>
      <c r="CZ453" s="149"/>
      <c r="DA453" s="134"/>
      <c r="DB453" s="134"/>
      <c r="DC453" s="137"/>
      <c r="DD453" s="150"/>
      <c r="DE453" s="137"/>
      <c r="DF453" s="137"/>
      <c r="DG453" s="3"/>
      <c r="DH453" s="138"/>
      <c r="DI453" s="2"/>
      <c r="DJ453" s="139"/>
      <c r="DK453" s="3"/>
      <c r="DL453" s="3"/>
      <c r="DM453" s="3"/>
      <c r="DN453" s="3"/>
      <c r="DO453" s="3"/>
      <c r="DP453" s="3"/>
      <c r="DQ453" s="3"/>
      <c r="DR453" s="3"/>
      <c r="DS453" s="3"/>
      <c r="DT453" s="3"/>
      <c r="DU453" s="131"/>
      <c r="DV453" s="15"/>
      <c r="DW453" s="99"/>
      <c r="DX453" s="149"/>
      <c r="DY453" s="134"/>
      <c r="DZ453" s="134"/>
      <c r="EA453" s="137"/>
      <c r="EB453" s="150"/>
      <c r="EC453" s="137"/>
      <c r="ED453" s="137"/>
      <c r="EE453" s="3"/>
      <c r="EF453" s="138"/>
      <c r="EG453" s="2"/>
      <c r="EH453" s="139"/>
      <c r="EI453" s="3"/>
      <c r="EJ453" s="3"/>
      <c r="EK453" s="3"/>
      <c r="EL453" s="3"/>
      <c r="EM453" s="3"/>
      <c r="EN453" s="3"/>
      <c r="EO453" s="3"/>
      <c r="EP453" s="3"/>
      <c r="EQ453" s="3"/>
      <c r="ER453" s="3"/>
      <c r="ES453" s="131"/>
      <c r="ET453" s="15"/>
      <c r="EU453" s="99"/>
      <c r="EV453" s="149"/>
      <c r="EW453" s="134"/>
      <c r="EX453" s="134"/>
      <c r="EY453" s="137"/>
      <c r="EZ453" s="150"/>
      <c r="FA453" s="137"/>
      <c r="FB453" s="137"/>
      <c r="FC453" s="3"/>
      <c r="FD453" s="138"/>
      <c r="FE453" s="2"/>
      <c r="FF453" s="139"/>
      <c r="FG453" s="3"/>
      <c r="FH453" s="3"/>
      <c r="FI453" s="3"/>
      <c r="FJ453" s="3"/>
      <c r="FK453" s="3"/>
      <c r="FL453" s="3"/>
      <c r="FM453" s="3"/>
      <c r="FN453" s="3"/>
      <c r="FO453" s="3"/>
      <c r="FP453" s="3"/>
      <c r="FQ453" s="131"/>
      <c r="FR453" s="15"/>
      <c r="FS453" s="99"/>
      <c r="FT453" s="149"/>
      <c r="FU453" s="134"/>
      <c r="FV453" s="134"/>
      <c r="FW453" s="137"/>
      <c r="FX453" s="150"/>
      <c r="FY453" s="137"/>
      <c r="FZ453" s="137"/>
      <c r="GA453" s="3"/>
      <c r="GB453" s="138"/>
      <c r="GC453" s="2"/>
      <c r="GD453" s="139"/>
      <c r="GE453" s="3"/>
      <c r="GF453" s="3"/>
    </row>
    <row r="454" spans="1:188" s="125" customFormat="1" ht="13.5" customHeight="1">
      <c r="A454" s="86">
        <v>9</v>
      </c>
      <c r="B454" s="56">
        <v>43088</v>
      </c>
      <c r="C454" s="18"/>
      <c r="D454" s="19" t="s">
        <v>1169</v>
      </c>
      <c r="E454" s="20" t="s">
        <v>330</v>
      </c>
      <c r="F454" s="62" t="s">
        <v>336</v>
      </c>
      <c r="G454" s="63">
        <v>1708</v>
      </c>
      <c r="H454" s="121">
        <v>2440000</v>
      </c>
      <c r="I454" s="24">
        <v>2323810</v>
      </c>
      <c r="J454" s="24"/>
      <c r="K454" s="24">
        <f t="shared" si="30"/>
        <v>2323810</v>
      </c>
      <c r="L454" s="123">
        <v>1</v>
      </c>
      <c r="M454" s="24">
        <f t="shared" si="31"/>
        <v>2323810</v>
      </c>
      <c r="N454" s="124">
        <f t="shared" si="32"/>
        <v>0</v>
      </c>
      <c r="O454" s="87" t="s">
        <v>1056</v>
      </c>
      <c r="P454" s="3"/>
      <c r="Q454" s="3"/>
      <c r="R454" s="3"/>
      <c r="S454" s="3"/>
      <c r="T454" s="3"/>
      <c r="U454" s="3"/>
      <c r="V454" s="131"/>
      <c r="W454" s="15"/>
      <c r="X454" s="3"/>
      <c r="Y454" s="3"/>
      <c r="Z454" s="3"/>
      <c r="AA454" s="3"/>
      <c r="AB454" s="3"/>
      <c r="AC454" s="131"/>
      <c r="AD454" s="15"/>
      <c r="AE454" s="99"/>
      <c r="AF454" s="149"/>
      <c r="AG454" s="134"/>
      <c r="AH454" s="134"/>
      <c r="AI454" s="137"/>
      <c r="AJ454" s="150"/>
      <c r="AK454" s="137"/>
      <c r="AL454" s="137"/>
      <c r="AM454" s="3"/>
      <c r="AN454" s="138"/>
      <c r="AO454" s="2"/>
      <c r="AP454" s="139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131"/>
      <c r="BB454" s="15"/>
      <c r="BC454" s="99"/>
      <c r="BD454" s="149"/>
      <c r="BE454" s="134"/>
      <c r="BF454" s="134"/>
      <c r="BG454" s="137"/>
      <c r="BH454" s="150"/>
      <c r="BI454" s="137"/>
      <c r="BJ454" s="137"/>
      <c r="BK454" s="3"/>
      <c r="BL454" s="138"/>
      <c r="BM454" s="2"/>
      <c r="BN454" s="139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131"/>
      <c r="BZ454" s="15"/>
      <c r="CA454" s="99"/>
      <c r="CB454" s="149"/>
      <c r="CC454" s="134"/>
      <c r="CD454" s="134"/>
      <c r="CE454" s="137"/>
      <c r="CF454" s="150"/>
      <c r="CG454" s="137"/>
      <c r="CH454" s="137"/>
      <c r="CI454" s="3"/>
      <c r="CJ454" s="138"/>
      <c r="CK454" s="2"/>
      <c r="CL454" s="139"/>
      <c r="CM454" s="3"/>
      <c r="CN454" s="3"/>
      <c r="CO454" s="3"/>
      <c r="CP454" s="3"/>
      <c r="CQ454" s="3"/>
      <c r="CR454" s="3"/>
      <c r="CS454" s="3"/>
      <c r="CT454" s="3"/>
      <c r="CU454" s="3"/>
      <c r="CV454" s="3"/>
      <c r="CW454" s="131"/>
      <c r="CX454" s="15"/>
      <c r="CY454" s="99"/>
      <c r="CZ454" s="149"/>
      <c r="DA454" s="134"/>
      <c r="DB454" s="134"/>
      <c r="DC454" s="137"/>
      <c r="DD454" s="150"/>
      <c r="DE454" s="137"/>
      <c r="DF454" s="137"/>
      <c r="DG454" s="3"/>
      <c r="DH454" s="138"/>
      <c r="DI454" s="2"/>
      <c r="DJ454" s="139"/>
      <c r="DK454" s="3"/>
      <c r="DL454" s="3"/>
      <c r="DM454" s="3"/>
      <c r="DN454" s="3"/>
      <c r="DO454" s="3"/>
      <c r="DP454" s="3"/>
      <c r="DQ454" s="3"/>
      <c r="DR454" s="3"/>
      <c r="DS454" s="3"/>
      <c r="DT454" s="3"/>
      <c r="DU454" s="131"/>
      <c r="DV454" s="15"/>
      <c r="DW454" s="99"/>
      <c r="DX454" s="149"/>
      <c r="DY454" s="134"/>
      <c r="DZ454" s="134"/>
      <c r="EA454" s="137"/>
      <c r="EB454" s="150"/>
      <c r="EC454" s="137"/>
      <c r="ED454" s="137"/>
      <c r="EE454" s="3"/>
      <c r="EF454" s="138"/>
      <c r="EG454" s="2"/>
      <c r="EH454" s="139"/>
      <c r="EI454" s="3"/>
      <c r="EJ454" s="3"/>
      <c r="EK454" s="3"/>
      <c r="EL454" s="3"/>
      <c r="EM454" s="3"/>
      <c r="EN454" s="3"/>
      <c r="EO454" s="3"/>
      <c r="EP454" s="3"/>
      <c r="EQ454" s="3"/>
      <c r="ER454" s="3"/>
      <c r="ES454" s="131"/>
      <c r="ET454" s="15"/>
      <c r="EU454" s="99"/>
      <c r="EV454" s="149"/>
      <c r="EW454" s="134"/>
      <c r="EX454" s="134"/>
      <c r="EY454" s="137"/>
      <c r="EZ454" s="150"/>
      <c r="FA454" s="137"/>
      <c r="FB454" s="137"/>
      <c r="FC454" s="3"/>
      <c r="FD454" s="138"/>
      <c r="FE454" s="2"/>
      <c r="FF454" s="139"/>
      <c r="FG454" s="3"/>
      <c r="FH454" s="3"/>
      <c r="FI454" s="3"/>
      <c r="FJ454" s="3"/>
      <c r="FK454" s="3"/>
      <c r="FL454" s="3"/>
      <c r="FM454" s="3"/>
      <c r="FN454" s="3"/>
      <c r="FO454" s="3"/>
      <c r="FP454" s="3"/>
      <c r="FQ454" s="131"/>
      <c r="FR454" s="15"/>
      <c r="FS454" s="99"/>
      <c r="FT454" s="149"/>
      <c r="FU454" s="134"/>
      <c r="FV454" s="134"/>
      <c r="FW454" s="137"/>
      <c r="FX454" s="150"/>
      <c r="FY454" s="137"/>
      <c r="FZ454" s="137"/>
      <c r="GA454" s="3"/>
      <c r="GB454" s="138"/>
      <c r="GC454" s="2"/>
      <c r="GD454" s="139"/>
      <c r="GE454" s="3"/>
      <c r="GF454" s="3"/>
    </row>
    <row r="455" spans="1:188" s="125" customFormat="1" ht="13.5" customHeight="1">
      <c r="A455" s="86">
        <v>10</v>
      </c>
      <c r="B455" s="56">
        <v>43075</v>
      </c>
      <c r="C455" s="18"/>
      <c r="D455" s="19" t="s">
        <v>1169</v>
      </c>
      <c r="E455" s="20" t="s">
        <v>341</v>
      </c>
      <c r="F455" s="168" t="s">
        <v>342</v>
      </c>
      <c r="G455" s="63">
        <v>1707</v>
      </c>
      <c r="H455" s="121">
        <v>2556800</v>
      </c>
      <c r="I455" s="24">
        <v>2435048</v>
      </c>
      <c r="J455" s="24"/>
      <c r="K455" s="24">
        <f t="shared" si="30"/>
        <v>2435048</v>
      </c>
      <c r="L455" s="123">
        <v>1</v>
      </c>
      <c r="M455" s="24">
        <f t="shared" si="31"/>
        <v>2435048</v>
      </c>
      <c r="N455" s="124">
        <f t="shared" si="32"/>
        <v>0</v>
      </c>
      <c r="O455" s="87" t="s">
        <v>1056</v>
      </c>
      <c r="P455" s="3"/>
      <c r="Q455" s="3"/>
      <c r="R455" s="3"/>
      <c r="S455" s="3"/>
      <c r="T455" s="3"/>
      <c r="U455" s="3"/>
      <c r="V455" s="131"/>
      <c r="W455" s="15"/>
      <c r="X455" s="3"/>
      <c r="Y455" s="3"/>
      <c r="Z455" s="3"/>
      <c r="AA455" s="3"/>
      <c r="AB455" s="3"/>
      <c r="AC455" s="131"/>
      <c r="AD455" s="15"/>
      <c r="AE455" s="99"/>
      <c r="AF455" s="149"/>
      <c r="AG455" s="134"/>
      <c r="AH455" s="134"/>
      <c r="AI455" s="137"/>
      <c r="AJ455" s="150"/>
      <c r="AK455" s="137"/>
      <c r="AL455" s="137"/>
      <c r="AM455" s="3"/>
      <c r="AN455" s="138"/>
      <c r="AO455" s="2"/>
      <c r="AP455" s="139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131"/>
      <c r="BB455" s="15"/>
      <c r="BC455" s="99"/>
      <c r="BD455" s="149"/>
      <c r="BE455" s="134"/>
      <c r="BF455" s="134"/>
      <c r="BG455" s="137"/>
      <c r="BH455" s="150"/>
      <c r="BI455" s="137"/>
      <c r="BJ455" s="137"/>
      <c r="BK455" s="3"/>
      <c r="BL455" s="138"/>
      <c r="BM455" s="2"/>
      <c r="BN455" s="139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131"/>
      <c r="BZ455" s="15"/>
      <c r="CA455" s="99"/>
      <c r="CB455" s="149"/>
      <c r="CC455" s="134"/>
      <c r="CD455" s="134"/>
      <c r="CE455" s="137"/>
      <c r="CF455" s="150"/>
      <c r="CG455" s="137"/>
      <c r="CH455" s="137"/>
      <c r="CI455" s="3"/>
      <c r="CJ455" s="138"/>
      <c r="CK455" s="2"/>
      <c r="CL455" s="139"/>
      <c r="CM455" s="3"/>
      <c r="CN455" s="3"/>
      <c r="CO455" s="3"/>
      <c r="CP455" s="3"/>
      <c r="CQ455" s="3"/>
      <c r="CR455" s="3"/>
      <c r="CS455" s="3"/>
      <c r="CT455" s="3"/>
      <c r="CU455" s="3"/>
      <c r="CV455" s="3"/>
      <c r="CW455" s="131"/>
      <c r="CX455" s="15"/>
      <c r="CY455" s="99"/>
      <c r="CZ455" s="149"/>
      <c r="DA455" s="134"/>
      <c r="DB455" s="134"/>
      <c r="DC455" s="137"/>
      <c r="DD455" s="150"/>
      <c r="DE455" s="137"/>
      <c r="DF455" s="137"/>
      <c r="DG455" s="3"/>
      <c r="DH455" s="138"/>
      <c r="DI455" s="2"/>
      <c r="DJ455" s="139"/>
      <c r="DK455" s="3"/>
      <c r="DL455" s="3"/>
      <c r="DM455" s="3"/>
      <c r="DN455" s="3"/>
      <c r="DO455" s="3"/>
      <c r="DP455" s="3"/>
      <c r="DQ455" s="3"/>
      <c r="DR455" s="3"/>
      <c r="DS455" s="3"/>
      <c r="DT455" s="3"/>
      <c r="DU455" s="131"/>
      <c r="DV455" s="15"/>
      <c r="DW455" s="99"/>
      <c r="DX455" s="149"/>
      <c r="DY455" s="134"/>
      <c r="DZ455" s="134"/>
      <c r="EA455" s="137"/>
      <c r="EB455" s="150"/>
      <c r="EC455" s="137"/>
      <c r="ED455" s="137"/>
      <c r="EE455" s="3"/>
      <c r="EF455" s="138"/>
      <c r="EG455" s="2"/>
      <c r="EH455" s="139"/>
      <c r="EI455" s="3"/>
      <c r="EJ455" s="3"/>
      <c r="EK455" s="3"/>
      <c r="EL455" s="3"/>
      <c r="EM455" s="3"/>
      <c r="EN455" s="3"/>
      <c r="EO455" s="3"/>
      <c r="EP455" s="3"/>
      <c r="EQ455" s="3"/>
      <c r="ER455" s="3"/>
      <c r="ES455" s="131"/>
      <c r="ET455" s="15"/>
      <c r="EU455" s="99"/>
      <c r="EV455" s="149"/>
      <c r="EW455" s="134"/>
      <c r="EX455" s="134"/>
      <c r="EY455" s="137"/>
      <c r="EZ455" s="150"/>
      <c r="FA455" s="137"/>
      <c r="FB455" s="137"/>
      <c r="FC455" s="3"/>
      <c r="FD455" s="138"/>
      <c r="FE455" s="2"/>
      <c r="FF455" s="139"/>
      <c r="FG455" s="3"/>
      <c r="FH455" s="3"/>
      <c r="FI455" s="3"/>
      <c r="FJ455" s="3"/>
      <c r="FK455" s="3"/>
      <c r="FL455" s="3"/>
      <c r="FM455" s="3"/>
      <c r="FN455" s="3"/>
      <c r="FO455" s="3"/>
      <c r="FP455" s="3"/>
      <c r="FQ455" s="131"/>
      <c r="FR455" s="15"/>
      <c r="FS455" s="99"/>
      <c r="FT455" s="149"/>
      <c r="FU455" s="134"/>
      <c r="FV455" s="134"/>
      <c r="FW455" s="137"/>
      <c r="FX455" s="150"/>
      <c r="FY455" s="137"/>
      <c r="FZ455" s="137"/>
      <c r="GA455" s="3"/>
      <c r="GB455" s="138"/>
      <c r="GC455" s="2"/>
      <c r="GD455" s="139"/>
      <c r="GE455" s="3"/>
      <c r="GF455" s="3"/>
    </row>
    <row r="456" spans="1:188" s="125" customFormat="1" ht="13.5" customHeight="1">
      <c r="A456" s="86">
        <v>11</v>
      </c>
      <c r="B456" s="60">
        <v>43077</v>
      </c>
      <c r="C456" s="18"/>
      <c r="D456" s="19" t="s">
        <v>1169</v>
      </c>
      <c r="E456" s="20" t="s">
        <v>348</v>
      </c>
      <c r="F456" s="120" t="s">
        <v>350</v>
      </c>
      <c r="G456" s="63">
        <v>1708</v>
      </c>
      <c r="H456" s="121">
        <v>2876400</v>
      </c>
      <c r="I456" s="24">
        <v>2739429</v>
      </c>
      <c r="J456" s="24"/>
      <c r="K456" s="24">
        <f t="shared" si="30"/>
        <v>2739429</v>
      </c>
      <c r="L456" s="123">
        <v>1</v>
      </c>
      <c r="M456" s="24">
        <f t="shared" si="31"/>
        <v>2739429</v>
      </c>
      <c r="N456" s="124">
        <f t="shared" si="32"/>
        <v>0</v>
      </c>
      <c r="O456" s="87" t="s">
        <v>1056</v>
      </c>
      <c r="P456" s="3"/>
      <c r="Q456" s="3"/>
      <c r="R456" s="3"/>
      <c r="S456" s="3"/>
      <c r="T456" s="3"/>
      <c r="U456" s="3"/>
      <c r="V456" s="131"/>
      <c r="W456" s="15"/>
      <c r="X456" s="3"/>
      <c r="Y456" s="3"/>
      <c r="Z456" s="3"/>
      <c r="AA456" s="3"/>
      <c r="AB456" s="3"/>
      <c r="AC456" s="131"/>
      <c r="AD456" s="15"/>
      <c r="AE456" s="99"/>
      <c r="AF456" s="149"/>
      <c r="AG456" s="134"/>
      <c r="AH456" s="134"/>
      <c r="AI456" s="137"/>
      <c r="AJ456" s="150"/>
      <c r="AK456" s="137"/>
      <c r="AL456" s="137"/>
      <c r="AM456" s="3"/>
      <c r="AN456" s="138"/>
      <c r="AO456" s="2"/>
      <c r="AP456" s="139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131"/>
      <c r="BB456" s="15"/>
      <c r="BC456" s="99"/>
      <c r="BD456" s="149"/>
      <c r="BE456" s="134"/>
      <c r="BF456" s="134"/>
      <c r="BG456" s="137"/>
      <c r="BH456" s="150"/>
      <c r="BI456" s="137"/>
      <c r="BJ456" s="137"/>
      <c r="BK456" s="3"/>
      <c r="BL456" s="138"/>
      <c r="BM456" s="2"/>
      <c r="BN456" s="139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131"/>
      <c r="BZ456" s="15"/>
      <c r="CA456" s="99"/>
      <c r="CB456" s="149"/>
      <c r="CC456" s="134"/>
      <c r="CD456" s="134"/>
      <c r="CE456" s="137"/>
      <c r="CF456" s="150"/>
      <c r="CG456" s="137"/>
      <c r="CH456" s="137"/>
      <c r="CI456" s="3"/>
      <c r="CJ456" s="138"/>
      <c r="CK456" s="2"/>
      <c r="CL456" s="139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131"/>
      <c r="CX456" s="15"/>
      <c r="CY456" s="99"/>
      <c r="CZ456" s="149"/>
      <c r="DA456" s="134"/>
      <c r="DB456" s="134"/>
      <c r="DC456" s="137"/>
      <c r="DD456" s="150"/>
      <c r="DE456" s="137"/>
      <c r="DF456" s="137"/>
      <c r="DG456" s="3"/>
      <c r="DH456" s="138"/>
      <c r="DI456" s="2"/>
      <c r="DJ456" s="139"/>
      <c r="DK456" s="3"/>
      <c r="DL456" s="3"/>
      <c r="DM456" s="3"/>
      <c r="DN456" s="3"/>
      <c r="DO456" s="3"/>
      <c r="DP456" s="3"/>
      <c r="DQ456" s="3"/>
      <c r="DR456" s="3"/>
      <c r="DS456" s="3"/>
      <c r="DT456" s="3"/>
      <c r="DU456" s="131"/>
      <c r="DV456" s="15"/>
      <c r="DW456" s="99"/>
      <c r="DX456" s="149"/>
      <c r="DY456" s="134"/>
      <c r="DZ456" s="134"/>
      <c r="EA456" s="137"/>
      <c r="EB456" s="150"/>
      <c r="EC456" s="137"/>
      <c r="ED456" s="137"/>
      <c r="EE456" s="3"/>
      <c r="EF456" s="138"/>
      <c r="EG456" s="2"/>
      <c r="EH456" s="139"/>
      <c r="EI456" s="3"/>
      <c r="EJ456" s="3"/>
      <c r="EK456" s="3"/>
      <c r="EL456" s="3"/>
      <c r="EM456" s="3"/>
      <c r="EN456" s="3"/>
      <c r="EO456" s="3"/>
      <c r="EP456" s="3"/>
      <c r="EQ456" s="3"/>
      <c r="ER456" s="3"/>
      <c r="ES456" s="131"/>
      <c r="ET456" s="15"/>
      <c r="EU456" s="99"/>
      <c r="EV456" s="149"/>
      <c r="EW456" s="134"/>
      <c r="EX456" s="134"/>
      <c r="EY456" s="137"/>
      <c r="EZ456" s="150"/>
      <c r="FA456" s="137"/>
      <c r="FB456" s="137"/>
      <c r="FC456" s="3"/>
      <c r="FD456" s="138"/>
      <c r="FE456" s="2"/>
      <c r="FF456" s="139"/>
      <c r="FG456" s="3"/>
      <c r="FH456" s="3"/>
      <c r="FI456" s="3"/>
      <c r="FJ456" s="3"/>
      <c r="FK456" s="3"/>
      <c r="FL456" s="3"/>
      <c r="FM456" s="3"/>
      <c r="FN456" s="3"/>
      <c r="FO456" s="3"/>
      <c r="FP456" s="3"/>
      <c r="FQ456" s="131"/>
      <c r="FR456" s="15"/>
      <c r="FS456" s="99"/>
      <c r="FT456" s="149"/>
      <c r="FU456" s="134"/>
      <c r="FV456" s="134"/>
      <c r="FW456" s="137"/>
      <c r="FX456" s="150"/>
      <c r="FY456" s="137"/>
      <c r="FZ456" s="137"/>
      <c r="GA456" s="3"/>
      <c r="GB456" s="138"/>
      <c r="GC456" s="2"/>
      <c r="GD456" s="139"/>
      <c r="GE456" s="3"/>
      <c r="GF456" s="3"/>
    </row>
    <row r="457" spans="1:188" s="125" customFormat="1" ht="13.5" customHeight="1">
      <c r="A457" s="86">
        <v>12</v>
      </c>
      <c r="B457" s="60">
        <v>43073</v>
      </c>
      <c r="C457" s="18"/>
      <c r="D457" s="19" t="s">
        <v>1189</v>
      </c>
      <c r="E457" s="20" t="s">
        <v>442</v>
      </c>
      <c r="F457" s="120" t="s">
        <v>443</v>
      </c>
      <c r="G457" s="63">
        <v>1708</v>
      </c>
      <c r="H457" s="121">
        <v>1710800</v>
      </c>
      <c r="I457" s="24">
        <v>1629333</v>
      </c>
      <c r="J457" s="24"/>
      <c r="K457" s="24">
        <f t="shared" si="30"/>
        <v>1629333</v>
      </c>
      <c r="L457" s="123">
        <v>1</v>
      </c>
      <c r="M457" s="24">
        <f t="shared" si="31"/>
        <v>1629333</v>
      </c>
      <c r="N457" s="124">
        <f t="shared" si="32"/>
        <v>0</v>
      </c>
      <c r="O457" s="87" t="s">
        <v>1056</v>
      </c>
      <c r="P457" s="3"/>
      <c r="Q457" s="3"/>
      <c r="R457" s="3"/>
      <c r="S457" s="3"/>
      <c r="T457" s="3"/>
      <c r="U457" s="3"/>
      <c r="V457" s="131"/>
      <c r="W457" s="15"/>
      <c r="X457" s="3"/>
      <c r="Y457" s="3"/>
      <c r="Z457" s="3"/>
      <c r="AA457" s="3"/>
      <c r="AB457" s="3"/>
      <c r="AC457" s="131"/>
      <c r="AD457" s="15"/>
      <c r="AE457" s="99"/>
      <c r="AF457" s="149"/>
      <c r="AG457" s="134"/>
      <c r="AH457" s="134"/>
      <c r="AI457" s="137"/>
      <c r="AJ457" s="150"/>
      <c r="AK457" s="137"/>
      <c r="AL457" s="137"/>
      <c r="AM457" s="3"/>
      <c r="AN457" s="138"/>
      <c r="AO457" s="2"/>
      <c r="AP457" s="139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131"/>
      <c r="BB457" s="15"/>
      <c r="BC457" s="99"/>
      <c r="BD457" s="149"/>
      <c r="BE457" s="134"/>
      <c r="BF457" s="134"/>
      <c r="BG457" s="137"/>
      <c r="BH457" s="150"/>
      <c r="BI457" s="137"/>
      <c r="BJ457" s="137"/>
      <c r="BK457" s="3"/>
      <c r="BL457" s="138"/>
      <c r="BM457" s="2"/>
      <c r="BN457" s="139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131"/>
      <c r="BZ457" s="15"/>
      <c r="CA457" s="99"/>
      <c r="CB457" s="149"/>
      <c r="CC457" s="134"/>
      <c r="CD457" s="134"/>
      <c r="CE457" s="137"/>
      <c r="CF457" s="150"/>
      <c r="CG457" s="137"/>
      <c r="CH457" s="137"/>
      <c r="CI457" s="3"/>
      <c r="CJ457" s="138"/>
      <c r="CK457" s="2"/>
      <c r="CL457" s="139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131"/>
      <c r="CX457" s="15"/>
      <c r="CY457" s="99"/>
      <c r="CZ457" s="149"/>
      <c r="DA457" s="134"/>
      <c r="DB457" s="134"/>
      <c r="DC457" s="137"/>
      <c r="DD457" s="150"/>
      <c r="DE457" s="137"/>
      <c r="DF457" s="137"/>
      <c r="DG457" s="3"/>
      <c r="DH457" s="138"/>
      <c r="DI457" s="2"/>
      <c r="DJ457" s="139"/>
      <c r="DK457" s="3"/>
      <c r="DL457" s="3"/>
      <c r="DM457" s="3"/>
      <c r="DN457" s="3"/>
      <c r="DO457" s="3"/>
      <c r="DP457" s="3"/>
      <c r="DQ457" s="3"/>
      <c r="DR457" s="3"/>
      <c r="DS457" s="3"/>
      <c r="DT457" s="3"/>
      <c r="DU457" s="131"/>
      <c r="DV457" s="15"/>
      <c r="DW457" s="99"/>
      <c r="DX457" s="149"/>
      <c r="DY457" s="134"/>
      <c r="DZ457" s="134"/>
      <c r="EA457" s="137"/>
      <c r="EB457" s="150"/>
      <c r="EC457" s="137"/>
      <c r="ED457" s="137"/>
      <c r="EE457" s="3"/>
      <c r="EF457" s="138"/>
      <c r="EG457" s="2"/>
      <c r="EH457" s="139"/>
      <c r="EI457" s="3"/>
      <c r="EJ457" s="3"/>
      <c r="EK457" s="3"/>
      <c r="EL457" s="3"/>
      <c r="EM457" s="3"/>
      <c r="EN457" s="3"/>
      <c r="EO457" s="3"/>
      <c r="EP457" s="3"/>
      <c r="EQ457" s="3"/>
      <c r="ER457" s="3"/>
      <c r="ES457" s="131"/>
      <c r="ET457" s="15"/>
      <c r="EU457" s="99"/>
      <c r="EV457" s="149"/>
      <c r="EW457" s="134"/>
      <c r="EX457" s="134"/>
      <c r="EY457" s="137"/>
      <c r="EZ457" s="150"/>
      <c r="FA457" s="137"/>
      <c r="FB457" s="137"/>
      <c r="FC457" s="3"/>
      <c r="FD457" s="138"/>
      <c r="FE457" s="2"/>
      <c r="FF457" s="139"/>
      <c r="FG457" s="3"/>
      <c r="FH457" s="3"/>
      <c r="FI457" s="3"/>
      <c r="FJ457" s="3"/>
      <c r="FK457" s="3"/>
      <c r="FL457" s="3"/>
      <c r="FM457" s="3"/>
      <c r="FN457" s="3"/>
      <c r="FO457" s="3"/>
      <c r="FP457" s="3"/>
      <c r="FQ457" s="131"/>
      <c r="FR457" s="15"/>
      <c r="FS457" s="99"/>
      <c r="FT457" s="149"/>
      <c r="FU457" s="134"/>
      <c r="FV457" s="134"/>
      <c r="FW457" s="137"/>
      <c r="FX457" s="150"/>
      <c r="FY457" s="137"/>
      <c r="FZ457" s="137"/>
      <c r="GA457" s="3"/>
      <c r="GB457" s="138"/>
      <c r="GC457" s="2"/>
      <c r="GD457" s="139"/>
      <c r="GE457" s="3"/>
      <c r="GF457" s="3"/>
    </row>
    <row r="458" spans="1:188" s="125" customFormat="1" ht="13.5" customHeight="1">
      <c r="A458" s="86">
        <v>13</v>
      </c>
      <c r="B458" s="60">
        <v>43091</v>
      </c>
      <c r="C458" s="18"/>
      <c r="D458" s="19" t="s">
        <v>1189</v>
      </c>
      <c r="E458" s="20" t="s">
        <v>447</v>
      </c>
      <c r="F458" s="168" t="s">
        <v>450</v>
      </c>
      <c r="G458" s="63">
        <v>1710</v>
      </c>
      <c r="H458" s="121">
        <v>1626200</v>
      </c>
      <c r="I458" s="24">
        <v>1548762</v>
      </c>
      <c r="J458" s="24"/>
      <c r="K458" s="24">
        <f t="shared" si="30"/>
        <v>1548762</v>
      </c>
      <c r="L458" s="123">
        <v>1</v>
      </c>
      <c r="M458" s="24">
        <f t="shared" si="31"/>
        <v>1548762</v>
      </c>
      <c r="N458" s="124">
        <f t="shared" si="32"/>
        <v>0</v>
      </c>
      <c r="O458" s="87" t="s">
        <v>1056</v>
      </c>
      <c r="P458" s="3"/>
      <c r="Q458" s="3"/>
      <c r="R458" s="3"/>
      <c r="S458" s="3"/>
      <c r="T458" s="3"/>
      <c r="U458" s="3"/>
      <c r="V458" s="131"/>
      <c r="W458" s="15"/>
      <c r="X458" s="3"/>
      <c r="Y458" s="3"/>
      <c r="Z458" s="3"/>
      <c r="AA458" s="3"/>
      <c r="AB458" s="3"/>
      <c r="AC458" s="131"/>
      <c r="AD458" s="15"/>
      <c r="AE458" s="99"/>
      <c r="AF458" s="149"/>
      <c r="AG458" s="134"/>
      <c r="AH458" s="134"/>
      <c r="AI458" s="137"/>
      <c r="AJ458" s="150"/>
      <c r="AK458" s="137"/>
      <c r="AL458" s="137"/>
      <c r="AM458" s="3"/>
      <c r="AN458" s="138"/>
      <c r="AO458" s="2"/>
      <c r="AP458" s="139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131"/>
      <c r="BB458" s="15"/>
      <c r="BC458" s="99"/>
      <c r="BD458" s="149"/>
      <c r="BE458" s="134"/>
      <c r="BF458" s="134"/>
      <c r="BG458" s="137"/>
      <c r="BH458" s="150"/>
      <c r="BI458" s="137"/>
      <c r="BJ458" s="137"/>
      <c r="BK458" s="3"/>
      <c r="BL458" s="138"/>
      <c r="BM458" s="2"/>
      <c r="BN458" s="139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131"/>
      <c r="BZ458" s="15"/>
      <c r="CA458" s="99"/>
      <c r="CB458" s="149"/>
      <c r="CC458" s="134"/>
      <c r="CD458" s="134"/>
      <c r="CE458" s="137"/>
      <c r="CF458" s="150"/>
      <c r="CG458" s="137"/>
      <c r="CH458" s="137"/>
      <c r="CI458" s="3"/>
      <c r="CJ458" s="138"/>
      <c r="CK458" s="2"/>
      <c r="CL458" s="139"/>
      <c r="CM458" s="3"/>
      <c r="CN458" s="3"/>
      <c r="CO458" s="3"/>
      <c r="CP458" s="3"/>
      <c r="CQ458" s="3"/>
      <c r="CR458" s="3"/>
      <c r="CS458" s="3"/>
      <c r="CT458" s="3"/>
      <c r="CU458" s="3"/>
      <c r="CV458" s="3"/>
      <c r="CW458" s="131"/>
      <c r="CX458" s="15"/>
      <c r="CY458" s="99"/>
      <c r="CZ458" s="149"/>
      <c r="DA458" s="134"/>
      <c r="DB458" s="134"/>
      <c r="DC458" s="137"/>
      <c r="DD458" s="150"/>
      <c r="DE458" s="137"/>
      <c r="DF458" s="137"/>
      <c r="DG458" s="3"/>
      <c r="DH458" s="138"/>
      <c r="DI458" s="2"/>
      <c r="DJ458" s="139"/>
      <c r="DK458" s="3"/>
      <c r="DL458" s="3"/>
      <c r="DM458" s="3"/>
      <c r="DN458" s="3"/>
      <c r="DO458" s="3"/>
      <c r="DP458" s="3"/>
      <c r="DQ458" s="3"/>
      <c r="DR458" s="3"/>
      <c r="DS458" s="3"/>
      <c r="DT458" s="3"/>
      <c r="DU458" s="131"/>
      <c r="DV458" s="15"/>
      <c r="DW458" s="99"/>
      <c r="DX458" s="149"/>
      <c r="DY458" s="134"/>
      <c r="DZ458" s="134"/>
      <c r="EA458" s="137"/>
      <c r="EB458" s="150"/>
      <c r="EC458" s="137"/>
      <c r="ED458" s="137"/>
      <c r="EE458" s="3"/>
      <c r="EF458" s="138"/>
      <c r="EG458" s="2"/>
      <c r="EH458" s="139"/>
      <c r="EI458" s="3"/>
      <c r="EJ458" s="3"/>
      <c r="EK458" s="3"/>
      <c r="EL458" s="3"/>
      <c r="EM458" s="3"/>
      <c r="EN458" s="3"/>
      <c r="EO458" s="3"/>
      <c r="EP458" s="3"/>
      <c r="EQ458" s="3"/>
      <c r="ER458" s="3"/>
      <c r="ES458" s="131"/>
      <c r="ET458" s="15"/>
      <c r="EU458" s="99"/>
      <c r="EV458" s="149"/>
      <c r="EW458" s="134"/>
      <c r="EX458" s="134"/>
      <c r="EY458" s="137"/>
      <c r="EZ458" s="150"/>
      <c r="FA458" s="137"/>
      <c r="FB458" s="137"/>
      <c r="FC458" s="3"/>
      <c r="FD458" s="138"/>
      <c r="FE458" s="2"/>
      <c r="FF458" s="139"/>
      <c r="FG458" s="3"/>
      <c r="FH458" s="3"/>
      <c r="FI458" s="3"/>
      <c r="FJ458" s="3"/>
      <c r="FK458" s="3"/>
      <c r="FL458" s="3"/>
      <c r="FM458" s="3"/>
      <c r="FN458" s="3"/>
      <c r="FO458" s="3"/>
      <c r="FP458" s="3"/>
      <c r="FQ458" s="131"/>
      <c r="FR458" s="15"/>
      <c r="FS458" s="99"/>
      <c r="FT458" s="149"/>
      <c r="FU458" s="134"/>
      <c r="FV458" s="134"/>
      <c r="FW458" s="137"/>
      <c r="FX458" s="150"/>
      <c r="FY458" s="137"/>
      <c r="FZ458" s="137"/>
      <c r="GA458" s="3"/>
      <c r="GB458" s="138"/>
      <c r="GC458" s="2"/>
      <c r="GD458" s="139"/>
      <c r="GE458" s="3"/>
      <c r="GF458" s="3"/>
    </row>
    <row r="459" spans="1:188" s="125" customFormat="1" ht="13.5" customHeight="1">
      <c r="A459" s="86">
        <v>14</v>
      </c>
      <c r="B459" s="56">
        <v>43069</v>
      </c>
      <c r="C459" s="18"/>
      <c r="D459" s="19" t="s">
        <v>1203</v>
      </c>
      <c r="E459" s="20" t="s">
        <v>462</v>
      </c>
      <c r="F459" s="57" t="s">
        <v>466</v>
      </c>
      <c r="G459" s="63">
        <v>1709</v>
      </c>
      <c r="H459" s="121">
        <f>2289200+130000</f>
        <v>2419200</v>
      </c>
      <c r="I459" s="24">
        <v>2304000</v>
      </c>
      <c r="J459" s="24"/>
      <c r="K459" s="24">
        <f t="shared" si="30"/>
        <v>2304000</v>
      </c>
      <c r="L459" s="123">
        <v>1</v>
      </c>
      <c r="M459" s="24">
        <f t="shared" si="31"/>
        <v>2304000</v>
      </c>
      <c r="N459" s="124">
        <f t="shared" si="32"/>
        <v>0</v>
      </c>
      <c r="O459" s="87" t="s">
        <v>1056</v>
      </c>
      <c r="P459" s="3"/>
      <c r="Q459" s="3"/>
      <c r="R459" s="3"/>
      <c r="S459" s="3"/>
      <c r="T459" s="3"/>
      <c r="U459" s="3"/>
      <c r="V459" s="131"/>
      <c r="W459" s="15"/>
      <c r="X459" s="3"/>
      <c r="Y459" s="3"/>
      <c r="Z459" s="3"/>
      <c r="AA459" s="3"/>
      <c r="AB459" s="3"/>
      <c r="AC459" s="131"/>
      <c r="AD459" s="15"/>
      <c r="AE459" s="99"/>
      <c r="AF459" s="149"/>
      <c r="AG459" s="134"/>
      <c r="AH459" s="134"/>
      <c r="AI459" s="137"/>
      <c r="AJ459" s="150"/>
      <c r="AK459" s="137"/>
      <c r="AL459" s="137"/>
      <c r="AM459" s="3"/>
      <c r="AN459" s="138"/>
      <c r="AO459" s="2"/>
      <c r="AP459" s="139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131"/>
      <c r="BB459" s="15"/>
      <c r="BC459" s="99"/>
      <c r="BD459" s="149"/>
      <c r="BE459" s="134"/>
      <c r="BF459" s="134"/>
      <c r="BG459" s="137"/>
      <c r="BH459" s="150"/>
      <c r="BI459" s="137"/>
      <c r="BJ459" s="137"/>
      <c r="BK459" s="3"/>
      <c r="BL459" s="138"/>
      <c r="BM459" s="2"/>
      <c r="BN459" s="139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131"/>
      <c r="BZ459" s="15"/>
      <c r="CA459" s="99"/>
      <c r="CB459" s="149"/>
      <c r="CC459" s="134"/>
      <c r="CD459" s="134"/>
      <c r="CE459" s="137"/>
      <c r="CF459" s="150"/>
      <c r="CG459" s="137"/>
      <c r="CH459" s="137"/>
      <c r="CI459" s="3"/>
      <c r="CJ459" s="138"/>
      <c r="CK459" s="2"/>
      <c r="CL459" s="139"/>
      <c r="CM459" s="3"/>
      <c r="CN459" s="3"/>
      <c r="CO459" s="3"/>
      <c r="CP459" s="3"/>
      <c r="CQ459" s="3"/>
      <c r="CR459" s="3"/>
      <c r="CS459" s="3"/>
      <c r="CT459" s="3"/>
      <c r="CU459" s="3"/>
      <c r="CV459" s="3"/>
      <c r="CW459" s="131"/>
      <c r="CX459" s="15"/>
      <c r="CY459" s="99"/>
      <c r="CZ459" s="149"/>
      <c r="DA459" s="134"/>
      <c r="DB459" s="134"/>
      <c r="DC459" s="137"/>
      <c r="DD459" s="150"/>
      <c r="DE459" s="137"/>
      <c r="DF459" s="137"/>
      <c r="DG459" s="3"/>
      <c r="DH459" s="138"/>
      <c r="DI459" s="2"/>
      <c r="DJ459" s="139"/>
      <c r="DK459" s="3"/>
      <c r="DL459" s="3"/>
      <c r="DM459" s="3"/>
      <c r="DN459" s="3"/>
      <c r="DO459" s="3"/>
      <c r="DP459" s="3"/>
      <c r="DQ459" s="3"/>
      <c r="DR459" s="3"/>
      <c r="DS459" s="3"/>
      <c r="DT459" s="3"/>
      <c r="DU459" s="131"/>
      <c r="DV459" s="15"/>
      <c r="DW459" s="99"/>
      <c r="DX459" s="149"/>
      <c r="DY459" s="134"/>
      <c r="DZ459" s="134"/>
      <c r="EA459" s="137"/>
      <c r="EB459" s="150"/>
      <c r="EC459" s="137"/>
      <c r="ED459" s="137"/>
      <c r="EE459" s="3"/>
      <c r="EF459" s="138"/>
      <c r="EG459" s="2"/>
      <c r="EH459" s="139"/>
      <c r="EI459" s="3"/>
      <c r="EJ459" s="3"/>
      <c r="EK459" s="3"/>
      <c r="EL459" s="3"/>
      <c r="EM459" s="3"/>
      <c r="EN459" s="3"/>
      <c r="EO459" s="3"/>
      <c r="EP459" s="3"/>
      <c r="EQ459" s="3"/>
      <c r="ER459" s="3"/>
      <c r="ES459" s="131"/>
      <c r="ET459" s="15"/>
      <c r="EU459" s="99"/>
      <c r="EV459" s="149"/>
      <c r="EW459" s="134"/>
      <c r="EX459" s="134"/>
      <c r="EY459" s="137"/>
      <c r="EZ459" s="150"/>
      <c r="FA459" s="137"/>
      <c r="FB459" s="137"/>
      <c r="FC459" s="3"/>
      <c r="FD459" s="138"/>
      <c r="FE459" s="2"/>
      <c r="FF459" s="139"/>
      <c r="FG459" s="3"/>
      <c r="FH459" s="3"/>
      <c r="FI459" s="3"/>
      <c r="FJ459" s="3"/>
      <c r="FK459" s="3"/>
      <c r="FL459" s="3"/>
      <c r="FM459" s="3"/>
      <c r="FN459" s="3"/>
      <c r="FO459" s="3"/>
      <c r="FP459" s="3"/>
      <c r="FQ459" s="131"/>
      <c r="FR459" s="15"/>
      <c r="FS459" s="99"/>
      <c r="FT459" s="149"/>
      <c r="FU459" s="134"/>
      <c r="FV459" s="134"/>
      <c r="FW459" s="137"/>
      <c r="FX459" s="150"/>
      <c r="FY459" s="137"/>
      <c r="FZ459" s="137"/>
      <c r="GA459" s="3"/>
      <c r="GB459" s="138"/>
      <c r="GC459" s="2"/>
      <c r="GD459" s="139"/>
      <c r="GE459" s="3"/>
      <c r="GF459" s="3"/>
    </row>
    <row r="460" spans="1:188" s="125" customFormat="1" ht="13.5" customHeight="1">
      <c r="A460" s="86">
        <v>15</v>
      </c>
      <c r="B460" s="56">
        <v>43069</v>
      </c>
      <c r="C460" s="18"/>
      <c r="D460" s="19" t="s">
        <v>1203</v>
      </c>
      <c r="E460" s="20" t="s">
        <v>467</v>
      </c>
      <c r="F460" s="62" t="s">
        <v>468</v>
      </c>
      <c r="G460" s="63">
        <v>1709</v>
      </c>
      <c r="H460" s="121">
        <v>2648100</v>
      </c>
      <c r="I460" s="24">
        <v>2522000</v>
      </c>
      <c r="J460" s="24"/>
      <c r="K460" s="24">
        <f t="shared" si="30"/>
        <v>2522000</v>
      </c>
      <c r="L460" s="123">
        <v>1</v>
      </c>
      <c r="M460" s="24">
        <f t="shared" si="31"/>
        <v>2522000</v>
      </c>
      <c r="N460" s="124">
        <f t="shared" si="32"/>
        <v>0</v>
      </c>
      <c r="O460" s="87" t="s">
        <v>1056</v>
      </c>
      <c r="P460" s="3"/>
      <c r="Q460" s="3"/>
      <c r="R460" s="3"/>
      <c r="S460" s="3"/>
      <c r="T460" s="3"/>
      <c r="U460" s="3"/>
      <c r="V460" s="131"/>
      <c r="W460" s="15"/>
      <c r="X460" s="3"/>
      <c r="Y460" s="3"/>
      <c r="Z460" s="3"/>
      <c r="AA460" s="3"/>
      <c r="AB460" s="3"/>
      <c r="AC460" s="131"/>
      <c r="AD460" s="15"/>
      <c r="AE460" s="99"/>
      <c r="AF460" s="149"/>
      <c r="AG460" s="134"/>
      <c r="AH460" s="134"/>
      <c r="AI460" s="137"/>
      <c r="AJ460" s="150"/>
      <c r="AK460" s="137"/>
      <c r="AL460" s="137"/>
      <c r="AM460" s="3"/>
      <c r="AN460" s="138"/>
      <c r="AO460" s="2"/>
      <c r="AP460" s="139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131"/>
      <c r="BB460" s="15"/>
      <c r="BC460" s="99"/>
      <c r="BD460" s="149"/>
      <c r="BE460" s="134"/>
      <c r="BF460" s="134"/>
      <c r="BG460" s="137"/>
      <c r="BH460" s="150"/>
      <c r="BI460" s="137"/>
      <c r="BJ460" s="137"/>
      <c r="BK460" s="3"/>
      <c r="BL460" s="138"/>
      <c r="BM460" s="2"/>
      <c r="BN460" s="139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131"/>
      <c r="BZ460" s="15"/>
      <c r="CA460" s="99"/>
      <c r="CB460" s="149"/>
      <c r="CC460" s="134"/>
      <c r="CD460" s="134"/>
      <c r="CE460" s="137"/>
      <c r="CF460" s="150"/>
      <c r="CG460" s="137"/>
      <c r="CH460" s="137"/>
      <c r="CI460" s="3"/>
      <c r="CJ460" s="138"/>
      <c r="CK460" s="2"/>
      <c r="CL460" s="139"/>
      <c r="CM460" s="3"/>
      <c r="CN460" s="3"/>
      <c r="CO460" s="3"/>
      <c r="CP460" s="3"/>
      <c r="CQ460" s="3"/>
      <c r="CR460" s="3"/>
      <c r="CS460" s="3"/>
      <c r="CT460" s="3"/>
      <c r="CU460" s="3"/>
      <c r="CV460" s="3"/>
      <c r="CW460" s="131"/>
      <c r="CX460" s="15"/>
      <c r="CY460" s="99"/>
      <c r="CZ460" s="149"/>
      <c r="DA460" s="134"/>
      <c r="DB460" s="134"/>
      <c r="DC460" s="137"/>
      <c r="DD460" s="150"/>
      <c r="DE460" s="137"/>
      <c r="DF460" s="137"/>
      <c r="DG460" s="3"/>
      <c r="DH460" s="138"/>
      <c r="DI460" s="2"/>
      <c r="DJ460" s="139"/>
      <c r="DK460" s="3"/>
      <c r="DL460" s="3"/>
      <c r="DM460" s="3"/>
      <c r="DN460" s="3"/>
      <c r="DO460" s="3"/>
      <c r="DP460" s="3"/>
      <c r="DQ460" s="3"/>
      <c r="DR460" s="3"/>
      <c r="DS460" s="3"/>
      <c r="DT460" s="3"/>
      <c r="DU460" s="131"/>
      <c r="DV460" s="15"/>
      <c r="DW460" s="99"/>
      <c r="DX460" s="149"/>
      <c r="DY460" s="134"/>
      <c r="DZ460" s="134"/>
      <c r="EA460" s="137"/>
      <c r="EB460" s="150"/>
      <c r="EC460" s="137"/>
      <c r="ED460" s="137"/>
      <c r="EE460" s="3"/>
      <c r="EF460" s="138"/>
      <c r="EG460" s="2"/>
      <c r="EH460" s="139"/>
      <c r="EI460" s="3"/>
      <c r="EJ460" s="3"/>
      <c r="EK460" s="3"/>
      <c r="EL460" s="3"/>
      <c r="EM460" s="3"/>
      <c r="EN460" s="3"/>
      <c r="EO460" s="3"/>
      <c r="EP460" s="3"/>
      <c r="EQ460" s="3"/>
      <c r="ER460" s="3"/>
      <c r="ES460" s="131"/>
      <c r="ET460" s="15"/>
      <c r="EU460" s="99"/>
      <c r="EV460" s="149"/>
      <c r="EW460" s="134"/>
      <c r="EX460" s="134"/>
      <c r="EY460" s="137"/>
      <c r="EZ460" s="150"/>
      <c r="FA460" s="137"/>
      <c r="FB460" s="137"/>
      <c r="FC460" s="3"/>
      <c r="FD460" s="138"/>
      <c r="FE460" s="2"/>
      <c r="FF460" s="139"/>
      <c r="FG460" s="3"/>
      <c r="FH460" s="3"/>
      <c r="FI460" s="3"/>
      <c r="FJ460" s="3"/>
      <c r="FK460" s="3"/>
      <c r="FL460" s="3"/>
      <c r="FM460" s="3"/>
      <c r="FN460" s="3"/>
      <c r="FO460" s="3"/>
      <c r="FP460" s="3"/>
      <c r="FQ460" s="131"/>
      <c r="FR460" s="15"/>
      <c r="FS460" s="99"/>
      <c r="FT460" s="149"/>
      <c r="FU460" s="134"/>
      <c r="FV460" s="134"/>
      <c r="FW460" s="137"/>
      <c r="FX460" s="150"/>
      <c r="FY460" s="137"/>
      <c r="FZ460" s="137"/>
      <c r="GA460" s="3"/>
      <c r="GB460" s="138"/>
      <c r="GC460" s="2"/>
      <c r="GD460" s="139"/>
      <c r="GE460" s="3"/>
      <c r="GF460" s="3"/>
    </row>
    <row r="461" spans="1:188" s="125" customFormat="1" ht="13.5" customHeight="1">
      <c r="A461" s="76">
        <v>1</v>
      </c>
      <c r="B461" s="128"/>
      <c r="C461" s="18"/>
      <c r="D461" s="19" t="s">
        <v>1214</v>
      </c>
      <c r="E461" s="20"/>
      <c r="F461" s="62" t="s">
        <v>1329</v>
      </c>
      <c r="G461" s="63"/>
      <c r="H461" s="121"/>
      <c r="I461" s="24"/>
      <c r="J461" s="24">
        <v>9524</v>
      </c>
      <c r="K461" s="24">
        <f t="shared" si="30"/>
        <v>9524</v>
      </c>
      <c r="L461" s="123"/>
      <c r="M461" s="24">
        <v>9524</v>
      </c>
      <c r="N461" s="124">
        <f t="shared" si="32"/>
        <v>0</v>
      </c>
      <c r="O461" s="28" t="s">
        <v>1057</v>
      </c>
      <c r="P461" s="3"/>
      <c r="Q461" s="3"/>
      <c r="R461" s="3"/>
      <c r="S461" s="3"/>
      <c r="T461" s="3"/>
      <c r="U461" s="3"/>
      <c r="V461" s="131"/>
      <c r="W461" s="15"/>
      <c r="X461" s="3"/>
      <c r="Y461" s="3"/>
      <c r="Z461" s="3"/>
      <c r="AA461" s="3"/>
      <c r="AB461" s="3"/>
      <c r="AC461" s="131"/>
      <c r="AD461" s="15"/>
      <c r="AE461" s="99"/>
      <c r="AF461" s="149"/>
      <c r="AG461" s="134"/>
      <c r="AH461" s="134"/>
      <c r="AI461" s="137"/>
      <c r="AJ461" s="150"/>
      <c r="AK461" s="137"/>
      <c r="AL461" s="137"/>
      <c r="AM461" s="3"/>
      <c r="AN461" s="138"/>
      <c r="AO461" s="2"/>
      <c r="AP461" s="139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131"/>
      <c r="BB461" s="15"/>
      <c r="BC461" s="99"/>
      <c r="BD461" s="149"/>
      <c r="BE461" s="134"/>
      <c r="BF461" s="134"/>
      <c r="BG461" s="137"/>
      <c r="BH461" s="150"/>
      <c r="BI461" s="137"/>
      <c r="BJ461" s="137"/>
      <c r="BK461" s="3"/>
      <c r="BL461" s="138"/>
      <c r="BM461" s="2"/>
      <c r="BN461" s="139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131"/>
      <c r="BZ461" s="15"/>
      <c r="CA461" s="99"/>
      <c r="CB461" s="149"/>
      <c r="CC461" s="134"/>
      <c r="CD461" s="134"/>
      <c r="CE461" s="137"/>
      <c r="CF461" s="150"/>
      <c r="CG461" s="137"/>
      <c r="CH461" s="137"/>
      <c r="CI461" s="3"/>
      <c r="CJ461" s="138"/>
      <c r="CK461" s="2"/>
      <c r="CL461" s="139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131"/>
      <c r="CX461" s="15"/>
      <c r="CY461" s="99"/>
      <c r="CZ461" s="149"/>
      <c r="DA461" s="134"/>
      <c r="DB461" s="134"/>
      <c r="DC461" s="137"/>
      <c r="DD461" s="150"/>
      <c r="DE461" s="137"/>
      <c r="DF461" s="137"/>
      <c r="DG461" s="3"/>
      <c r="DH461" s="138"/>
      <c r="DI461" s="2"/>
      <c r="DJ461" s="139"/>
      <c r="DK461" s="3"/>
      <c r="DL461" s="3"/>
      <c r="DM461" s="3"/>
      <c r="DN461" s="3"/>
      <c r="DO461" s="3"/>
      <c r="DP461" s="3"/>
      <c r="DQ461" s="3"/>
      <c r="DR461" s="3"/>
      <c r="DS461" s="3"/>
      <c r="DT461" s="3"/>
      <c r="DU461" s="131"/>
      <c r="DV461" s="15"/>
      <c r="DW461" s="99"/>
      <c r="DX461" s="149"/>
      <c r="DY461" s="134"/>
      <c r="DZ461" s="134"/>
      <c r="EA461" s="137"/>
      <c r="EB461" s="150"/>
      <c r="EC461" s="137"/>
      <c r="ED461" s="137"/>
      <c r="EE461" s="3"/>
      <c r="EF461" s="138"/>
      <c r="EG461" s="2"/>
      <c r="EH461" s="139"/>
      <c r="EI461" s="3"/>
      <c r="EJ461" s="3"/>
      <c r="EK461" s="3"/>
      <c r="EL461" s="3"/>
      <c r="EM461" s="3"/>
      <c r="EN461" s="3"/>
      <c r="EO461" s="3"/>
      <c r="EP461" s="3"/>
      <c r="EQ461" s="3"/>
      <c r="ER461" s="3"/>
      <c r="ES461" s="131"/>
      <c r="ET461" s="15"/>
      <c r="EU461" s="99"/>
      <c r="EV461" s="149"/>
      <c r="EW461" s="134"/>
      <c r="EX461" s="134"/>
      <c r="EY461" s="137"/>
      <c r="EZ461" s="150"/>
      <c r="FA461" s="137"/>
      <c r="FB461" s="137"/>
      <c r="FC461" s="3"/>
      <c r="FD461" s="138"/>
      <c r="FE461" s="2"/>
      <c r="FF461" s="139"/>
      <c r="FG461" s="3"/>
      <c r="FH461" s="3"/>
      <c r="FI461" s="3"/>
      <c r="FJ461" s="3"/>
      <c r="FK461" s="3"/>
      <c r="FL461" s="3"/>
      <c r="FM461" s="3"/>
      <c r="FN461" s="3"/>
      <c r="FO461" s="3"/>
      <c r="FP461" s="3"/>
      <c r="FQ461" s="131"/>
      <c r="FR461" s="15"/>
      <c r="FS461" s="99"/>
      <c r="FT461" s="149"/>
      <c r="FU461" s="134"/>
      <c r="FV461" s="134"/>
      <c r="FW461" s="137"/>
      <c r="FX461" s="150"/>
      <c r="FY461" s="137"/>
      <c r="FZ461" s="137"/>
      <c r="GA461" s="3"/>
      <c r="GB461" s="138"/>
      <c r="GC461" s="2"/>
      <c r="GD461" s="139"/>
      <c r="GE461" s="3"/>
      <c r="GF461" s="3"/>
    </row>
    <row r="462" spans="1:188" s="125" customFormat="1" ht="13.5" customHeight="1">
      <c r="A462" s="76">
        <v>2</v>
      </c>
      <c r="B462" s="17"/>
      <c r="C462" s="18"/>
      <c r="D462" s="198" t="s">
        <v>1206</v>
      </c>
      <c r="E462" s="20"/>
      <c r="F462" s="61" t="s">
        <v>1330</v>
      </c>
      <c r="G462" s="63"/>
      <c r="H462" s="121"/>
      <c r="I462" s="24"/>
      <c r="J462" s="24"/>
      <c r="K462" s="24">
        <f t="shared" si="30"/>
        <v>0</v>
      </c>
      <c r="L462" s="123"/>
      <c r="M462" s="24">
        <f>K462*L462</f>
        <v>0</v>
      </c>
      <c r="N462" s="124">
        <f t="shared" si="32"/>
        <v>0</v>
      </c>
      <c r="O462" s="28" t="s">
        <v>1057</v>
      </c>
      <c r="P462" s="3"/>
      <c r="Q462" s="3"/>
      <c r="R462" s="3"/>
      <c r="S462" s="3"/>
      <c r="T462" s="3"/>
      <c r="U462" s="3"/>
      <c r="V462" s="131"/>
      <c r="W462" s="15"/>
      <c r="X462" s="3"/>
      <c r="Y462" s="3"/>
      <c r="Z462" s="3"/>
      <c r="AA462" s="3"/>
      <c r="AB462" s="3"/>
      <c r="AC462" s="131"/>
      <c r="AD462" s="15"/>
      <c r="AE462" s="99"/>
      <c r="AF462" s="149"/>
      <c r="AG462" s="134"/>
      <c r="AH462" s="134"/>
      <c r="AI462" s="137"/>
      <c r="AJ462" s="150"/>
      <c r="AK462" s="137"/>
      <c r="AL462" s="137"/>
      <c r="AM462" s="3"/>
      <c r="AN462" s="138"/>
      <c r="AO462" s="2"/>
      <c r="AP462" s="139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131"/>
      <c r="BB462" s="15"/>
      <c r="BC462" s="99"/>
      <c r="BD462" s="149"/>
      <c r="BE462" s="134"/>
      <c r="BF462" s="134"/>
      <c r="BG462" s="137"/>
      <c r="BH462" s="150"/>
      <c r="BI462" s="137"/>
      <c r="BJ462" s="137"/>
      <c r="BK462" s="3"/>
      <c r="BL462" s="138"/>
      <c r="BM462" s="2"/>
      <c r="BN462" s="139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131"/>
      <c r="BZ462" s="15"/>
      <c r="CA462" s="99"/>
      <c r="CB462" s="149"/>
      <c r="CC462" s="134"/>
      <c r="CD462" s="134"/>
      <c r="CE462" s="137"/>
      <c r="CF462" s="150"/>
      <c r="CG462" s="137"/>
      <c r="CH462" s="137"/>
      <c r="CI462" s="3"/>
      <c r="CJ462" s="138"/>
      <c r="CK462" s="2"/>
      <c r="CL462" s="139"/>
      <c r="CM462" s="3"/>
      <c r="CN462" s="3"/>
      <c r="CO462" s="3"/>
      <c r="CP462" s="3"/>
      <c r="CQ462" s="3"/>
      <c r="CR462" s="3"/>
      <c r="CS462" s="3"/>
      <c r="CT462" s="3"/>
      <c r="CU462" s="3"/>
      <c r="CV462" s="3"/>
      <c r="CW462" s="131"/>
      <c r="CX462" s="15"/>
      <c r="CY462" s="99"/>
      <c r="CZ462" s="149"/>
      <c r="DA462" s="134"/>
      <c r="DB462" s="134"/>
      <c r="DC462" s="137"/>
      <c r="DD462" s="150"/>
      <c r="DE462" s="137"/>
      <c r="DF462" s="137"/>
      <c r="DG462" s="3"/>
      <c r="DH462" s="138"/>
      <c r="DI462" s="2"/>
      <c r="DJ462" s="139"/>
      <c r="DK462" s="3"/>
      <c r="DL462" s="3"/>
      <c r="DM462" s="3"/>
      <c r="DN462" s="3"/>
      <c r="DO462" s="3"/>
      <c r="DP462" s="3"/>
      <c r="DQ462" s="3"/>
      <c r="DR462" s="3"/>
      <c r="DS462" s="3"/>
      <c r="DT462" s="3"/>
      <c r="DU462" s="131"/>
      <c r="DV462" s="15"/>
      <c r="DW462" s="99"/>
      <c r="DX462" s="149"/>
      <c r="DY462" s="134"/>
      <c r="DZ462" s="134"/>
      <c r="EA462" s="137"/>
      <c r="EB462" s="150"/>
      <c r="EC462" s="137"/>
      <c r="ED462" s="137"/>
      <c r="EE462" s="3"/>
      <c r="EF462" s="138"/>
      <c r="EG462" s="2"/>
      <c r="EH462" s="139"/>
      <c r="EI462" s="3"/>
      <c r="EJ462" s="3"/>
      <c r="EK462" s="3"/>
      <c r="EL462" s="3"/>
      <c r="EM462" s="3"/>
      <c r="EN462" s="3"/>
      <c r="EO462" s="3"/>
      <c r="EP462" s="3"/>
      <c r="EQ462" s="3"/>
      <c r="ER462" s="3"/>
      <c r="ES462" s="131"/>
      <c r="ET462" s="15"/>
      <c r="EU462" s="99"/>
      <c r="EV462" s="149"/>
      <c r="EW462" s="134"/>
      <c r="EX462" s="134"/>
      <c r="EY462" s="137"/>
      <c r="EZ462" s="150"/>
      <c r="FA462" s="137"/>
      <c r="FB462" s="137"/>
      <c r="FC462" s="3"/>
      <c r="FD462" s="138"/>
      <c r="FE462" s="2"/>
      <c r="FF462" s="139"/>
      <c r="FG462" s="3"/>
      <c r="FH462" s="3"/>
      <c r="FI462" s="3"/>
      <c r="FJ462" s="3"/>
      <c r="FK462" s="3"/>
      <c r="FL462" s="3"/>
      <c r="FM462" s="3"/>
      <c r="FN462" s="3"/>
      <c r="FO462" s="3"/>
      <c r="FP462" s="3"/>
      <c r="FQ462" s="131"/>
      <c r="FR462" s="15"/>
      <c r="FS462" s="99"/>
      <c r="FT462" s="149"/>
      <c r="FU462" s="134"/>
      <c r="FV462" s="134"/>
      <c r="FW462" s="137"/>
      <c r="FX462" s="150"/>
      <c r="FY462" s="137"/>
      <c r="FZ462" s="137"/>
      <c r="GA462" s="3"/>
      <c r="GB462" s="138"/>
      <c r="GC462" s="2"/>
      <c r="GD462" s="139"/>
      <c r="GE462" s="3"/>
      <c r="GF462" s="3"/>
    </row>
    <row r="463" spans="1:188" s="125" customFormat="1" ht="13.5" customHeight="1">
      <c r="A463" s="76">
        <v>3</v>
      </c>
      <c r="B463" s="17"/>
      <c r="C463" s="18"/>
      <c r="D463" s="19" t="s">
        <v>1205</v>
      </c>
      <c r="E463" s="20"/>
      <c r="F463" s="82" t="s">
        <v>1331</v>
      </c>
      <c r="G463" s="58"/>
      <c r="H463" s="121"/>
      <c r="I463" s="24"/>
      <c r="J463" s="24"/>
      <c r="K463" s="24">
        <f t="shared" si="30"/>
        <v>0</v>
      </c>
      <c r="L463" s="123"/>
      <c r="M463" s="24">
        <f>K463*L463</f>
        <v>0</v>
      </c>
      <c r="N463" s="124">
        <f t="shared" si="32"/>
        <v>0</v>
      </c>
      <c r="O463" s="28" t="s">
        <v>1057</v>
      </c>
      <c r="P463" s="3"/>
      <c r="Q463" s="3"/>
      <c r="R463" s="3"/>
      <c r="S463" s="3"/>
      <c r="T463" s="3"/>
      <c r="U463" s="3"/>
      <c r="V463" s="131"/>
      <c r="W463" s="15"/>
      <c r="X463" s="3"/>
      <c r="Y463" s="3"/>
      <c r="Z463" s="3"/>
      <c r="AA463" s="3"/>
      <c r="AB463" s="3"/>
      <c r="AC463" s="131"/>
      <c r="AD463" s="15"/>
      <c r="AE463" s="99"/>
      <c r="AF463" s="149"/>
      <c r="AG463" s="134"/>
      <c r="AH463" s="134"/>
      <c r="AI463" s="137"/>
      <c r="AJ463" s="150"/>
      <c r="AK463" s="137"/>
      <c r="AL463" s="137"/>
      <c r="AM463" s="3"/>
      <c r="AN463" s="138"/>
      <c r="AO463" s="2"/>
      <c r="AP463" s="139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131"/>
      <c r="BB463" s="15"/>
      <c r="BC463" s="99"/>
      <c r="BD463" s="149"/>
      <c r="BE463" s="134"/>
      <c r="BF463" s="134"/>
      <c r="BG463" s="137"/>
      <c r="BH463" s="150"/>
      <c r="BI463" s="137"/>
      <c r="BJ463" s="137"/>
      <c r="BK463" s="3"/>
      <c r="BL463" s="138"/>
      <c r="BM463" s="2"/>
      <c r="BN463" s="139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131"/>
      <c r="BZ463" s="15"/>
      <c r="CA463" s="99"/>
      <c r="CB463" s="149"/>
      <c r="CC463" s="134"/>
      <c r="CD463" s="134"/>
      <c r="CE463" s="137"/>
      <c r="CF463" s="150"/>
      <c r="CG463" s="137"/>
      <c r="CH463" s="137"/>
      <c r="CI463" s="3"/>
      <c r="CJ463" s="138"/>
      <c r="CK463" s="2"/>
      <c r="CL463" s="139"/>
      <c r="CM463" s="3"/>
      <c r="CN463" s="3"/>
      <c r="CO463" s="3"/>
      <c r="CP463" s="3"/>
      <c r="CQ463" s="3"/>
      <c r="CR463" s="3"/>
      <c r="CS463" s="3"/>
      <c r="CT463" s="3"/>
      <c r="CU463" s="3"/>
      <c r="CV463" s="3"/>
      <c r="CW463" s="131"/>
      <c r="CX463" s="15"/>
      <c r="CY463" s="99"/>
      <c r="CZ463" s="149"/>
      <c r="DA463" s="134"/>
      <c r="DB463" s="134"/>
      <c r="DC463" s="137"/>
      <c r="DD463" s="150"/>
      <c r="DE463" s="137"/>
      <c r="DF463" s="137"/>
      <c r="DG463" s="3"/>
      <c r="DH463" s="138"/>
      <c r="DI463" s="2"/>
      <c r="DJ463" s="139"/>
      <c r="DK463" s="3"/>
      <c r="DL463" s="3"/>
      <c r="DM463" s="3"/>
      <c r="DN463" s="3"/>
      <c r="DO463" s="3"/>
      <c r="DP463" s="3"/>
      <c r="DQ463" s="3"/>
      <c r="DR463" s="3"/>
      <c r="DS463" s="3"/>
      <c r="DT463" s="3"/>
      <c r="DU463" s="131"/>
      <c r="DV463" s="15"/>
      <c r="DW463" s="99"/>
      <c r="DX463" s="149"/>
      <c r="DY463" s="134"/>
      <c r="DZ463" s="134"/>
      <c r="EA463" s="137"/>
      <c r="EB463" s="150"/>
      <c r="EC463" s="137"/>
      <c r="ED463" s="137"/>
      <c r="EE463" s="3"/>
      <c r="EF463" s="138"/>
      <c r="EG463" s="2"/>
      <c r="EH463" s="139"/>
      <c r="EI463" s="3"/>
      <c r="EJ463" s="3"/>
      <c r="EK463" s="3"/>
      <c r="EL463" s="3"/>
      <c r="EM463" s="3"/>
      <c r="EN463" s="3"/>
      <c r="EO463" s="3"/>
      <c r="EP463" s="3"/>
      <c r="EQ463" s="3"/>
      <c r="ER463" s="3"/>
      <c r="ES463" s="131"/>
      <c r="ET463" s="15"/>
      <c r="EU463" s="99"/>
      <c r="EV463" s="149"/>
      <c r="EW463" s="134"/>
      <c r="EX463" s="134"/>
      <c r="EY463" s="137"/>
      <c r="EZ463" s="150"/>
      <c r="FA463" s="137"/>
      <c r="FB463" s="137"/>
      <c r="FC463" s="3"/>
      <c r="FD463" s="138"/>
      <c r="FE463" s="2"/>
      <c r="FF463" s="139"/>
      <c r="FG463" s="3"/>
      <c r="FH463" s="3"/>
      <c r="FI463" s="3"/>
      <c r="FJ463" s="3"/>
      <c r="FK463" s="3"/>
      <c r="FL463" s="3"/>
      <c r="FM463" s="3"/>
      <c r="FN463" s="3"/>
      <c r="FO463" s="3"/>
      <c r="FP463" s="3"/>
      <c r="FQ463" s="131"/>
      <c r="FR463" s="15"/>
      <c r="FS463" s="99"/>
      <c r="FT463" s="149"/>
      <c r="FU463" s="134"/>
      <c r="FV463" s="134"/>
      <c r="FW463" s="137"/>
      <c r="FX463" s="150"/>
      <c r="FY463" s="137"/>
      <c r="FZ463" s="137"/>
      <c r="GA463" s="3"/>
      <c r="GB463" s="138"/>
      <c r="GC463" s="2"/>
      <c r="GD463" s="139"/>
      <c r="GE463" s="3"/>
      <c r="GF463" s="3"/>
    </row>
    <row r="464" spans="1:188" s="125" customFormat="1" ht="13.5" customHeight="1">
      <c r="A464" s="76">
        <v>4</v>
      </c>
      <c r="B464" s="17"/>
      <c r="C464" s="18"/>
      <c r="D464" s="19" t="s">
        <v>1124</v>
      </c>
      <c r="E464" s="20"/>
      <c r="F464" s="62" t="s">
        <v>1332</v>
      </c>
      <c r="G464" s="63"/>
      <c r="H464" s="121"/>
      <c r="I464" s="24"/>
      <c r="J464" s="24">
        <v>22571</v>
      </c>
      <c r="K464" s="24">
        <f t="shared" si="30"/>
        <v>22571</v>
      </c>
      <c r="L464" s="123"/>
      <c r="M464" s="24">
        <v>22571</v>
      </c>
      <c r="N464" s="124">
        <f t="shared" si="32"/>
        <v>0</v>
      </c>
      <c r="O464" s="28" t="s">
        <v>1057</v>
      </c>
      <c r="P464" s="3"/>
      <c r="Q464" s="3"/>
      <c r="R464" s="3"/>
      <c r="S464" s="3"/>
      <c r="T464" s="3"/>
      <c r="U464" s="3"/>
      <c r="V464" s="131"/>
      <c r="W464" s="15"/>
      <c r="X464" s="3"/>
      <c r="Y464" s="3"/>
      <c r="Z464" s="3"/>
      <c r="AA464" s="3"/>
      <c r="AB464" s="3"/>
      <c r="AC464" s="131"/>
      <c r="AD464" s="15"/>
      <c r="AE464" s="99"/>
      <c r="AF464" s="149"/>
      <c r="AG464" s="134"/>
      <c r="AH464" s="134"/>
      <c r="AI464" s="137"/>
      <c r="AJ464" s="150"/>
      <c r="AK464" s="137"/>
      <c r="AL464" s="137"/>
      <c r="AM464" s="3"/>
      <c r="AN464" s="138"/>
      <c r="AO464" s="2"/>
      <c r="AP464" s="139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131"/>
      <c r="BB464" s="15"/>
      <c r="BC464" s="99"/>
      <c r="BD464" s="149"/>
      <c r="BE464" s="134"/>
      <c r="BF464" s="134"/>
      <c r="BG464" s="137"/>
      <c r="BH464" s="150"/>
      <c r="BI464" s="137"/>
      <c r="BJ464" s="137"/>
      <c r="BK464" s="3"/>
      <c r="BL464" s="138"/>
      <c r="BM464" s="2"/>
      <c r="BN464" s="139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131"/>
      <c r="BZ464" s="15"/>
      <c r="CA464" s="99"/>
      <c r="CB464" s="149"/>
      <c r="CC464" s="134"/>
      <c r="CD464" s="134"/>
      <c r="CE464" s="137"/>
      <c r="CF464" s="150"/>
      <c r="CG464" s="137"/>
      <c r="CH464" s="137"/>
      <c r="CI464" s="3"/>
      <c r="CJ464" s="138"/>
      <c r="CK464" s="2"/>
      <c r="CL464" s="139"/>
      <c r="CM464" s="3"/>
      <c r="CN464" s="3"/>
      <c r="CO464" s="3"/>
      <c r="CP464" s="3"/>
      <c r="CQ464" s="3"/>
      <c r="CR464" s="3"/>
      <c r="CS464" s="3"/>
      <c r="CT464" s="3"/>
      <c r="CU464" s="3"/>
      <c r="CV464" s="3"/>
      <c r="CW464" s="131"/>
      <c r="CX464" s="15"/>
      <c r="CY464" s="99"/>
      <c r="CZ464" s="149"/>
      <c r="DA464" s="134"/>
      <c r="DB464" s="134"/>
      <c r="DC464" s="137"/>
      <c r="DD464" s="150"/>
      <c r="DE464" s="137"/>
      <c r="DF464" s="137"/>
      <c r="DG464" s="3"/>
      <c r="DH464" s="138"/>
      <c r="DI464" s="2"/>
      <c r="DJ464" s="139"/>
      <c r="DK464" s="3"/>
      <c r="DL464" s="3"/>
      <c r="DM464" s="3"/>
      <c r="DN464" s="3"/>
      <c r="DO464" s="3"/>
      <c r="DP464" s="3"/>
      <c r="DQ464" s="3"/>
      <c r="DR464" s="3"/>
      <c r="DS464" s="3"/>
      <c r="DT464" s="3"/>
      <c r="DU464" s="131"/>
      <c r="DV464" s="15"/>
      <c r="DW464" s="99"/>
      <c r="DX464" s="149"/>
      <c r="DY464" s="134"/>
      <c r="DZ464" s="134"/>
      <c r="EA464" s="137"/>
      <c r="EB464" s="150"/>
      <c r="EC464" s="137"/>
      <c r="ED464" s="137"/>
      <c r="EE464" s="3"/>
      <c r="EF464" s="138"/>
      <c r="EG464" s="2"/>
      <c r="EH464" s="139"/>
      <c r="EI464" s="3"/>
      <c r="EJ464" s="3"/>
      <c r="EK464" s="3"/>
      <c r="EL464" s="3"/>
      <c r="EM464" s="3"/>
      <c r="EN464" s="3"/>
      <c r="EO464" s="3"/>
      <c r="EP464" s="3"/>
      <c r="EQ464" s="3"/>
      <c r="ER464" s="3"/>
      <c r="ES464" s="131"/>
      <c r="ET464" s="15"/>
      <c r="EU464" s="99"/>
      <c r="EV464" s="149"/>
      <c r="EW464" s="134"/>
      <c r="EX464" s="134"/>
      <c r="EY464" s="137"/>
      <c r="EZ464" s="150"/>
      <c r="FA464" s="137"/>
      <c r="FB464" s="137"/>
      <c r="FC464" s="3"/>
      <c r="FD464" s="138"/>
      <c r="FE464" s="2"/>
      <c r="FF464" s="139"/>
      <c r="FG464" s="3"/>
      <c r="FH464" s="3"/>
      <c r="FI464" s="3"/>
      <c r="FJ464" s="3"/>
      <c r="FK464" s="3"/>
      <c r="FL464" s="3"/>
      <c r="FM464" s="3"/>
      <c r="FN464" s="3"/>
      <c r="FO464" s="3"/>
      <c r="FP464" s="3"/>
      <c r="FQ464" s="131"/>
      <c r="FR464" s="15"/>
      <c r="FS464" s="99"/>
      <c r="FT464" s="149"/>
      <c r="FU464" s="134"/>
      <c r="FV464" s="134"/>
      <c r="FW464" s="137"/>
      <c r="FX464" s="150"/>
      <c r="FY464" s="137"/>
      <c r="FZ464" s="137"/>
      <c r="GA464" s="3"/>
      <c r="GB464" s="138"/>
      <c r="GC464" s="2"/>
      <c r="GD464" s="139"/>
      <c r="GE464" s="3"/>
      <c r="GF464" s="3"/>
    </row>
    <row r="465" spans="1:188" s="125" customFormat="1" ht="13.5" customHeight="1">
      <c r="A465" s="76">
        <v>5</v>
      </c>
      <c r="B465" s="29"/>
      <c r="C465" s="18"/>
      <c r="D465" s="19" t="s">
        <v>1124</v>
      </c>
      <c r="E465" s="20"/>
      <c r="F465" s="82" t="s">
        <v>1333</v>
      </c>
      <c r="G465" s="63"/>
      <c r="H465" s="121"/>
      <c r="I465" s="24"/>
      <c r="J465" s="24"/>
      <c r="K465" s="24">
        <f t="shared" si="30"/>
        <v>0</v>
      </c>
      <c r="L465" s="123"/>
      <c r="M465" s="24">
        <f>K465*L465</f>
        <v>0</v>
      </c>
      <c r="N465" s="129">
        <f t="shared" si="32"/>
        <v>0</v>
      </c>
      <c r="O465" s="28" t="s">
        <v>1057</v>
      </c>
      <c r="P465" s="3"/>
      <c r="Q465" s="3"/>
      <c r="R465" s="3"/>
      <c r="S465" s="3"/>
      <c r="T465" s="3"/>
      <c r="U465" s="3"/>
      <c r="V465" s="131"/>
      <c r="W465" s="15"/>
      <c r="X465" s="3"/>
      <c r="Y465" s="3"/>
      <c r="Z465" s="3"/>
      <c r="AA465" s="3"/>
      <c r="AB465" s="3"/>
      <c r="AC465" s="131"/>
      <c r="AD465" s="15"/>
      <c r="AE465" s="99"/>
      <c r="AF465" s="149"/>
      <c r="AG465" s="134"/>
      <c r="AH465" s="134"/>
      <c r="AI465" s="137"/>
      <c r="AJ465" s="150"/>
      <c r="AK465" s="137"/>
      <c r="AL465" s="137"/>
      <c r="AM465" s="3"/>
      <c r="AN465" s="138"/>
      <c r="AO465" s="2"/>
      <c r="AP465" s="139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131"/>
      <c r="BB465" s="15"/>
      <c r="BC465" s="99"/>
      <c r="BD465" s="149"/>
      <c r="BE465" s="134"/>
      <c r="BF465" s="134"/>
      <c r="BG465" s="137"/>
      <c r="BH465" s="150"/>
      <c r="BI465" s="137"/>
      <c r="BJ465" s="137"/>
      <c r="BK465" s="3"/>
      <c r="BL465" s="138"/>
      <c r="BM465" s="2"/>
      <c r="BN465" s="139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131"/>
      <c r="BZ465" s="15"/>
      <c r="CA465" s="99"/>
      <c r="CB465" s="149"/>
      <c r="CC465" s="134"/>
      <c r="CD465" s="134"/>
      <c r="CE465" s="137"/>
      <c r="CF465" s="150"/>
      <c r="CG465" s="137"/>
      <c r="CH465" s="137"/>
      <c r="CI465" s="3"/>
      <c r="CJ465" s="138"/>
      <c r="CK465" s="2"/>
      <c r="CL465" s="139"/>
      <c r="CM465" s="3"/>
      <c r="CN465" s="3"/>
      <c r="CO465" s="3"/>
      <c r="CP465" s="3"/>
      <c r="CQ465" s="3"/>
      <c r="CR465" s="3"/>
      <c r="CS465" s="3"/>
      <c r="CT465" s="3"/>
      <c r="CU465" s="3"/>
      <c r="CV465" s="3"/>
      <c r="CW465" s="131"/>
      <c r="CX465" s="15"/>
      <c r="CY465" s="99"/>
      <c r="CZ465" s="149"/>
      <c r="DA465" s="134"/>
      <c r="DB465" s="134"/>
      <c r="DC465" s="137"/>
      <c r="DD465" s="150"/>
      <c r="DE465" s="137"/>
      <c r="DF465" s="137"/>
      <c r="DG465" s="3"/>
      <c r="DH465" s="138"/>
      <c r="DI465" s="2"/>
      <c r="DJ465" s="139"/>
      <c r="DK465" s="3"/>
      <c r="DL465" s="3"/>
      <c r="DM465" s="3"/>
      <c r="DN465" s="3"/>
      <c r="DO465" s="3"/>
      <c r="DP465" s="3"/>
      <c r="DQ465" s="3"/>
      <c r="DR465" s="3"/>
      <c r="DS465" s="3"/>
      <c r="DT465" s="3"/>
      <c r="DU465" s="131"/>
      <c r="DV465" s="15"/>
      <c r="DW465" s="99"/>
      <c r="DX465" s="149"/>
      <c r="DY465" s="134"/>
      <c r="DZ465" s="134"/>
      <c r="EA465" s="137"/>
      <c r="EB465" s="150"/>
      <c r="EC465" s="137"/>
      <c r="ED465" s="137"/>
      <c r="EE465" s="3"/>
      <c r="EF465" s="138"/>
      <c r="EG465" s="2"/>
      <c r="EH465" s="139"/>
      <c r="EI465" s="3"/>
      <c r="EJ465" s="3"/>
      <c r="EK465" s="3"/>
      <c r="EL465" s="3"/>
      <c r="EM465" s="3"/>
      <c r="EN465" s="3"/>
      <c r="EO465" s="3"/>
      <c r="EP465" s="3"/>
      <c r="EQ465" s="3"/>
      <c r="ER465" s="3"/>
      <c r="ES465" s="131"/>
      <c r="ET465" s="15"/>
      <c r="EU465" s="99"/>
      <c r="EV465" s="149"/>
      <c r="EW465" s="134"/>
      <c r="EX465" s="134"/>
      <c r="EY465" s="137"/>
      <c r="EZ465" s="150"/>
      <c r="FA465" s="137"/>
      <c r="FB465" s="137"/>
      <c r="FC465" s="3"/>
      <c r="FD465" s="138"/>
      <c r="FE465" s="2"/>
      <c r="FF465" s="139"/>
      <c r="FG465" s="3"/>
      <c r="FH465" s="3"/>
      <c r="FI465" s="3"/>
      <c r="FJ465" s="3"/>
      <c r="FK465" s="3"/>
      <c r="FL465" s="3"/>
      <c r="FM465" s="3"/>
      <c r="FN465" s="3"/>
      <c r="FO465" s="3"/>
      <c r="FP465" s="3"/>
      <c r="FQ465" s="131"/>
      <c r="FR465" s="15"/>
      <c r="FS465" s="99"/>
      <c r="FT465" s="149"/>
      <c r="FU465" s="134"/>
      <c r="FV465" s="134"/>
      <c r="FW465" s="137"/>
      <c r="FX465" s="150"/>
      <c r="FY465" s="137"/>
      <c r="FZ465" s="137"/>
      <c r="GA465" s="3"/>
      <c r="GB465" s="138"/>
      <c r="GC465" s="2"/>
      <c r="GD465" s="139"/>
      <c r="GE465" s="3"/>
      <c r="GF465" s="3"/>
    </row>
    <row r="466" spans="1:188" s="125" customFormat="1" ht="13.5" customHeight="1">
      <c r="A466" s="76">
        <v>6</v>
      </c>
      <c r="B466" s="29"/>
      <c r="C466" s="18"/>
      <c r="D466" s="19" t="s">
        <v>1124</v>
      </c>
      <c r="E466" s="20"/>
      <c r="F466" s="82" t="s">
        <v>1334</v>
      </c>
      <c r="G466" s="63"/>
      <c r="H466" s="121"/>
      <c r="I466" s="24"/>
      <c r="J466" s="24"/>
      <c r="K466" s="199">
        <f t="shared" si="30"/>
        <v>0</v>
      </c>
      <c r="L466" s="123"/>
      <c r="M466" s="24">
        <f>K466*L466</f>
        <v>0</v>
      </c>
      <c r="N466" s="129">
        <f t="shared" si="32"/>
        <v>0</v>
      </c>
      <c r="O466" s="28" t="s">
        <v>1057</v>
      </c>
      <c r="P466" s="3"/>
      <c r="Q466" s="3"/>
      <c r="R466" s="3"/>
      <c r="S466" s="3"/>
      <c r="T466" s="3"/>
      <c r="U466" s="3"/>
      <c r="V466" s="131"/>
      <c r="W466" s="15"/>
      <c r="X466" s="3"/>
      <c r="Y466" s="3"/>
      <c r="Z466" s="3"/>
      <c r="AA466" s="3"/>
      <c r="AB466" s="3"/>
      <c r="AC466" s="131"/>
      <c r="AD466" s="15"/>
      <c r="AE466" s="99"/>
      <c r="AF466" s="149"/>
      <c r="AG466" s="134"/>
      <c r="AH466" s="134"/>
      <c r="AI466" s="137"/>
      <c r="AJ466" s="150"/>
      <c r="AK466" s="137"/>
      <c r="AL466" s="137"/>
      <c r="AM466" s="3"/>
      <c r="AN466" s="138"/>
      <c r="AO466" s="2"/>
      <c r="AP466" s="139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131"/>
      <c r="BB466" s="15"/>
      <c r="BC466" s="99"/>
      <c r="BD466" s="149"/>
      <c r="BE466" s="134"/>
      <c r="BF466" s="134"/>
      <c r="BG466" s="137"/>
      <c r="BH466" s="150"/>
      <c r="BI466" s="137"/>
      <c r="BJ466" s="137"/>
      <c r="BK466" s="3"/>
      <c r="BL466" s="138"/>
      <c r="BM466" s="2"/>
      <c r="BN466" s="139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131"/>
      <c r="BZ466" s="15"/>
      <c r="CA466" s="99"/>
      <c r="CB466" s="149"/>
      <c r="CC466" s="134"/>
      <c r="CD466" s="134"/>
      <c r="CE466" s="137"/>
      <c r="CF466" s="150"/>
      <c r="CG466" s="137"/>
      <c r="CH466" s="137"/>
      <c r="CI466" s="3"/>
      <c r="CJ466" s="138"/>
      <c r="CK466" s="2"/>
      <c r="CL466" s="139"/>
      <c r="CM466" s="3"/>
      <c r="CN466" s="3"/>
      <c r="CO466" s="3"/>
      <c r="CP466" s="3"/>
      <c r="CQ466" s="3"/>
      <c r="CR466" s="3"/>
      <c r="CS466" s="3"/>
      <c r="CT466" s="3"/>
      <c r="CU466" s="3"/>
      <c r="CV466" s="3"/>
      <c r="CW466" s="131"/>
      <c r="CX466" s="15"/>
      <c r="CY466" s="99"/>
      <c r="CZ466" s="149"/>
      <c r="DA466" s="134"/>
      <c r="DB466" s="134"/>
      <c r="DC466" s="137"/>
      <c r="DD466" s="150"/>
      <c r="DE466" s="137"/>
      <c r="DF466" s="137"/>
      <c r="DG466" s="3"/>
      <c r="DH466" s="138"/>
      <c r="DI466" s="2"/>
      <c r="DJ466" s="139"/>
      <c r="DK466" s="3"/>
      <c r="DL466" s="3"/>
      <c r="DM466" s="3"/>
      <c r="DN466" s="3"/>
      <c r="DO466" s="3"/>
      <c r="DP466" s="3"/>
      <c r="DQ466" s="3"/>
      <c r="DR466" s="3"/>
      <c r="DS466" s="3"/>
      <c r="DT466" s="3"/>
      <c r="DU466" s="131"/>
      <c r="DV466" s="15"/>
      <c r="DW466" s="99"/>
      <c r="DX466" s="149"/>
      <c r="DY466" s="134"/>
      <c r="DZ466" s="134"/>
      <c r="EA466" s="137"/>
      <c r="EB466" s="150"/>
      <c r="EC466" s="137"/>
      <c r="ED466" s="137"/>
      <c r="EE466" s="3"/>
      <c r="EF466" s="138"/>
      <c r="EG466" s="2"/>
      <c r="EH466" s="139"/>
      <c r="EI466" s="3"/>
      <c r="EJ466" s="3"/>
      <c r="EK466" s="3"/>
      <c r="EL466" s="3"/>
      <c r="EM466" s="3"/>
      <c r="EN466" s="3"/>
      <c r="EO466" s="3"/>
      <c r="EP466" s="3"/>
      <c r="EQ466" s="3"/>
      <c r="ER466" s="3"/>
      <c r="ES466" s="131"/>
      <c r="ET466" s="15"/>
      <c r="EU466" s="99"/>
      <c r="EV466" s="149"/>
      <c r="EW466" s="134"/>
      <c r="EX466" s="134"/>
      <c r="EY466" s="137"/>
      <c r="EZ466" s="150"/>
      <c r="FA466" s="137"/>
      <c r="FB466" s="137"/>
      <c r="FC466" s="3"/>
      <c r="FD466" s="138"/>
      <c r="FE466" s="2"/>
      <c r="FF466" s="139"/>
      <c r="FG466" s="3"/>
      <c r="FH466" s="3"/>
      <c r="FI466" s="3"/>
      <c r="FJ466" s="3"/>
      <c r="FK466" s="3"/>
      <c r="FL466" s="3"/>
      <c r="FM466" s="3"/>
      <c r="FN466" s="3"/>
      <c r="FO466" s="3"/>
      <c r="FP466" s="3"/>
      <c r="FQ466" s="131"/>
      <c r="FR466" s="15"/>
      <c r="FS466" s="99"/>
      <c r="FT466" s="149"/>
      <c r="FU466" s="134"/>
      <c r="FV466" s="134"/>
      <c r="FW466" s="137"/>
      <c r="FX466" s="150"/>
      <c r="FY466" s="137"/>
      <c r="FZ466" s="137"/>
      <c r="GA466" s="3"/>
      <c r="GB466" s="138"/>
      <c r="GC466" s="2"/>
      <c r="GD466" s="139"/>
      <c r="GE466" s="3"/>
      <c r="GF466" s="3"/>
    </row>
    <row r="467" spans="1:188" s="125" customFormat="1" ht="13.5" customHeight="1">
      <c r="A467" s="76">
        <v>7</v>
      </c>
      <c r="B467" s="17"/>
      <c r="C467" s="18"/>
      <c r="D467" s="19" t="s">
        <v>1124</v>
      </c>
      <c r="E467" s="20"/>
      <c r="F467" s="168" t="s">
        <v>1335</v>
      </c>
      <c r="G467" s="63"/>
      <c r="H467" s="121"/>
      <c r="I467" s="24"/>
      <c r="J467" s="24"/>
      <c r="K467" s="24">
        <f t="shared" si="30"/>
        <v>0</v>
      </c>
      <c r="L467" s="123"/>
      <c r="M467" s="24">
        <f>K467*L467</f>
        <v>0</v>
      </c>
      <c r="N467" s="129">
        <f t="shared" si="32"/>
        <v>0</v>
      </c>
      <c r="O467" s="28" t="s">
        <v>1057</v>
      </c>
      <c r="P467" s="3"/>
      <c r="Q467" s="3"/>
      <c r="R467" s="3"/>
      <c r="S467" s="3"/>
      <c r="T467" s="3"/>
      <c r="U467" s="3"/>
      <c r="V467" s="131"/>
      <c r="W467" s="15"/>
      <c r="X467" s="3"/>
      <c r="Y467" s="3"/>
      <c r="Z467" s="3"/>
      <c r="AA467" s="3"/>
      <c r="AB467" s="3"/>
      <c r="AC467" s="131"/>
      <c r="AD467" s="15"/>
      <c r="AE467" s="99"/>
      <c r="AF467" s="149"/>
      <c r="AG467" s="134"/>
      <c r="AH467" s="134"/>
      <c r="AI467" s="137"/>
      <c r="AJ467" s="150"/>
      <c r="AK467" s="137"/>
      <c r="AL467" s="137"/>
      <c r="AM467" s="3"/>
      <c r="AN467" s="138"/>
      <c r="AO467" s="2"/>
      <c r="AP467" s="139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131"/>
      <c r="BB467" s="15"/>
      <c r="BC467" s="99"/>
      <c r="BD467" s="149"/>
      <c r="BE467" s="134"/>
      <c r="BF467" s="134"/>
      <c r="BG467" s="137"/>
      <c r="BH467" s="150"/>
      <c r="BI467" s="137"/>
      <c r="BJ467" s="137"/>
      <c r="BK467" s="3"/>
      <c r="BL467" s="138"/>
      <c r="BM467" s="2"/>
      <c r="BN467" s="139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131"/>
      <c r="BZ467" s="15"/>
      <c r="CA467" s="99"/>
      <c r="CB467" s="149"/>
      <c r="CC467" s="134"/>
      <c r="CD467" s="134"/>
      <c r="CE467" s="137"/>
      <c r="CF467" s="150"/>
      <c r="CG467" s="137"/>
      <c r="CH467" s="137"/>
      <c r="CI467" s="3"/>
      <c r="CJ467" s="138"/>
      <c r="CK467" s="2"/>
      <c r="CL467" s="139"/>
      <c r="CM467" s="3"/>
      <c r="CN467" s="3"/>
      <c r="CO467" s="3"/>
      <c r="CP467" s="3"/>
      <c r="CQ467" s="3"/>
      <c r="CR467" s="3"/>
      <c r="CS467" s="3"/>
      <c r="CT467" s="3"/>
      <c r="CU467" s="3"/>
      <c r="CV467" s="3"/>
      <c r="CW467" s="131"/>
      <c r="CX467" s="15"/>
      <c r="CY467" s="99"/>
      <c r="CZ467" s="149"/>
      <c r="DA467" s="134"/>
      <c r="DB467" s="134"/>
      <c r="DC467" s="137"/>
      <c r="DD467" s="150"/>
      <c r="DE467" s="137"/>
      <c r="DF467" s="137"/>
      <c r="DG467" s="3"/>
      <c r="DH467" s="138"/>
      <c r="DI467" s="2"/>
      <c r="DJ467" s="139"/>
      <c r="DK467" s="3"/>
      <c r="DL467" s="3"/>
      <c r="DM467" s="3"/>
      <c r="DN467" s="3"/>
      <c r="DO467" s="3"/>
      <c r="DP467" s="3"/>
      <c r="DQ467" s="3"/>
      <c r="DR467" s="3"/>
      <c r="DS467" s="3"/>
      <c r="DT467" s="3"/>
      <c r="DU467" s="131"/>
      <c r="DV467" s="15"/>
      <c r="DW467" s="99"/>
      <c r="DX467" s="149"/>
      <c r="DY467" s="134"/>
      <c r="DZ467" s="134"/>
      <c r="EA467" s="137"/>
      <c r="EB467" s="150"/>
      <c r="EC467" s="137"/>
      <c r="ED467" s="137"/>
      <c r="EE467" s="3"/>
      <c r="EF467" s="138"/>
      <c r="EG467" s="2"/>
      <c r="EH467" s="139"/>
      <c r="EI467" s="3"/>
      <c r="EJ467" s="3"/>
      <c r="EK467" s="3"/>
      <c r="EL467" s="3"/>
      <c r="EM467" s="3"/>
      <c r="EN467" s="3"/>
      <c r="EO467" s="3"/>
      <c r="EP467" s="3"/>
      <c r="EQ467" s="3"/>
      <c r="ER467" s="3"/>
      <c r="ES467" s="131"/>
      <c r="ET467" s="15"/>
      <c r="EU467" s="99"/>
      <c r="EV467" s="149"/>
      <c r="EW467" s="134"/>
      <c r="EX467" s="134"/>
      <c r="EY467" s="137"/>
      <c r="EZ467" s="150"/>
      <c r="FA467" s="137"/>
      <c r="FB467" s="137"/>
      <c r="FC467" s="3"/>
      <c r="FD467" s="138"/>
      <c r="FE467" s="2"/>
      <c r="FF467" s="139"/>
      <c r="FG467" s="3"/>
      <c r="FH467" s="3"/>
      <c r="FI467" s="3"/>
      <c r="FJ467" s="3"/>
      <c r="FK467" s="3"/>
      <c r="FL467" s="3"/>
      <c r="FM467" s="3"/>
      <c r="FN467" s="3"/>
      <c r="FO467" s="3"/>
      <c r="FP467" s="3"/>
      <c r="FQ467" s="131"/>
      <c r="FR467" s="15"/>
      <c r="FS467" s="99"/>
      <c r="FT467" s="149"/>
      <c r="FU467" s="134"/>
      <c r="FV467" s="134"/>
      <c r="FW467" s="137"/>
      <c r="FX467" s="150"/>
      <c r="FY467" s="137"/>
      <c r="FZ467" s="137"/>
      <c r="GA467" s="3"/>
      <c r="GB467" s="138"/>
      <c r="GC467" s="2"/>
      <c r="GD467" s="139"/>
      <c r="GE467" s="3"/>
      <c r="GF467" s="3"/>
    </row>
    <row r="468" spans="1:188" s="125" customFormat="1" ht="13.5" customHeight="1">
      <c r="A468" s="76">
        <v>8</v>
      </c>
      <c r="B468" s="29"/>
      <c r="C468" s="18"/>
      <c r="D468" s="19" t="s">
        <v>1131</v>
      </c>
      <c r="E468" s="20"/>
      <c r="F468" s="82" t="s">
        <v>1336</v>
      </c>
      <c r="G468" s="58"/>
      <c r="H468" s="121"/>
      <c r="I468" s="24"/>
      <c r="J468" s="24">
        <v>42535</v>
      </c>
      <c r="K468" s="24">
        <f t="shared" si="30"/>
        <v>42535</v>
      </c>
      <c r="L468" s="123"/>
      <c r="M468" s="24">
        <v>42535</v>
      </c>
      <c r="N468" s="129">
        <f t="shared" si="32"/>
        <v>0</v>
      </c>
      <c r="O468" s="28" t="s">
        <v>1057</v>
      </c>
      <c r="P468" s="3"/>
      <c r="Q468" s="3"/>
      <c r="R468" s="3"/>
      <c r="S468" s="3"/>
      <c r="T468" s="3"/>
      <c r="U468" s="3"/>
      <c r="V468" s="131"/>
      <c r="W468" s="15"/>
      <c r="X468" s="3"/>
      <c r="Y468" s="3"/>
      <c r="Z468" s="3"/>
      <c r="AA468" s="3"/>
      <c r="AB468" s="3"/>
      <c r="AC468" s="131"/>
      <c r="AD468" s="15"/>
      <c r="AE468" s="99"/>
      <c r="AF468" s="149"/>
      <c r="AG468" s="134"/>
      <c r="AH468" s="134"/>
      <c r="AI468" s="137"/>
      <c r="AJ468" s="150"/>
      <c r="AK468" s="137"/>
      <c r="AL468" s="137"/>
      <c r="AM468" s="3"/>
      <c r="AN468" s="138"/>
      <c r="AO468" s="2"/>
      <c r="AP468" s="139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131"/>
      <c r="BB468" s="15"/>
      <c r="BC468" s="99"/>
      <c r="BD468" s="149"/>
      <c r="BE468" s="134"/>
      <c r="BF468" s="134"/>
      <c r="BG468" s="137"/>
      <c r="BH468" s="150"/>
      <c r="BI468" s="137"/>
      <c r="BJ468" s="137"/>
      <c r="BK468" s="3"/>
      <c r="BL468" s="138"/>
      <c r="BM468" s="2"/>
      <c r="BN468" s="139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131"/>
      <c r="BZ468" s="15"/>
      <c r="CA468" s="99"/>
      <c r="CB468" s="149"/>
      <c r="CC468" s="134"/>
      <c r="CD468" s="134"/>
      <c r="CE468" s="137"/>
      <c r="CF468" s="150"/>
      <c r="CG468" s="137"/>
      <c r="CH468" s="137"/>
      <c r="CI468" s="3"/>
      <c r="CJ468" s="138"/>
      <c r="CK468" s="2"/>
      <c r="CL468" s="139"/>
      <c r="CM468" s="3"/>
      <c r="CN468" s="3"/>
      <c r="CO468" s="3"/>
      <c r="CP468" s="3"/>
      <c r="CQ468" s="3"/>
      <c r="CR468" s="3"/>
      <c r="CS468" s="3"/>
      <c r="CT468" s="3"/>
      <c r="CU468" s="3"/>
      <c r="CV468" s="3"/>
      <c r="CW468" s="131"/>
      <c r="CX468" s="15"/>
      <c r="CY468" s="99"/>
      <c r="CZ468" s="149"/>
      <c r="DA468" s="134"/>
      <c r="DB468" s="134"/>
      <c r="DC468" s="137"/>
      <c r="DD468" s="150"/>
      <c r="DE468" s="137"/>
      <c r="DF468" s="137"/>
      <c r="DG468" s="3"/>
      <c r="DH468" s="138"/>
      <c r="DI468" s="2"/>
      <c r="DJ468" s="139"/>
      <c r="DK468" s="3"/>
      <c r="DL468" s="3"/>
      <c r="DM468" s="3"/>
      <c r="DN468" s="3"/>
      <c r="DO468" s="3"/>
      <c r="DP468" s="3"/>
      <c r="DQ468" s="3"/>
      <c r="DR468" s="3"/>
      <c r="DS468" s="3"/>
      <c r="DT468" s="3"/>
      <c r="DU468" s="131"/>
      <c r="DV468" s="15"/>
      <c r="DW468" s="99"/>
      <c r="DX468" s="149"/>
      <c r="DY468" s="134"/>
      <c r="DZ468" s="134"/>
      <c r="EA468" s="137"/>
      <c r="EB468" s="150"/>
      <c r="EC468" s="137"/>
      <c r="ED468" s="137"/>
      <c r="EE468" s="3"/>
      <c r="EF468" s="138"/>
      <c r="EG468" s="2"/>
      <c r="EH468" s="139"/>
      <c r="EI468" s="3"/>
      <c r="EJ468" s="3"/>
      <c r="EK468" s="3"/>
      <c r="EL468" s="3"/>
      <c r="EM468" s="3"/>
      <c r="EN468" s="3"/>
      <c r="EO468" s="3"/>
      <c r="EP468" s="3"/>
      <c r="EQ468" s="3"/>
      <c r="ER468" s="3"/>
      <c r="ES468" s="131"/>
      <c r="ET468" s="15"/>
      <c r="EU468" s="99"/>
      <c r="EV468" s="149"/>
      <c r="EW468" s="134"/>
      <c r="EX468" s="134"/>
      <c r="EY468" s="137"/>
      <c r="EZ468" s="150"/>
      <c r="FA468" s="137"/>
      <c r="FB468" s="137"/>
      <c r="FC468" s="3"/>
      <c r="FD468" s="138"/>
      <c r="FE468" s="2"/>
      <c r="FF468" s="139"/>
      <c r="FG468" s="3"/>
      <c r="FH468" s="3"/>
      <c r="FI468" s="3"/>
      <c r="FJ468" s="3"/>
      <c r="FK468" s="3"/>
      <c r="FL468" s="3"/>
      <c r="FM468" s="3"/>
      <c r="FN468" s="3"/>
      <c r="FO468" s="3"/>
      <c r="FP468" s="3"/>
      <c r="FQ468" s="131"/>
      <c r="FR468" s="15"/>
      <c r="FS468" s="99"/>
      <c r="FT468" s="149"/>
      <c r="FU468" s="134"/>
      <c r="FV468" s="134"/>
      <c r="FW468" s="137"/>
      <c r="FX468" s="150"/>
      <c r="FY468" s="137"/>
      <c r="FZ468" s="137"/>
      <c r="GA468" s="3"/>
      <c r="GB468" s="138"/>
      <c r="GC468" s="2"/>
      <c r="GD468" s="139"/>
      <c r="GE468" s="3"/>
      <c r="GF468" s="3"/>
    </row>
    <row r="469" spans="1:188" s="125" customFormat="1" ht="13.5" customHeight="1">
      <c r="A469" s="76">
        <v>9</v>
      </c>
      <c r="B469" s="17"/>
      <c r="C469" s="18"/>
      <c r="D469" s="19" t="s">
        <v>1131</v>
      </c>
      <c r="E469" s="20"/>
      <c r="F469" s="168" t="s">
        <v>1336</v>
      </c>
      <c r="G469" s="63"/>
      <c r="H469" s="121"/>
      <c r="I469" s="24"/>
      <c r="J469" s="24"/>
      <c r="K469" s="24">
        <f t="shared" si="30"/>
        <v>0</v>
      </c>
      <c r="L469" s="123"/>
      <c r="M469" s="24">
        <f t="shared" ref="M469:M474" si="33">K469*L469</f>
        <v>0</v>
      </c>
      <c r="N469" s="129">
        <f t="shared" si="32"/>
        <v>0</v>
      </c>
      <c r="O469" s="28" t="s">
        <v>1057</v>
      </c>
      <c r="P469" s="3"/>
      <c r="Q469" s="3"/>
      <c r="R469" s="3"/>
      <c r="S469" s="3"/>
      <c r="T469" s="3"/>
      <c r="U469" s="3"/>
      <c r="V469" s="131"/>
      <c r="W469" s="15"/>
      <c r="X469" s="3"/>
      <c r="Y469" s="3"/>
      <c r="Z469" s="3"/>
      <c r="AA469" s="3"/>
      <c r="AB469" s="3"/>
      <c r="AC469" s="131"/>
      <c r="AD469" s="15"/>
      <c r="AE469" s="99"/>
      <c r="AF469" s="149"/>
      <c r="AG469" s="134"/>
      <c r="AH469" s="134"/>
      <c r="AI469" s="137"/>
      <c r="AJ469" s="150"/>
      <c r="AK469" s="137"/>
      <c r="AL469" s="137"/>
      <c r="AM469" s="3"/>
      <c r="AN469" s="138"/>
      <c r="AO469" s="2"/>
      <c r="AP469" s="139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131"/>
      <c r="BB469" s="15"/>
      <c r="BC469" s="99"/>
      <c r="BD469" s="149"/>
      <c r="BE469" s="134"/>
      <c r="BF469" s="134"/>
      <c r="BG469" s="137"/>
      <c r="BH469" s="150"/>
      <c r="BI469" s="137"/>
      <c r="BJ469" s="137"/>
      <c r="BK469" s="3"/>
      <c r="BL469" s="138"/>
      <c r="BM469" s="2"/>
      <c r="BN469" s="139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131"/>
      <c r="BZ469" s="15"/>
      <c r="CA469" s="99"/>
      <c r="CB469" s="149"/>
      <c r="CC469" s="134"/>
      <c r="CD469" s="134"/>
      <c r="CE469" s="137"/>
      <c r="CF469" s="150"/>
      <c r="CG469" s="137"/>
      <c r="CH469" s="137"/>
      <c r="CI469" s="3"/>
      <c r="CJ469" s="138"/>
      <c r="CK469" s="2"/>
      <c r="CL469" s="139"/>
      <c r="CM469" s="3"/>
      <c r="CN469" s="3"/>
      <c r="CO469" s="3"/>
      <c r="CP469" s="3"/>
      <c r="CQ469" s="3"/>
      <c r="CR469" s="3"/>
      <c r="CS469" s="3"/>
      <c r="CT469" s="3"/>
      <c r="CU469" s="3"/>
      <c r="CV469" s="3"/>
      <c r="CW469" s="131"/>
      <c r="CX469" s="15"/>
      <c r="CY469" s="99"/>
      <c r="CZ469" s="149"/>
      <c r="DA469" s="134"/>
      <c r="DB469" s="134"/>
      <c r="DC469" s="137"/>
      <c r="DD469" s="150"/>
      <c r="DE469" s="137"/>
      <c r="DF469" s="137"/>
      <c r="DG469" s="3"/>
      <c r="DH469" s="138"/>
      <c r="DI469" s="2"/>
      <c r="DJ469" s="139"/>
      <c r="DK469" s="3"/>
      <c r="DL469" s="3"/>
      <c r="DM469" s="3"/>
      <c r="DN469" s="3"/>
      <c r="DO469" s="3"/>
      <c r="DP469" s="3"/>
      <c r="DQ469" s="3"/>
      <c r="DR469" s="3"/>
      <c r="DS469" s="3"/>
      <c r="DT469" s="3"/>
      <c r="DU469" s="131"/>
      <c r="DV469" s="15"/>
      <c r="DW469" s="99"/>
      <c r="DX469" s="149"/>
      <c r="DY469" s="134"/>
      <c r="DZ469" s="134"/>
      <c r="EA469" s="137"/>
      <c r="EB469" s="150"/>
      <c r="EC469" s="137"/>
      <c r="ED469" s="137"/>
      <c r="EE469" s="3"/>
      <c r="EF469" s="138"/>
      <c r="EG469" s="2"/>
      <c r="EH469" s="139"/>
      <c r="EI469" s="3"/>
      <c r="EJ469" s="3"/>
      <c r="EK469" s="3"/>
      <c r="EL469" s="3"/>
      <c r="EM469" s="3"/>
      <c r="EN469" s="3"/>
      <c r="EO469" s="3"/>
      <c r="EP469" s="3"/>
      <c r="EQ469" s="3"/>
      <c r="ER469" s="3"/>
      <c r="ES469" s="131"/>
      <c r="ET469" s="15"/>
      <c r="EU469" s="99"/>
      <c r="EV469" s="149"/>
      <c r="EW469" s="134"/>
      <c r="EX469" s="134"/>
      <c r="EY469" s="137"/>
      <c r="EZ469" s="150"/>
      <c r="FA469" s="137"/>
      <c r="FB469" s="137"/>
      <c r="FC469" s="3"/>
      <c r="FD469" s="138"/>
      <c r="FE469" s="2"/>
      <c r="FF469" s="139"/>
      <c r="FG469" s="3"/>
      <c r="FH469" s="3"/>
      <c r="FI469" s="3"/>
      <c r="FJ469" s="3"/>
      <c r="FK469" s="3"/>
      <c r="FL469" s="3"/>
      <c r="FM469" s="3"/>
      <c r="FN469" s="3"/>
      <c r="FO469" s="3"/>
      <c r="FP469" s="3"/>
      <c r="FQ469" s="131"/>
      <c r="FR469" s="15"/>
      <c r="FS469" s="99"/>
      <c r="FT469" s="149"/>
      <c r="FU469" s="134"/>
      <c r="FV469" s="134"/>
      <c r="FW469" s="137"/>
      <c r="FX469" s="150"/>
      <c r="FY469" s="137"/>
      <c r="FZ469" s="137"/>
      <c r="GA469" s="3"/>
      <c r="GB469" s="138"/>
      <c r="GC469" s="2"/>
      <c r="GD469" s="139"/>
      <c r="GE469" s="3"/>
      <c r="GF469" s="3"/>
    </row>
    <row r="470" spans="1:188" s="125" customFormat="1" ht="13.5" customHeight="1">
      <c r="A470" s="76">
        <v>10</v>
      </c>
      <c r="B470" s="29"/>
      <c r="C470" s="18"/>
      <c r="D470" s="19" t="s">
        <v>1131</v>
      </c>
      <c r="E470" s="20"/>
      <c r="F470" s="62" t="s">
        <v>1337</v>
      </c>
      <c r="G470" s="63"/>
      <c r="H470" s="121"/>
      <c r="I470" s="24"/>
      <c r="J470" s="24"/>
      <c r="K470" s="24">
        <f t="shared" si="30"/>
        <v>0</v>
      </c>
      <c r="L470" s="123"/>
      <c r="M470" s="24">
        <f t="shared" si="33"/>
        <v>0</v>
      </c>
      <c r="N470" s="129">
        <f t="shared" si="32"/>
        <v>0</v>
      </c>
      <c r="O470" s="28" t="s">
        <v>1057</v>
      </c>
      <c r="P470" s="3"/>
      <c r="Q470" s="3"/>
      <c r="R470" s="3"/>
      <c r="S470" s="3"/>
      <c r="T470" s="3"/>
      <c r="U470" s="3"/>
      <c r="V470" s="131"/>
      <c r="W470" s="15"/>
      <c r="X470" s="3"/>
      <c r="Y470" s="3"/>
      <c r="Z470" s="3"/>
      <c r="AA470" s="3"/>
      <c r="AB470" s="3"/>
      <c r="AC470" s="131"/>
      <c r="AD470" s="15"/>
      <c r="AE470" s="99"/>
      <c r="AF470" s="149"/>
      <c r="AG470" s="134"/>
      <c r="AH470" s="134"/>
      <c r="AI470" s="137"/>
      <c r="AJ470" s="150"/>
      <c r="AK470" s="137"/>
      <c r="AL470" s="137"/>
      <c r="AM470" s="3"/>
      <c r="AN470" s="138"/>
      <c r="AO470" s="2"/>
      <c r="AP470" s="139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131"/>
      <c r="BB470" s="15"/>
      <c r="BC470" s="99"/>
      <c r="BD470" s="149"/>
      <c r="BE470" s="134"/>
      <c r="BF470" s="134"/>
      <c r="BG470" s="137"/>
      <c r="BH470" s="150"/>
      <c r="BI470" s="137"/>
      <c r="BJ470" s="137"/>
      <c r="BK470" s="3"/>
      <c r="BL470" s="138"/>
      <c r="BM470" s="2"/>
      <c r="BN470" s="139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131"/>
      <c r="BZ470" s="15"/>
      <c r="CA470" s="99"/>
      <c r="CB470" s="149"/>
      <c r="CC470" s="134"/>
      <c r="CD470" s="134"/>
      <c r="CE470" s="137"/>
      <c r="CF470" s="150"/>
      <c r="CG470" s="137"/>
      <c r="CH470" s="137"/>
      <c r="CI470" s="3"/>
      <c r="CJ470" s="138"/>
      <c r="CK470" s="2"/>
      <c r="CL470" s="139"/>
      <c r="CM470" s="3"/>
      <c r="CN470" s="3"/>
      <c r="CO470" s="3"/>
      <c r="CP470" s="3"/>
      <c r="CQ470" s="3"/>
      <c r="CR470" s="3"/>
      <c r="CS470" s="3"/>
      <c r="CT470" s="3"/>
      <c r="CU470" s="3"/>
      <c r="CV470" s="3"/>
      <c r="CW470" s="131"/>
      <c r="CX470" s="15"/>
      <c r="CY470" s="99"/>
      <c r="CZ470" s="149"/>
      <c r="DA470" s="134"/>
      <c r="DB470" s="134"/>
      <c r="DC470" s="137"/>
      <c r="DD470" s="150"/>
      <c r="DE470" s="137"/>
      <c r="DF470" s="137"/>
      <c r="DG470" s="3"/>
      <c r="DH470" s="138"/>
      <c r="DI470" s="2"/>
      <c r="DJ470" s="139"/>
      <c r="DK470" s="3"/>
      <c r="DL470" s="3"/>
      <c r="DM470" s="3"/>
      <c r="DN470" s="3"/>
      <c r="DO470" s="3"/>
      <c r="DP470" s="3"/>
      <c r="DQ470" s="3"/>
      <c r="DR470" s="3"/>
      <c r="DS470" s="3"/>
      <c r="DT470" s="3"/>
      <c r="DU470" s="131"/>
      <c r="DV470" s="15"/>
      <c r="DW470" s="99"/>
      <c r="DX470" s="149"/>
      <c r="DY470" s="134"/>
      <c r="DZ470" s="134"/>
      <c r="EA470" s="137"/>
      <c r="EB470" s="150"/>
      <c r="EC470" s="137"/>
      <c r="ED470" s="137"/>
      <c r="EE470" s="3"/>
      <c r="EF470" s="138"/>
      <c r="EG470" s="2"/>
      <c r="EH470" s="139"/>
      <c r="EI470" s="3"/>
      <c r="EJ470" s="3"/>
      <c r="EK470" s="3"/>
      <c r="EL470" s="3"/>
      <c r="EM470" s="3"/>
      <c r="EN470" s="3"/>
      <c r="EO470" s="3"/>
      <c r="EP470" s="3"/>
      <c r="EQ470" s="3"/>
      <c r="ER470" s="3"/>
      <c r="ES470" s="131"/>
      <c r="ET470" s="15"/>
      <c r="EU470" s="99"/>
      <c r="EV470" s="149"/>
      <c r="EW470" s="134"/>
      <c r="EX470" s="134"/>
      <c r="EY470" s="137"/>
      <c r="EZ470" s="150"/>
      <c r="FA470" s="137"/>
      <c r="FB470" s="137"/>
      <c r="FC470" s="3"/>
      <c r="FD470" s="138"/>
      <c r="FE470" s="2"/>
      <c r="FF470" s="139"/>
      <c r="FG470" s="3"/>
      <c r="FH470" s="3"/>
      <c r="FI470" s="3"/>
      <c r="FJ470" s="3"/>
      <c r="FK470" s="3"/>
      <c r="FL470" s="3"/>
      <c r="FM470" s="3"/>
      <c r="FN470" s="3"/>
      <c r="FO470" s="3"/>
      <c r="FP470" s="3"/>
      <c r="FQ470" s="131"/>
      <c r="FR470" s="15"/>
      <c r="FS470" s="99"/>
      <c r="FT470" s="149"/>
      <c r="FU470" s="134"/>
      <c r="FV470" s="134"/>
      <c r="FW470" s="137"/>
      <c r="FX470" s="150"/>
      <c r="FY470" s="137"/>
      <c r="FZ470" s="137"/>
      <c r="GA470" s="3"/>
      <c r="GB470" s="138"/>
      <c r="GC470" s="2"/>
      <c r="GD470" s="139"/>
      <c r="GE470" s="3"/>
      <c r="GF470" s="3"/>
    </row>
    <row r="471" spans="1:188" s="125" customFormat="1" ht="13.5" customHeight="1">
      <c r="A471" s="76">
        <v>11</v>
      </c>
      <c r="B471" s="17"/>
      <c r="C471" s="18"/>
      <c r="D471" s="19" t="s">
        <v>1163</v>
      </c>
      <c r="E471" s="20"/>
      <c r="F471" s="120" t="s">
        <v>1338</v>
      </c>
      <c r="G471" s="63"/>
      <c r="H471" s="121"/>
      <c r="I471" s="24"/>
      <c r="J471" s="24"/>
      <c r="K471" s="199">
        <f t="shared" si="30"/>
        <v>0</v>
      </c>
      <c r="L471" s="123"/>
      <c r="M471" s="24">
        <f t="shared" si="33"/>
        <v>0</v>
      </c>
      <c r="N471" s="129">
        <f t="shared" si="32"/>
        <v>0</v>
      </c>
      <c r="O471" s="28" t="s">
        <v>1057</v>
      </c>
      <c r="P471" s="3"/>
      <c r="Q471" s="3"/>
      <c r="R471" s="3"/>
      <c r="S471" s="3"/>
      <c r="T471" s="3"/>
      <c r="U471" s="3"/>
      <c r="V471" s="131"/>
      <c r="W471" s="15"/>
      <c r="X471" s="3"/>
      <c r="Y471" s="3"/>
      <c r="Z471" s="3"/>
      <c r="AA471" s="3"/>
      <c r="AB471" s="3"/>
      <c r="AC471" s="131"/>
      <c r="AD471" s="15"/>
      <c r="AE471" s="99"/>
      <c r="AF471" s="149"/>
      <c r="AG471" s="134"/>
      <c r="AH471" s="134"/>
      <c r="AI471" s="137"/>
      <c r="AJ471" s="150"/>
      <c r="AK471" s="137"/>
      <c r="AL471" s="137"/>
      <c r="AM471" s="3"/>
      <c r="AN471" s="138"/>
      <c r="AO471" s="2"/>
      <c r="AP471" s="139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131"/>
      <c r="BB471" s="15"/>
      <c r="BC471" s="99"/>
      <c r="BD471" s="149"/>
      <c r="BE471" s="134"/>
      <c r="BF471" s="134"/>
      <c r="BG471" s="137"/>
      <c r="BH471" s="150"/>
      <c r="BI471" s="137"/>
      <c r="BJ471" s="137"/>
      <c r="BK471" s="3"/>
      <c r="BL471" s="138"/>
      <c r="BM471" s="2"/>
      <c r="BN471" s="139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131"/>
      <c r="BZ471" s="15"/>
      <c r="CA471" s="99"/>
      <c r="CB471" s="149"/>
      <c r="CC471" s="134"/>
      <c r="CD471" s="134"/>
      <c r="CE471" s="137"/>
      <c r="CF471" s="150"/>
      <c r="CG471" s="137"/>
      <c r="CH471" s="137"/>
      <c r="CI471" s="3"/>
      <c r="CJ471" s="138"/>
      <c r="CK471" s="2"/>
      <c r="CL471" s="139"/>
      <c r="CM471" s="3"/>
      <c r="CN471" s="3"/>
      <c r="CO471" s="3"/>
      <c r="CP471" s="3"/>
      <c r="CQ471" s="3"/>
      <c r="CR471" s="3"/>
      <c r="CS471" s="3"/>
      <c r="CT471" s="3"/>
      <c r="CU471" s="3"/>
      <c r="CV471" s="3"/>
      <c r="CW471" s="131"/>
      <c r="CX471" s="15"/>
      <c r="CY471" s="99"/>
      <c r="CZ471" s="149"/>
      <c r="DA471" s="134"/>
      <c r="DB471" s="134"/>
      <c r="DC471" s="137"/>
      <c r="DD471" s="150"/>
      <c r="DE471" s="137"/>
      <c r="DF471" s="137"/>
      <c r="DG471" s="3"/>
      <c r="DH471" s="138"/>
      <c r="DI471" s="2"/>
      <c r="DJ471" s="139"/>
      <c r="DK471" s="3"/>
      <c r="DL471" s="3"/>
      <c r="DM471" s="3"/>
      <c r="DN471" s="3"/>
      <c r="DO471" s="3"/>
      <c r="DP471" s="3"/>
      <c r="DQ471" s="3"/>
      <c r="DR471" s="3"/>
      <c r="DS471" s="3"/>
      <c r="DT471" s="3"/>
      <c r="DU471" s="131"/>
      <c r="DV471" s="15"/>
      <c r="DW471" s="99"/>
      <c r="DX471" s="149"/>
      <c r="DY471" s="134"/>
      <c r="DZ471" s="134"/>
      <c r="EA471" s="137"/>
      <c r="EB471" s="150"/>
      <c r="EC471" s="137"/>
      <c r="ED471" s="137"/>
      <c r="EE471" s="3"/>
      <c r="EF471" s="138"/>
      <c r="EG471" s="2"/>
      <c r="EH471" s="139"/>
      <c r="EI471" s="3"/>
      <c r="EJ471" s="3"/>
      <c r="EK471" s="3"/>
      <c r="EL471" s="3"/>
      <c r="EM471" s="3"/>
      <c r="EN471" s="3"/>
      <c r="EO471" s="3"/>
      <c r="EP471" s="3"/>
      <c r="EQ471" s="3"/>
      <c r="ER471" s="3"/>
      <c r="ES471" s="131"/>
      <c r="ET471" s="15"/>
      <c r="EU471" s="99"/>
      <c r="EV471" s="149"/>
      <c r="EW471" s="134"/>
      <c r="EX471" s="134"/>
      <c r="EY471" s="137"/>
      <c r="EZ471" s="150"/>
      <c r="FA471" s="137"/>
      <c r="FB471" s="137"/>
      <c r="FC471" s="3"/>
      <c r="FD471" s="138"/>
      <c r="FE471" s="2"/>
      <c r="FF471" s="139"/>
      <c r="FG471" s="3"/>
      <c r="FH471" s="3"/>
      <c r="FI471" s="3"/>
      <c r="FJ471" s="3"/>
      <c r="FK471" s="3"/>
      <c r="FL471" s="3"/>
      <c r="FM471" s="3"/>
      <c r="FN471" s="3"/>
      <c r="FO471" s="3"/>
      <c r="FP471" s="3"/>
      <c r="FQ471" s="131"/>
      <c r="FR471" s="15"/>
      <c r="FS471" s="99"/>
      <c r="FT471" s="149"/>
      <c r="FU471" s="134"/>
      <c r="FV471" s="134"/>
      <c r="FW471" s="137"/>
      <c r="FX471" s="150"/>
      <c r="FY471" s="137"/>
      <c r="FZ471" s="137"/>
      <c r="GA471" s="3"/>
      <c r="GB471" s="138"/>
      <c r="GC471" s="2"/>
      <c r="GD471" s="139"/>
      <c r="GE471" s="3"/>
      <c r="GF471" s="3"/>
    </row>
    <row r="472" spans="1:188" s="125" customFormat="1" ht="13.5" customHeight="1">
      <c r="A472" s="76">
        <v>12</v>
      </c>
      <c r="B472" s="17"/>
      <c r="C472" s="18"/>
      <c r="D472" s="19" t="s">
        <v>1169</v>
      </c>
      <c r="E472" s="20"/>
      <c r="F472" s="168" t="s">
        <v>1339</v>
      </c>
      <c r="G472" s="63"/>
      <c r="H472" s="121"/>
      <c r="I472" s="24"/>
      <c r="J472" s="24"/>
      <c r="K472" s="24">
        <f t="shared" si="30"/>
        <v>0</v>
      </c>
      <c r="L472" s="123"/>
      <c r="M472" s="24">
        <f t="shared" si="33"/>
        <v>0</v>
      </c>
      <c r="N472" s="129">
        <f t="shared" si="32"/>
        <v>0</v>
      </c>
      <c r="O472" s="28" t="s">
        <v>1057</v>
      </c>
      <c r="P472" s="3"/>
      <c r="Q472" s="3"/>
      <c r="R472" s="3"/>
      <c r="S472" s="3"/>
      <c r="T472" s="3"/>
      <c r="U472" s="3"/>
      <c r="V472" s="131"/>
      <c r="W472" s="15"/>
      <c r="X472" s="3"/>
      <c r="Y472" s="3"/>
      <c r="Z472" s="3"/>
      <c r="AA472" s="3"/>
      <c r="AB472" s="3"/>
      <c r="AC472" s="131"/>
      <c r="AD472" s="15"/>
      <c r="AE472" s="99"/>
      <c r="AF472" s="149"/>
      <c r="AG472" s="134"/>
      <c r="AH472" s="134"/>
      <c r="AI472" s="137"/>
      <c r="AJ472" s="150"/>
      <c r="AK472" s="137"/>
      <c r="AL472" s="137"/>
      <c r="AM472" s="3"/>
      <c r="AN472" s="138"/>
      <c r="AO472" s="2"/>
      <c r="AP472" s="139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131"/>
      <c r="BB472" s="15"/>
      <c r="BC472" s="99"/>
      <c r="BD472" s="149"/>
      <c r="BE472" s="134"/>
      <c r="BF472" s="134"/>
      <c r="BG472" s="137"/>
      <c r="BH472" s="150"/>
      <c r="BI472" s="137"/>
      <c r="BJ472" s="137"/>
      <c r="BK472" s="3"/>
      <c r="BL472" s="138"/>
      <c r="BM472" s="2"/>
      <c r="BN472" s="139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131"/>
      <c r="BZ472" s="15"/>
      <c r="CA472" s="99"/>
      <c r="CB472" s="149"/>
      <c r="CC472" s="134"/>
      <c r="CD472" s="134"/>
      <c r="CE472" s="137"/>
      <c r="CF472" s="150"/>
      <c r="CG472" s="137"/>
      <c r="CH472" s="137"/>
      <c r="CI472" s="3"/>
      <c r="CJ472" s="138"/>
      <c r="CK472" s="2"/>
      <c r="CL472" s="139"/>
      <c r="CM472" s="3"/>
      <c r="CN472" s="3"/>
      <c r="CO472" s="3"/>
      <c r="CP472" s="3"/>
      <c r="CQ472" s="3"/>
      <c r="CR472" s="3"/>
      <c r="CS472" s="3"/>
      <c r="CT472" s="3"/>
      <c r="CU472" s="3"/>
      <c r="CV472" s="3"/>
      <c r="CW472" s="131"/>
      <c r="CX472" s="15"/>
      <c r="CY472" s="99"/>
      <c r="CZ472" s="149"/>
      <c r="DA472" s="134"/>
      <c r="DB472" s="134"/>
      <c r="DC472" s="137"/>
      <c r="DD472" s="150"/>
      <c r="DE472" s="137"/>
      <c r="DF472" s="137"/>
      <c r="DG472" s="3"/>
      <c r="DH472" s="138"/>
      <c r="DI472" s="2"/>
      <c r="DJ472" s="139"/>
      <c r="DK472" s="3"/>
      <c r="DL472" s="3"/>
      <c r="DM472" s="3"/>
      <c r="DN472" s="3"/>
      <c r="DO472" s="3"/>
      <c r="DP472" s="3"/>
      <c r="DQ472" s="3"/>
      <c r="DR472" s="3"/>
      <c r="DS472" s="3"/>
      <c r="DT472" s="3"/>
      <c r="DU472" s="131"/>
      <c r="DV472" s="15"/>
      <c r="DW472" s="99"/>
      <c r="DX472" s="149"/>
      <c r="DY472" s="134"/>
      <c r="DZ472" s="134"/>
      <c r="EA472" s="137"/>
      <c r="EB472" s="150"/>
      <c r="EC472" s="137"/>
      <c r="ED472" s="137"/>
      <c r="EE472" s="3"/>
      <c r="EF472" s="138"/>
      <c r="EG472" s="2"/>
      <c r="EH472" s="139"/>
      <c r="EI472" s="3"/>
      <c r="EJ472" s="3"/>
      <c r="EK472" s="3"/>
      <c r="EL472" s="3"/>
      <c r="EM472" s="3"/>
      <c r="EN472" s="3"/>
      <c r="EO472" s="3"/>
      <c r="EP472" s="3"/>
      <c r="EQ472" s="3"/>
      <c r="ER472" s="3"/>
      <c r="ES472" s="131"/>
      <c r="ET472" s="15"/>
      <c r="EU472" s="99"/>
      <c r="EV472" s="149"/>
      <c r="EW472" s="134"/>
      <c r="EX472" s="134"/>
      <c r="EY472" s="137"/>
      <c r="EZ472" s="150"/>
      <c r="FA472" s="137"/>
      <c r="FB472" s="137"/>
      <c r="FC472" s="3"/>
      <c r="FD472" s="138"/>
      <c r="FE472" s="2"/>
      <c r="FF472" s="139"/>
      <c r="FG472" s="3"/>
      <c r="FH472" s="3"/>
      <c r="FI472" s="3"/>
      <c r="FJ472" s="3"/>
      <c r="FK472" s="3"/>
      <c r="FL472" s="3"/>
      <c r="FM472" s="3"/>
      <c r="FN472" s="3"/>
      <c r="FO472" s="3"/>
      <c r="FP472" s="3"/>
      <c r="FQ472" s="131"/>
      <c r="FR472" s="15"/>
      <c r="FS472" s="99"/>
      <c r="FT472" s="149"/>
      <c r="FU472" s="134"/>
      <c r="FV472" s="134"/>
      <c r="FW472" s="137"/>
      <c r="FX472" s="150"/>
      <c r="FY472" s="137"/>
      <c r="FZ472" s="137"/>
      <c r="GA472" s="3"/>
      <c r="GB472" s="138"/>
      <c r="GC472" s="2"/>
      <c r="GD472" s="139"/>
      <c r="GE472" s="3"/>
      <c r="GF472" s="3"/>
    </row>
    <row r="473" spans="1:188" s="125" customFormat="1" ht="13.5" customHeight="1">
      <c r="A473" s="76">
        <v>13</v>
      </c>
      <c r="B473" s="83"/>
      <c r="C473" s="18"/>
      <c r="D473" s="19" t="s">
        <v>1179</v>
      </c>
      <c r="E473" s="20"/>
      <c r="F473" s="82" t="s">
        <v>1340</v>
      </c>
      <c r="G473" s="63"/>
      <c r="H473" s="121"/>
      <c r="I473" s="24"/>
      <c r="J473" s="24"/>
      <c r="K473" s="24">
        <f t="shared" si="30"/>
        <v>0</v>
      </c>
      <c r="L473" s="123"/>
      <c r="M473" s="24">
        <f t="shared" si="33"/>
        <v>0</v>
      </c>
      <c r="N473" s="129">
        <f t="shared" si="32"/>
        <v>0</v>
      </c>
      <c r="O473" s="28" t="s">
        <v>1057</v>
      </c>
      <c r="P473" s="3"/>
      <c r="Q473" s="3"/>
      <c r="R473" s="3"/>
      <c r="S473" s="3"/>
      <c r="T473" s="3"/>
      <c r="U473" s="3"/>
      <c r="V473" s="131"/>
      <c r="W473" s="15"/>
      <c r="X473" s="3"/>
      <c r="Y473" s="3"/>
      <c r="Z473" s="3"/>
      <c r="AA473" s="3"/>
      <c r="AB473" s="3"/>
      <c r="AC473" s="131"/>
      <c r="AD473" s="15"/>
      <c r="AE473" s="99"/>
      <c r="AF473" s="149"/>
      <c r="AG473" s="134"/>
      <c r="AH473" s="134"/>
      <c r="AI473" s="137"/>
      <c r="AJ473" s="150"/>
      <c r="AK473" s="137"/>
      <c r="AL473" s="137"/>
      <c r="AM473" s="3"/>
      <c r="AN473" s="138"/>
      <c r="AO473" s="2"/>
      <c r="AP473" s="139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131"/>
      <c r="BB473" s="15"/>
      <c r="BC473" s="99"/>
      <c r="BD473" s="149"/>
      <c r="BE473" s="134"/>
      <c r="BF473" s="134"/>
      <c r="BG473" s="137"/>
      <c r="BH473" s="150"/>
      <c r="BI473" s="137"/>
      <c r="BJ473" s="137"/>
      <c r="BK473" s="3"/>
      <c r="BL473" s="138"/>
      <c r="BM473" s="2"/>
      <c r="BN473" s="139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131"/>
      <c r="BZ473" s="15"/>
      <c r="CA473" s="99"/>
      <c r="CB473" s="149"/>
      <c r="CC473" s="134"/>
      <c r="CD473" s="134"/>
      <c r="CE473" s="137"/>
      <c r="CF473" s="150"/>
      <c r="CG473" s="137"/>
      <c r="CH473" s="137"/>
      <c r="CI473" s="3"/>
      <c r="CJ473" s="138"/>
      <c r="CK473" s="2"/>
      <c r="CL473" s="139"/>
      <c r="CM473" s="3"/>
      <c r="CN473" s="3"/>
      <c r="CO473" s="3"/>
      <c r="CP473" s="3"/>
      <c r="CQ473" s="3"/>
      <c r="CR473" s="3"/>
      <c r="CS473" s="3"/>
      <c r="CT473" s="3"/>
      <c r="CU473" s="3"/>
      <c r="CV473" s="3"/>
      <c r="CW473" s="131"/>
      <c r="CX473" s="15"/>
      <c r="CY473" s="99"/>
      <c r="CZ473" s="149"/>
      <c r="DA473" s="134"/>
      <c r="DB473" s="134"/>
      <c r="DC473" s="137"/>
      <c r="DD473" s="150"/>
      <c r="DE473" s="137"/>
      <c r="DF473" s="137"/>
      <c r="DG473" s="3"/>
      <c r="DH473" s="138"/>
      <c r="DI473" s="2"/>
      <c r="DJ473" s="139"/>
      <c r="DK473" s="3"/>
      <c r="DL473" s="3"/>
      <c r="DM473" s="3"/>
      <c r="DN473" s="3"/>
      <c r="DO473" s="3"/>
      <c r="DP473" s="3"/>
      <c r="DQ473" s="3"/>
      <c r="DR473" s="3"/>
      <c r="DS473" s="3"/>
      <c r="DT473" s="3"/>
      <c r="DU473" s="131"/>
      <c r="DV473" s="15"/>
      <c r="DW473" s="99"/>
      <c r="DX473" s="149"/>
      <c r="DY473" s="134"/>
      <c r="DZ473" s="134"/>
      <c r="EA473" s="137"/>
      <c r="EB473" s="150"/>
      <c r="EC473" s="137"/>
      <c r="ED473" s="137"/>
      <c r="EE473" s="3"/>
      <c r="EF473" s="138"/>
      <c r="EG473" s="2"/>
      <c r="EH473" s="139"/>
      <c r="EI473" s="3"/>
      <c r="EJ473" s="3"/>
      <c r="EK473" s="3"/>
      <c r="EL473" s="3"/>
      <c r="EM473" s="3"/>
      <c r="EN473" s="3"/>
      <c r="EO473" s="3"/>
      <c r="EP473" s="3"/>
      <c r="EQ473" s="3"/>
      <c r="ER473" s="3"/>
      <c r="ES473" s="131"/>
      <c r="ET473" s="15"/>
      <c r="EU473" s="99"/>
      <c r="EV473" s="149"/>
      <c r="EW473" s="134"/>
      <c r="EX473" s="134"/>
      <c r="EY473" s="137"/>
      <c r="EZ473" s="150"/>
      <c r="FA473" s="137"/>
      <c r="FB473" s="137"/>
      <c r="FC473" s="3"/>
      <c r="FD473" s="138"/>
      <c r="FE473" s="2"/>
      <c r="FF473" s="139"/>
      <c r="FG473" s="3"/>
      <c r="FH473" s="3"/>
      <c r="FI473" s="3"/>
      <c r="FJ473" s="3"/>
      <c r="FK473" s="3"/>
      <c r="FL473" s="3"/>
      <c r="FM473" s="3"/>
      <c r="FN473" s="3"/>
      <c r="FO473" s="3"/>
      <c r="FP473" s="3"/>
      <c r="FQ473" s="131"/>
      <c r="FR473" s="15"/>
      <c r="FS473" s="99"/>
      <c r="FT473" s="149"/>
      <c r="FU473" s="134"/>
      <c r="FV473" s="134"/>
      <c r="FW473" s="137"/>
      <c r="FX473" s="150"/>
      <c r="FY473" s="137"/>
      <c r="FZ473" s="137"/>
      <c r="GA473" s="3"/>
      <c r="GB473" s="138"/>
      <c r="GC473" s="2"/>
      <c r="GD473" s="139"/>
      <c r="GE473" s="3"/>
      <c r="GF473" s="3"/>
    </row>
    <row r="474" spans="1:188" s="125" customFormat="1" ht="13.5" customHeight="1">
      <c r="A474" s="76">
        <v>14</v>
      </c>
      <c r="B474" s="60"/>
      <c r="C474" s="18"/>
      <c r="D474" s="19" t="s">
        <v>1165</v>
      </c>
      <c r="E474" s="20"/>
      <c r="F474" s="62" t="s">
        <v>1341</v>
      </c>
      <c r="G474" s="63"/>
      <c r="H474" s="121"/>
      <c r="I474" s="24"/>
      <c r="J474" s="24"/>
      <c r="K474" s="24">
        <f t="shared" si="30"/>
        <v>0</v>
      </c>
      <c r="L474" s="123"/>
      <c r="M474" s="24">
        <f t="shared" si="33"/>
        <v>0</v>
      </c>
      <c r="N474" s="129">
        <f t="shared" si="32"/>
        <v>0</v>
      </c>
      <c r="O474" s="28" t="s">
        <v>1057</v>
      </c>
      <c r="P474" s="3"/>
      <c r="Q474" s="3"/>
      <c r="R474" s="3"/>
      <c r="S474" s="3"/>
      <c r="T474" s="3"/>
      <c r="U474" s="3"/>
      <c r="V474" s="131"/>
      <c r="W474" s="15"/>
      <c r="X474" s="3"/>
      <c r="Y474" s="3"/>
      <c r="Z474" s="3"/>
      <c r="AA474" s="3"/>
      <c r="AB474" s="3"/>
      <c r="AC474" s="131"/>
      <c r="AD474" s="15"/>
      <c r="AE474" s="99"/>
      <c r="AF474" s="149"/>
      <c r="AG474" s="134"/>
      <c r="AH474" s="134"/>
      <c r="AI474" s="137"/>
      <c r="AJ474" s="150"/>
      <c r="AK474" s="137"/>
      <c r="AL474" s="137"/>
      <c r="AM474" s="3"/>
      <c r="AN474" s="138"/>
      <c r="AO474" s="2"/>
      <c r="AP474" s="139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131"/>
      <c r="BB474" s="15"/>
      <c r="BC474" s="99"/>
      <c r="BD474" s="149"/>
      <c r="BE474" s="134"/>
      <c r="BF474" s="134"/>
      <c r="BG474" s="137"/>
      <c r="BH474" s="150"/>
      <c r="BI474" s="137"/>
      <c r="BJ474" s="137"/>
      <c r="BK474" s="3"/>
      <c r="BL474" s="138"/>
      <c r="BM474" s="2"/>
      <c r="BN474" s="139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131"/>
      <c r="BZ474" s="15"/>
      <c r="CA474" s="99"/>
      <c r="CB474" s="149"/>
      <c r="CC474" s="134"/>
      <c r="CD474" s="134"/>
      <c r="CE474" s="137"/>
      <c r="CF474" s="150"/>
      <c r="CG474" s="137"/>
      <c r="CH474" s="137"/>
      <c r="CI474" s="3"/>
      <c r="CJ474" s="138"/>
      <c r="CK474" s="2"/>
      <c r="CL474" s="139"/>
      <c r="CM474" s="3"/>
      <c r="CN474" s="3"/>
      <c r="CO474" s="3"/>
      <c r="CP474" s="3"/>
      <c r="CQ474" s="3"/>
      <c r="CR474" s="3"/>
      <c r="CS474" s="3"/>
      <c r="CT474" s="3"/>
      <c r="CU474" s="3"/>
      <c r="CV474" s="3"/>
      <c r="CW474" s="131"/>
      <c r="CX474" s="15"/>
      <c r="CY474" s="99"/>
      <c r="CZ474" s="149"/>
      <c r="DA474" s="134"/>
      <c r="DB474" s="134"/>
      <c r="DC474" s="137"/>
      <c r="DD474" s="150"/>
      <c r="DE474" s="137"/>
      <c r="DF474" s="137"/>
      <c r="DG474" s="3"/>
      <c r="DH474" s="138"/>
      <c r="DI474" s="2"/>
      <c r="DJ474" s="139"/>
      <c r="DK474" s="3"/>
      <c r="DL474" s="3"/>
      <c r="DM474" s="3"/>
      <c r="DN474" s="3"/>
      <c r="DO474" s="3"/>
      <c r="DP474" s="3"/>
      <c r="DQ474" s="3"/>
      <c r="DR474" s="3"/>
      <c r="DS474" s="3"/>
      <c r="DT474" s="3"/>
      <c r="DU474" s="131"/>
      <c r="DV474" s="15"/>
      <c r="DW474" s="99"/>
      <c r="DX474" s="149"/>
      <c r="DY474" s="134"/>
      <c r="DZ474" s="134"/>
      <c r="EA474" s="137"/>
      <c r="EB474" s="150"/>
      <c r="EC474" s="137"/>
      <c r="ED474" s="137"/>
      <c r="EE474" s="3"/>
      <c r="EF474" s="138"/>
      <c r="EG474" s="2"/>
      <c r="EH474" s="139"/>
      <c r="EI474" s="3"/>
      <c r="EJ474" s="3"/>
      <c r="EK474" s="3"/>
      <c r="EL474" s="3"/>
      <c r="EM474" s="3"/>
      <c r="EN474" s="3"/>
      <c r="EO474" s="3"/>
      <c r="EP474" s="3"/>
      <c r="EQ474" s="3"/>
      <c r="ER474" s="3"/>
      <c r="ES474" s="131"/>
      <c r="ET474" s="15"/>
      <c r="EU474" s="99"/>
      <c r="EV474" s="149"/>
      <c r="EW474" s="134"/>
      <c r="EX474" s="134"/>
      <c r="EY474" s="137"/>
      <c r="EZ474" s="150"/>
      <c r="FA474" s="137"/>
      <c r="FB474" s="137"/>
      <c r="FC474" s="3"/>
      <c r="FD474" s="138"/>
      <c r="FE474" s="2"/>
      <c r="FF474" s="139"/>
      <c r="FG474" s="3"/>
      <c r="FH474" s="3"/>
      <c r="FI474" s="3"/>
      <c r="FJ474" s="3"/>
      <c r="FK474" s="3"/>
      <c r="FL474" s="3"/>
      <c r="FM474" s="3"/>
      <c r="FN474" s="3"/>
      <c r="FO474" s="3"/>
      <c r="FP474" s="3"/>
      <c r="FQ474" s="131"/>
      <c r="FR474" s="15"/>
      <c r="FS474" s="99"/>
      <c r="FT474" s="149"/>
      <c r="FU474" s="134"/>
      <c r="FV474" s="134"/>
      <c r="FW474" s="137"/>
      <c r="FX474" s="150"/>
      <c r="FY474" s="137"/>
      <c r="FZ474" s="137"/>
      <c r="GA474" s="3"/>
      <c r="GB474" s="138"/>
      <c r="GC474" s="2"/>
      <c r="GD474" s="139"/>
      <c r="GE474" s="3"/>
      <c r="GF474" s="3"/>
    </row>
    <row r="475" spans="1:188" s="125" customFormat="1" ht="13.5" customHeight="1">
      <c r="A475" s="76">
        <v>15</v>
      </c>
      <c r="B475" s="56"/>
      <c r="C475" s="18"/>
      <c r="D475" s="19" t="s">
        <v>1169</v>
      </c>
      <c r="E475" s="20"/>
      <c r="F475" s="168" t="s">
        <v>1342</v>
      </c>
      <c r="G475" s="63"/>
      <c r="H475" s="121"/>
      <c r="I475" s="24"/>
      <c r="J475" s="24">
        <v>69714</v>
      </c>
      <c r="K475" s="24">
        <f t="shared" si="30"/>
        <v>69714</v>
      </c>
      <c r="L475" s="123"/>
      <c r="M475" s="24">
        <v>69714</v>
      </c>
      <c r="N475" s="129">
        <f t="shared" si="32"/>
        <v>0</v>
      </c>
      <c r="O475" s="28" t="s">
        <v>1057</v>
      </c>
      <c r="P475" s="3"/>
      <c r="Q475" s="3"/>
      <c r="R475" s="3"/>
      <c r="S475" s="3"/>
      <c r="T475" s="3"/>
      <c r="U475" s="3"/>
      <c r="V475" s="131"/>
      <c r="W475" s="15"/>
      <c r="X475" s="3"/>
      <c r="Y475" s="3"/>
      <c r="Z475" s="3"/>
      <c r="AA475" s="3"/>
      <c r="AB475" s="3"/>
      <c r="AC475" s="131"/>
      <c r="AD475" s="15"/>
      <c r="AE475" s="99"/>
      <c r="AF475" s="149"/>
      <c r="AG475" s="134"/>
      <c r="AH475" s="134"/>
      <c r="AI475" s="137"/>
      <c r="AJ475" s="150"/>
      <c r="AK475" s="137"/>
      <c r="AL475" s="137"/>
      <c r="AM475" s="3"/>
      <c r="AN475" s="138"/>
      <c r="AO475" s="2"/>
      <c r="AP475" s="139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131"/>
      <c r="BB475" s="15"/>
      <c r="BC475" s="99"/>
      <c r="BD475" s="149"/>
      <c r="BE475" s="134"/>
      <c r="BF475" s="134"/>
      <c r="BG475" s="137"/>
      <c r="BH475" s="150"/>
      <c r="BI475" s="137"/>
      <c r="BJ475" s="137"/>
      <c r="BK475" s="3"/>
      <c r="BL475" s="138"/>
      <c r="BM475" s="2"/>
      <c r="BN475" s="139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131"/>
      <c r="BZ475" s="15"/>
      <c r="CA475" s="99"/>
      <c r="CB475" s="149"/>
      <c r="CC475" s="134"/>
      <c r="CD475" s="134"/>
      <c r="CE475" s="137"/>
      <c r="CF475" s="150"/>
      <c r="CG475" s="137"/>
      <c r="CH475" s="137"/>
      <c r="CI475" s="3"/>
      <c r="CJ475" s="138"/>
      <c r="CK475" s="2"/>
      <c r="CL475" s="139"/>
      <c r="CM475" s="3"/>
      <c r="CN475" s="3"/>
      <c r="CO475" s="3"/>
      <c r="CP475" s="3"/>
      <c r="CQ475" s="3"/>
      <c r="CR475" s="3"/>
      <c r="CS475" s="3"/>
      <c r="CT475" s="3"/>
      <c r="CU475" s="3"/>
      <c r="CV475" s="3"/>
      <c r="CW475" s="131"/>
      <c r="CX475" s="15"/>
      <c r="CY475" s="99"/>
      <c r="CZ475" s="149"/>
      <c r="DA475" s="134"/>
      <c r="DB475" s="134"/>
      <c r="DC475" s="137"/>
      <c r="DD475" s="150"/>
      <c r="DE475" s="137"/>
      <c r="DF475" s="137"/>
      <c r="DG475" s="3"/>
      <c r="DH475" s="138"/>
      <c r="DI475" s="2"/>
      <c r="DJ475" s="139"/>
      <c r="DK475" s="3"/>
      <c r="DL475" s="3"/>
      <c r="DM475" s="3"/>
      <c r="DN475" s="3"/>
      <c r="DO475" s="3"/>
      <c r="DP475" s="3"/>
      <c r="DQ475" s="3"/>
      <c r="DR475" s="3"/>
      <c r="DS475" s="3"/>
      <c r="DT475" s="3"/>
      <c r="DU475" s="131"/>
      <c r="DV475" s="15"/>
      <c r="DW475" s="99"/>
      <c r="DX475" s="149"/>
      <c r="DY475" s="134"/>
      <c r="DZ475" s="134"/>
      <c r="EA475" s="137"/>
      <c r="EB475" s="150"/>
      <c r="EC475" s="137"/>
      <c r="ED475" s="137"/>
      <c r="EE475" s="3"/>
      <c r="EF475" s="138"/>
      <c r="EG475" s="2"/>
      <c r="EH475" s="139"/>
      <c r="EI475" s="3"/>
      <c r="EJ475" s="3"/>
      <c r="EK475" s="3"/>
      <c r="EL475" s="3"/>
      <c r="EM475" s="3"/>
      <c r="EN475" s="3"/>
      <c r="EO475" s="3"/>
      <c r="EP475" s="3"/>
      <c r="EQ475" s="3"/>
      <c r="ER475" s="3"/>
      <c r="ES475" s="131"/>
      <c r="ET475" s="15"/>
      <c r="EU475" s="99"/>
      <c r="EV475" s="149"/>
      <c r="EW475" s="134"/>
      <c r="EX475" s="134"/>
      <c r="EY475" s="137"/>
      <c r="EZ475" s="150"/>
      <c r="FA475" s="137"/>
      <c r="FB475" s="137"/>
      <c r="FC475" s="3"/>
      <c r="FD475" s="138"/>
      <c r="FE475" s="2"/>
      <c r="FF475" s="139"/>
      <c r="FG475" s="3"/>
      <c r="FH475" s="3"/>
      <c r="FI475" s="3"/>
      <c r="FJ475" s="3"/>
      <c r="FK475" s="3"/>
      <c r="FL475" s="3"/>
      <c r="FM475" s="3"/>
      <c r="FN475" s="3"/>
      <c r="FO475" s="3"/>
      <c r="FP475" s="3"/>
      <c r="FQ475" s="131"/>
      <c r="FR475" s="15"/>
      <c r="FS475" s="99"/>
      <c r="FT475" s="149"/>
      <c r="FU475" s="134"/>
      <c r="FV475" s="134"/>
      <c r="FW475" s="137"/>
      <c r="FX475" s="150"/>
      <c r="FY475" s="137"/>
      <c r="FZ475" s="137"/>
      <c r="GA475" s="3"/>
      <c r="GB475" s="138"/>
      <c r="GC475" s="2"/>
      <c r="GD475" s="139"/>
      <c r="GE475" s="3"/>
      <c r="GF475" s="3"/>
    </row>
    <row r="476" spans="1:188" s="125" customFormat="1" ht="13.5" customHeight="1">
      <c r="A476" s="76">
        <v>16</v>
      </c>
      <c r="B476" s="29"/>
      <c r="C476" s="18"/>
      <c r="D476" s="19" t="s">
        <v>1169</v>
      </c>
      <c r="E476" s="20"/>
      <c r="F476" s="82" t="s">
        <v>1343</v>
      </c>
      <c r="G476" s="58"/>
      <c r="H476" s="121"/>
      <c r="I476" s="24"/>
      <c r="J476" s="24">
        <v>67810</v>
      </c>
      <c r="K476" s="24">
        <f t="shared" si="30"/>
        <v>67810</v>
      </c>
      <c r="L476" s="123"/>
      <c r="M476" s="24">
        <v>67810</v>
      </c>
      <c r="N476" s="129">
        <f t="shared" si="32"/>
        <v>0</v>
      </c>
      <c r="O476" s="28" t="s">
        <v>1057</v>
      </c>
      <c r="P476" s="3"/>
      <c r="Q476" s="3"/>
      <c r="R476" s="3"/>
      <c r="S476" s="3"/>
      <c r="T476" s="3"/>
      <c r="U476" s="3"/>
      <c r="V476" s="131"/>
      <c r="W476" s="15"/>
      <c r="X476" s="3"/>
      <c r="Y476" s="3"/>
      <c r="Z476" s="3"/>
      <c r="AA476" s="3"/>
      <c r="AB476" s="3"/>
      <c r="AC476" s="131"/>
      <c r="AD476" s="15"/>
      <c r="AE476" s="99"/>
      <c r="AF476" s="149"/>
      <c r="AG476" s="134"/>
      <c r="AH476" s="134"/>
      <c r="AI476" s="137"/>
      <c r="AJ476" s="150"/>
      <c r="AK476" s="137"/>
      <c r="AL476" s="137"/>
      <c r="AM476" s="3"/>
      <c r="AN476" s="138"/>
      <c r="AO476" s="2"/>
      <c r="AP476" s="139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131"/>
      <c r="BB476" s="15"/>
      <c r="BC476" s="99"/>
      <c r="BD476" s="149"/>
      <c r="BE476" s="134"/>
      <c r="BF476" s="134"/>
      <c r="BG476" s="137"/>
      <c r="BH476" s="150"/>
      <c r="BI476" s="137"/>
      <c r="BJ476" s="137"/>
      <c r="BK476" s="3"/>
      <c r="BL476" s="138"/>
      <c r="BM476" s="2"/>
      <c r="BN476" s="139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131"/>
      <c r="BZ476" s="15"/>
      <c r="CA476" s="99"/>
      <c r="CB476" s="149"/>
      <c r="CC476" s="134"/>
      <c r="CD476" s="134"/>
      <c r="CE476" s="137"/>
      <c r="CF476" s="150"/>
      <c r="CG476" s="137"/>
      <c r="CH476" s="137"/>
      <c r="CI476" s="3"/>
      <c r="CJ476" s="138"/>
      <c r="CK476" s="2"/>
      <c r="CL476" s="139"/>
      <c r="CM476" s="3"/>
      <c r="CN476" s="3"/>
      <c r="CO476" s="3"/>
      <c r="CP476" s="3"/>
      <c r="CQ476" s="3"/>
      <c r="CR476" s="3"/>
      <c r="CS476" s="3"/>
      <c r="CT476" s="3"/>
      <c r="CU476" s="3"/>
      <c r="CV476" s="3"/>
      <c r="CW476" s="131"/>
      <c r="CX476" s="15"/>
      <c r="CY476" s="99"/>
      <c r="CZ476" s="149"/>
      <c r="DA476" s="134"/>
      <c r="DB476" s="134"/>
      <c r="DC476" s="137"/>
      <c r="DD476" s="150"/>
      <c r="DE476" s="137"/>
      <c r="DF476" s="137"/>
      <c r="DG476" s="3"/>
      <c r="DH476" s="138"/>
      <c r="DI476" s="2"/>
      <c r="DJ476" s="139"/>
      <c r="DK476" s="3"/>
      <c r="DL476" s="3"/>
      <c r="DM476" s="3"/>
      <c r="DN476" s="3"/>
      <c r="DO476" s="3"/>
      <c r="DP476" s="3"/>
      <c r="DQ476" s="3"/>
      <c r="DR476" s="3"/>
      <c r="DS476" s="3"/>
      <c r="DT476" s="3"/>
      <c r="DU476" s="131"/>
      <c r="DV476" s="15"/>
      <c r="DW476" s="99"/>
      <c r="DX476" s="149"/>
      <c r="DY476" s="134"/>
      <c r="DZ476" s="134"/>
      <c r="EA476" s="137"/>
      <c r="EB476" s="150"/>
      <c r="EC476" s="137"/>
      <c r="ED476" s="137"/>
      <c r="EE476" s="3"/>
      <c r="EF476" s="138"/>
      <c r="EG476" s="2"/>
      <c r="EH476" s="139"/>
      <c r="EI476" s="3"/>
      <c r="EJ476" s="3"/>
      <c r="EK476" s="3"/>
      <c r="EL476" s="3"/>
      <c r="EM476" s="3"/>
      <c r="EN476" s="3"/>
      <c r="EO476" s="3"/>
      <c r="EP476" s="3"/>
      <c r="EQ476" s="3"/>
      <c r="ER476" s="3"/>
      <c r="ES476" s="131"/>
      <c r="ET476" s="15"/>
      <c r="EU476" s="99"/>
      <c r="EV476" s="149"/>
      <c r="EW476" s="134"/>
      <c r="EX476" s="134"/>
      <c r="EY476" s="137"/>
      <c r="EZ476" s="150"/>
      <c r="FA476" s="137"/>
      <c r="FB476" s="137"/>
      <c r="FC476" s="3"/>
      <c r="FD476" s="138"/>
      <c r="FE476" s="2"/>
      <c r="FF476" s="139"/>
      <c r="FG476" s="3"/>
      <c r="FH476" s="3"/>
      <c r="FI476" s="3"/>
      <c r="FJ476" s="3"/>
      <c r="FK476" s="3"/>
      <c r="FL476" s="3"/>
      <c r="FM476" s="3"/>
      <c r="FN476" s="3"/>
      <c r="FO476" s="3"/>
      <c r="FP476" s="3"/>
      <c r="FQ476" s="131"/>
      <c r="FR476" s="15"/>
      <c r="FS476" s="99"/>
      <c r="FT476" s="149"/>
      <c r="FU476" s="134"/>
      <c r="FV476" s="134"/>
      <c r="FW476" s="137"/>
      <c r="FX476" s="150"/>
      <c r="FY476" s="137"/>
      <c r="FZ476" s="137"/>
      <c r="GA476" s="3"/>
      <c r="GB476" s="138"/>
      <c r="GC476" s="2"/>
      <c r="GD476" s="139"/>
      <c r="GE476" s="3"/>
      <c r="GF476" s="3"/>
    </row>
    <row r="477" spans="1:188" s="125" customFormat="1" ht="13.5" customHeight="1">
      <c r="A477" s="76">
        <v>17</v>
      </c>
      <c r="B477" s="17"/>
      <c r="C477" s="18"/>
      <c r="D477" s="19" t="s">
        <v>1169</v>
      </c>
      <c r="E477" s="20"/>
      <c r="F477" s="168" t="s">
        <v>1344</v>
      </c>
      <c r="G477" s="63"/>
      <c r="H477" s="121"/>
      <c r="I477" s="24"/>
      <c r="J477" s="24">
        <v>67810</v>
      </c>
      <c r="K477" s="24">
        <f t="shared" si="30"/>
        <v>67810</v>
      </c>
      <c r="L477" s="123"/>
      <c r="M477" s="24">
        <v>67810</v>
      </c>
      <c r="N477" s="129">
        <f t="shared" si="32"/>
        <v>0</v>
      </c>
      <c r="O477" s="28" t="s">
        <v>1057</v>
      </c>
      <c r="P477" s="3"/>
      <c r="Q477" s="3"/>
      <c r="R477" s="3"/>
      <c r="S477" s="3"/>
      <c r="T477" s="3"/>
      <c r="U477" s="3"/>
      <c r="V477" s="131"/>
      <c r="W477" s="15"/>
      <c r="X477" s="3"/>
      <c r="Y477" s="3"/>
      <c r="Z477" s="3"/>
      <c r="AA477" s="3"/>
      <c r="AB477" s="3"/>
      <c r="AC477" s="131"/>
      <c r="AD477" s="15"/>
      <c r="AE477" s="99"/>
      <c r="AF477" s="149"/>
      <c r="AG477" s="134"/>
      <c r="AH477" s="134"/>
      <c r="AI477" s="137"/>
      <c r="AJ477" s="150"/>
      <c r="AK477" s="137"/>
      <c r="AL477" s="137"/>
      <c r="AM477" s="3"/>
      <c r="AN477" s="138"/>
      <c r="AO477" s="2"/>
      <c r="AP477" s="139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131"/>
      <c r="BB477" s="15"/>
      <c r="BC477" s="99"/>
      <c r="BD477" s="149"/>
      <c r="BE477" s="134"/>
      <c r="BF477" s="134"/>
      <c r="BG477" s="137"/>
      <c r="BH477" s="150"/>
      <c r="BI477" s="137"/>
      <c r="BJ477" s="137"/>
      <c r="BK477" s="3"/>
      <c r="BL477" s="138"/>
      <c r="BM477" s="2"/>
      <c r="BN477" s="139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131"/>
      <c r="BZ477" s="15"/>
      <c r="CA477" s="99"/>
      <c r="CB477" s="149"/>
      <c r="CC477" s="134"/>
      <c r="CD477" s="134"/>
      <c r="CE477" s="137"/>
      <c r="CF477" s="150"/>
      <c r="CG477" s="137"/>
      <c r="CH477" s="137"/>
      <c r="CI477" s="3"/>
      <c r="CJ477" s="138"/>
      <c r="CK477" s="2"/>
      <c r="CL477" s="139"/>
      <c r="CM477" s="3"/>
      <c r="CN477" s="3"/>
      <c r="CO477" s="3"/>
      <c r="CP477" s="3"/>
      <c r="CQ477" s="3"/>
      <c r="CR477" s="3"/>
      <c r="CS477" s="3"/>
      <c r="CT477" s="3"/>
      <c r="CU477" s="3"/>
      <c r="CV477" s="3"/>
      <c r="CW477" s="131"/>
      <c r="CX477" s="15"/>
      <c r="CY477" s="99"/>
      <c r="CZ477" s="149"/>
      <c r="DA477" s="134"/>
      <c r="DB477" s="134"/>
      <c r="DC477" s="137"/>
      <c r="DD477" s="150"/>
      <c r="DE477" s="137"/>
      <c r="DF477" s="137"/>
      <c r="DG477" s="3"/>
      <c r="DH477" s="138"/>
      <c r="DI477" s="2"/>
      <c r="DJ477" s="139"/>
      <c r="DK477" s="3"/>
      <c r="DL477" s="3"/>
      <c r="DM477" s="3"/>
      <c r="DN477" s="3"/>
      <c r="DO477" s="3"/>
      <c r="DP477" s="3"/>
      <c r="DQ477" s="3"/>
      <c r="DR477" s="3"/>
      <c r="DS477" s="3"/>
      <c r="DT477" s="3"/>
      <c r="DU477" s="131"/>
      <c r="DV477" s="15"/>
      <c r="DW477" s="99"/>
      <c r="DX477" s="149"/>
      <c r="DY477" s="134"/>
      <c r="DZ477" s="134"/>
      <c r="EA477" s="137"/>
      <c r="EB477" s="150"/>
      <c r="EC477" s="137"/>
      <c r="ED477" s="137"/>
      <c r="EE477" s="3"/>
      <c r="EF477" s="138"/>
      <c r="EG477" s="2"/>
      <c r="EH477" s="139"/>
      <c r="EI477" s="3"/>
      <c r="EJ477" s="3"/>
      <c r="EK477" s="3"/>
      <c r="EL477" s="3"/>
      <c r="EM477" s="3"/>
      <c r="EN477" s="3"/>
      <c r="EO477" s="3"/>
      <c r="EP477" s="3"/>
      <c r="EQ477" s="3"/>
      <c r="ER477" s="3"/>
      <c r="ES477" s="131"/>
      <c r="ET477" s="15"/>
      <c r="EU477" s="99"/>
      <c r="EV477" s="149"/>
      <c r="EW477" s="134"/>
      <c r="EX477" s="134"/>
      <c r="EY477" s="137"/>
      <c r="EZ477" s="150"/>
      <c r="FA477" s="137"/>
      <c r="FB477" s="137"/>
      <c r="FC477" s="3"/>
      <c r="FD477" s="138"/>
      <c r="FE477" s="2"/>
      <c r="FF477" s="139"/>
      <c r="FG477" s="3"/>
      <c r="FH477" s="3"/>
      <c r="FI477" s="3"/>
      <c r="FJ477" s="3"/>
      <c r="FK477" s="3"/>
      <c r="FL477" s="3"/>
      <c r="FM477" s="3"/>
      <c r="FN477" s="3"/>
      <c r="FO477" s="3"/>
      <c r="FP477" s="3"/>
      <c r="FQ477" s="131"/>
      <c r="FR477" s="15"/>
      <c r="FS477" s="99"/>
      <c r="FT477" s="149"/>
      <c r="FU477" s="134"/>
      <c r="FV477" s="134"/>
      <c r="FW477" s="137"/>
      <c r="FX477" s="150"/>
      <c r="FY477" s="137"/>
      <c r="FZ477" s="137"/>
      <c r="GA477" s="3"/>
      <c r="GB477" s="138"/>
      <c r="GC477" s="2"/>
      <c r="GD477" s="139"/>
      <c r="GE477" s="3"/>
      <c r="GF477" s="3"/>
    </row>
    <row r="478" spans="1:188" s="125" customFormat="1" ht="13.5" customHeight="1">
      <c r="A478" s="76">
        <v>18</v>
      </c>
      <c r="B478" s="60"/>
      <c r="C478" s="18"/>
      <c r="D478" s="19" t="s">
        <v>1189</v>
      </c>
      <c r="E478" s="20"/>
      <c r="F478" s="168" t="s">
        <v>1345</v>
      </c>
      <c r="G478" s="63"/>
      <c r="H478" s="121"/>
      <c r="I478" s="24"/>
      <c r="J478" s="24"/>
      <c r="K478" s="24">
        <f t="shared" si="30"/>
        <v>0</v>
      </c>
      <c r="L478" s="123"/>
      <c r="M478" s="24">
        <f t="shared" ref="M478:M484" si="34">K478*L478</f>
        <v>0</v>
      </c>
      <c r="N478" s="124">
        <f t="shared" si="32"/>
        <v>0</v>
      </c>
      <c r="O478" s="28" t="s">
        <v>1057</v>
      </c>
      <c r="P478" s="3"/>
      <c r="Q478" s="3"/>
      <c r="R478" s="3"/>
      <c r="S478" s="3"/>
      <c r="T478" s="3"/>
      <c r="U478" s="3"/>
      <c r="V478" s="131"/>
      <c r="W478" s="15"/>
      <c r="X478" s="3"/>
      <c r="Y478" s="3"/>
      <c r="Z478" s="3"/>
      <c r="AA478" s="3"/>
      <c r="AB478" s="3"/>
      <c r="AC478" s="131"/>
      <c r="AD478" s="15"/>
      <c r="AE478" s="99"/>
      <c r="AF478" s="149"/>
      <c r="AG478" s="134"/>
      <c r="AH478" s="134"/>
      <c r="AI478" s="137"/>
      <c r="AJ478" s="150"/>
      <c r="AK478" s="137"/>
      <c r="AL478" s="137"/>
      <c r="AM478" s="3"/>
      <c r="AN478" s="138"/>
      <c r="AO478" s="2"/>
      <c r="AP478" s="139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131"/>
      <c r="BB478" s="15"/>
      <c r="BC478" s="99"/>
      <c r="BD478" s="149"/>
      <c r="BE478" s="134"/>
      <c r="BF478" s="134"/>
      <c r="BG478" s="137"/>
      <c r="BH478" s="150"/>
      <c r="BI478" s="137"/>
      <c r="BJ478" s="137"/>
      <c r="BK478" s="3"/>
      <c r="BL478" s="138"/>
      <c r="BM478" s="2"/>
      <c r="BN478" s="139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131"/>
      <c r="BZ478" s="15"/>
      <c r="CA478" s="99"/>
      <c r="CB478" s="149"/>
      <c r="CC478" s="134"/>
      <c r="CD478" s="134"/>
      <c r="CE478" s="137"/>
      <c r="CF478" s="150"/>
      <c r="CG478" s="137"/>
      <c r="CH478" s="137"/>
      <c r="CI478" s="3"/>
      <c r="CJ478" s="138"/>
      <c r="CK478" s="2"/>
      <c r="CL478" s="139"/>
      <c r="CM478" s="3"/>
      <c r="CN478" s="3"/>
      <c r="CO478" s="3"/>
      <c r="CP478" s="3"/>
      <c r="CQ478" s="3"/>
      <c r="CR478" s="3"/>
      <c r="CS478" s="3"/>
      <c r="CT478" s="3"/>
      <c r="CU478" s="3"/>
      <c r="CV478" s="3"/>
      <c r="CW478" s="131"/>
      <c r="CX478" s="15"/>
      <c r="CY478" s="99"/>
      <c r="CZ478" s="149"/>
      <c r="DA478" s="134"/>
      <c r="DB478" s="134"/>
      <c r="DC478" s="137"/>
      <c r="DD478" s="150"/>
      <c r="DE478" s="137"/>
      <c r="DF478" s="137"/>
      <c r="DG478" s="3"/>
      <c r="DH478" s="138"/>
      <c r="DI478" s="2"/>
      <c r="DJ478" s="139"/>
      <c r="DK478" s="3"/>
      <c r="DL478" s="3"/>
      <c r="DM478" s="3"/>
      <c r="DN478" s="3"/>
      <c r="DO478" s="3"/>
      <c r="DP478" s="3"/>
      <c r="DQ478" s="3"/>
      <c r="DR478" s="3"/>
      <c r="DS478" s="3"/>
      <c r="DT478" s="3"/>
      <c r="DU478" s="131"/>
      <c r="DV478" s="15"/>
      <c r="DW478" s="99"/>
      <c r="DX478" s="149"/>
      <c r="DY478" s="134"/>
      <c r="DZ478" s="134"/>
      <c r="EA478" s="137"/>
      <c r="EB478" s="150"/>
      <c r="EC478" s="137"/>
      <c r="ED478" s="137"/>
      <c r="EE478" s="3"/>
      <c r="EF478" s="138"/>
      <c r="EG478" s="2"/>
      <c r="EH478" s="139"/>
      <c r="EI478" s="3"/>
      <c r="EJ478" s="3"/>
      <c r="EK478" s="3"/>
      <c r="EL478" s="3"/>
      <c r="EM478" s="3"/>
      <c r="EN478" s="3"/>
      <c r="EO478" s="3"/>
      <c r="EP478" s="3"/>
      <c r="EQ478" s="3"/>
      <c r="ER478" s="3"/>
      <c r="ES478" s="131"/>
      <c r="ET478" s="15"/>
      <c r="EU478" s="99"/>
      <c r="EV478" s="149"/>
      <c r="EW478" s="134"/>
      <c r="EX478" s="134"/>
      <c r="EY478" s="137"/>
      <c r="EZ478" s="150"/>
      <c r="FA478" s="137"/>
      <c r="FB478" s="137"/>
      <c r="FC478" s="3"/>
      <c r="FD478" s="138"/>
      <c r="FE478" s="2"/>
      <c r="FF478" s="139"/>
      <c r="FG478" s="3"/>
      <c r="FH478" s="3"/>
      <c r="FI478" s="3"/>
      <c r="FJ478" s="3"/>
      <c r="FK478" s="3"/>
      <c r="FL478" s="3"/>
      <c r="FM478" s="3"/>
      <c r="FN478" s="3"/>
      <c r="FO478" s="3"/>
      <c r="FP478" s="3"/>
      <c r="FQ478" s="131"/>
      <c r="FR478" s="15"/>
      <c r="FS478" s="99"/>
      <c r="FT478" s="149"/>
      <c r="FU478" s="134"/>
      <c r="FV478" s="134"/>
      <c r="FW478" s="137"/>
      <c r="FX478" s="150"/>
      <c r="FY478" s="137"/>
      <c r="FZ478" s="137"/>
      <c r="GA478" s="3"/>
      <c r="GB478" s="138"/>
      <c r="GC478" s="2"/>
      <c r="GD478" s="139"/>
      <c r="GE478" s="3"/>
      <c r="GF478" s="3"/>
    </row>
    <row r="479" spans="1:188" s="125" customFormat="1" ht="13.5" customHeight="1">
      <c r="A479" s="76">
        <v>19</v>
      </c>
      <c r="B479" s="60"/>
      <c r="C479" s="18"/>
      <c r="D479" s="19" t="s">
        <v>1189</v>
      </c>
      <c r="E479" s="20"/>
      <c r="F479" s="82" t="s">
        <v>1346</v>
      </c>
      <c r="G479" s="58"/>
      <c r="H479" s="121"/>
      <c r="I479" s="24"/>
      <c r="J479" s="24"/>
      <c r="K479" s="24">
        <f t="shared" si="30"/>
        <v>0</v>
      </c>
      <c r="L479" s="123"/>
      <c r="M479" s="24">
        <f t="shared" si="34"/>
        <v>0</v>
      </c>
      <c r="N479" s="124">
        <f t="shared" si="32"/>
        <v>0</v>
      </c>
      <c r="O479" s="28" t="s">
        <v>1057</v>
      </c>
      <c r="P479" s="3"/>
      <c r="Q479" s="3"/>
      <c r="R479" s="3"/>
      <c r="S479" s="3"/>
      <c r="T479" s="3"/>
      <c r="U479" s="3"/>
      <c r="V479" s="131"/>
      <c r="W479" s="15"/>
      <c r="X479" s="3"/>
      <c r="Y479" s="3"/>
      <c r="Z479" s="3"/>
      <c r="AA479" s="3"/>
      <c r="AB479" s="3"/>
      <c r="AC479" s="131"/>
      <c r="AD479" s="15"/>
      <c r="AE479" s="99"/>
      <c r="AF479" s="149"/>
      <c r="AG479" s="134"/>
      <c r="AH479" s="134"/>
      <c r="AI479" s="137"/>
      <c r="AJ479" s="150"/>
      <c r="AK479" s="137"/>
      <c r="AL479" s="137"/>
      <c r="AM479" s="3"/>
      <c r="AN479" s="138"/>
      <c r="AO479" s="2"/>
      <c r="AP479" s="139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131"/>
      <c r="BB479" s="15"/>
      <c r="BC479" s="99"/>
      <c r="BD479" s="149"/>
      <c r="BE479" s="134"/>
      <c r="BF479" s="134"/>
      <c r="BG479" s="137"/>
      <c r="BH479" s="150"/>
      <c r="BI479" s="137"/>
      <c r="BJ479" s="137"/>
      <c r="BK479" s="3"/>
      <c r="BL479" s="138"/>
      <c r="BM479" s="2"/>
      <c r="BN479" s="139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131"/>
      <c r="BZ479" s="15"/>
      <c r="CA479" s="99"/>
      <c r="CB479" s="149"/>
      <c r="CC479" s="134"/>
      <c r="CD479" s="134"/>
      <c r="CE479" s="137"/>
      <c r="CF479" s="150"/>
      <c r="CG479" s="137"/>
      <c r="CH479" s="137"/>
      <c r="CI479" s="3"/>
      <c r="CJ479" s="138"/>
      <c r="CK479" s="2"/>
      <c r="CL479" s="139"/>
      <c r="CM479" s="3"/>
      <c r="CN479" s="3"/>
      <c r="CO479" s="3"/>
      <c r="CP479" s="3"/>
      <c r="CQ479" s="3"/>
      <c r="CR479" s="3"/>
      <c r="CS479" s="3"/>
      <c r="CT479" s="3"/>
      <c r="CU479" s="3"/>
      <c r="CV479" s="3"/>
      <c r="CW479" s="131"/>
      <c r="CX479" s="15"/>
      <c r="CY479" s="99"/>
      <c r="CZ479" s="149"/>
      <c r="DA479" s="134"/>
      <c r="DB479" s="134"/>
      <c r="DC479" s="137"/>
      <c r="DD479" s="150"/>
      <c r="DE479" s="137"/>
      <c r="DF479" s="137"/>
      <c r="DG479" s="3"/>
      <c r="DH479" s="138"/>
      <c r="DI479" s="2"/>
      <c r="DJ479" s="139"/>
      <c r="DK479" s="3"/>
      <c r="DL479" s="3"/>
      <c r="DM479" s="3"/>
      <c r="DN479" s="3"/>
      <c r="DO479" s="3"/>
      <c r="DP479" s="3"/>
      <c r="DQ479" s="3"/>
      <c r="DR479" s="3"/>
      <c r="DS479" s="3"/>
      <c r="DT479" s="3"/>
      <c r="DU479" s="131"/>
      <c r="DV479" s="15"/>
      <c r="DW479" s="99"/>
      <c r="DX479" s="149"/>
      <c r="DY479" s="134"/>
      <c r="DZ479" s="134"/>
      <c r="EA479" s="137"/>
      <c r="EB479" s="150"/>
      <c r="EC479" s="137"/>
      <c r="ED479" s="137"/>
      <c r="EE479" s="3"/>
      <c r="EF479" s="138"/>
      <c r="EG479" s="2"/>
      <c r="EH479" s="139"/>
      <c r="EI479" s="3"/>
      <c r="EJ479" s="3"/>
      <c r="EK479" s="3"/>
      <c r="EL479" s="3"/>
      <c r="EM479" s="3"/>
      <c r="EN479" s="3"/>
      <c r="EO479" s="3"/>
      <c r="EP479" s="3"/>
      <c r="EQ479" s="3"/>
      <c r="ER479" s="3"/>
      <c r="ES479" s="131"/>
      <c r="ET479" s="15"/>
      <c r="EU479" s="99"/>
      <c r="EV479" s="149"/>
      <c r="EW479" s="134"/>
      <c r="EX479" s="134"/>
      <c r="EY479" s="137"/>
      <c r="EZ479" s="150"/>
      <c r="FA479" s="137"/>
      <c r="FB479" s="137"/>
      <c r="FC479" s="3"/>
      <c r="FD479" s="138"/>
      <c r="FE479" s="2"/>
      <c r="FF479" s="139"/>
      <c r="FG479" s="3"/>
      <c r="FH479" s="3"/>
      <c r="FI479" s="3"/>
      <c r="FJ479" s="3"/>
      <c r="FK479" s="3"/>
      <c r="FL479" s="3"/>
      <c r="FM479" s="3"/>
      <c r="FN479" s="3"/>
      <c r="FO479" s="3"/>
      <c r="FP479" s="3"/>
      <c r="FQ479" s="131"/>
      <c r="FR479" s="15"/>
      <c r="FS479" s="99"/>
      <c r="FT479" s="149"/>
      <c r="FU479" s="134"/>
      <c r="FV479" s="134"/>
      <c r="FW479" s="137"/>
      <c r="FX479" s="150"/>
      <c r="FY479" s="137"/>
      <c r="FZ479" s="137"/>
      <c r="GA479" s="3"/>
      <c r="GB479" s="138"/>
      <c r="GC479" s="2"/>
      <c r="GD479" s="139"/>
      <c r="GE479" s="3"/>
      <c r="GF479" s="3"/>
    </row>
    <row r="480" spans="1:188" s="125" customFormat="1" ht="13.5" customHeight="1">
      <c r="A480" s="76">
        <v>20</v>
      </c>
      <c r="B480" s="29"/>
      <c r="C480" s="18"/>
      <c r="D480" s="19" t="s">
        <v>1189</v>
      </c>
      <c r="E480" s="20"/>
      <c r="F480" s="57" t="s">
        <v>1347</v>
      </c>
      <c r="G480" s="63"/>
      <c r="H480" s="121"/>
      <c r="I480" s="24"/>
      <c r="J480" s="24"/>
      <c r="K480" s="24">
        <f t="shared" si="30"/>
        <v>0</v>
      </c>
      <c r="L480" s="123"/>
      <c r="M480" s="24">
        <f t="shared" si="34"/>
        <v>0</v>
      </c>
      <c r="N480" s="124">
        <f t="shared" si="32"/>
        <v>0</v>
      </c>
      <c r="O480" s="28" t="s">
        <v>1057</v>
      </c>
      <c r="P480" s="3"/>
      <c r="Q480" s="3"/>
      <c r="R480" s="3"/>
      <c r="S480" s="3"/>
      <c r="T480" s="3"/>
      <c r="U480" s="3"/>
      <c r="V480" s="131"/>
      <c r="W480" s="15"/>
      <c r="X480" s="3"/>
      <c r="Y480" s="3"/>
      <c r="Z480" s="3"/>
      <c r="AA480" s="3"/>
      <c r="AB480" s="3"/>
      <c r="AC480" s="131"/>
      <c r="AD480" s="15"/>
      <c r="AE480" s="99"/>
      <c r="AF480" s="149"/>
      <c r="AG480" s="134"/>
      <c r="AH480" s="134"/>
      <c r="AI480" s="137"/>
      <c r="AJ480" s="150"/>
      <c r="AK480" s="137"/>
      <c r="AL480" s="137"/>
      <c r="AM480" s="3"/>
      <c r="AN480" s="138"/>
      <c r="AO480" s="2"/>
      <c r="AP480" s="139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131"/>
      <c r="BB480" s="15"/>
      <c r="BC480" s="99"/>
      <c r="BD480" s="149"/>
      <c r="BE480" s="134"/>
      <c r="BF480" s="134"/>
      <c r="BG480" s="137"/>
      <c r="BH480" s="150"/>
      <c r="BI480" s="137"/>
      <c r="BJ480" s="137"/>
      <c r="BK480" s="3"/>
      <c r="BL480" s="138"/>
      <c r="BM480" s="2"/>
      <c r="BN480" s="139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131"/>
      <c r="BZ480" s="15"/>
      <c r="CA480" s="99"/>
      <c r="CB480" s="149"/>
      <c r="CC480" s="134"/>
      <c r="CD480" s="134"/>
      <c r="CE480" s="137"/>
      <c r="CF480" s="150"/>
      <c r="CG480" s="137"/>
      <c r="CH480" s="137"/>
      <c r="CI480" s="3"/>
      <c r="CJ480" s="138"/>
      <c r="CK480" s="2"/>
      <c r="CL480" s="139"/>
      <c r="CM480" s="3"/>
      <c r="CN480" s="3"/>
      <c r="CO480" s="3"/>
      <c r="CP480" s="3"/>
      <c r="CQ480" s="3"/>
      <c r="CR480" s="3"/>
      <c r="CS480" s="3"/>
      <c r="CT480" s="3"/>
      <c r="CU480" s="3"/>
      <c r="CV480" s="3"/>
      <c r="CW480" s="131"/>
      <c r="CX480" s="15"/>
      <c r="CY480" s="99"/>
      <c r="CZ480" s="149"/>
      <c r="DA480" s="134"/>
      <c r="DB480" s="134"/>
      <c r="DC480" s="137"/>
      <c r="DD480" s="150"/>
      <c r="DE480" s="137"/>
      <c r="DF480" s="137"/>
      <c r="DG480" s="3"/>
      <c r="DH480" s="138"/>
      <c r="DI480" s="2"/>
      <c r="DJ480" s="139"/>
      <c r="DK480" s="3"/>
      <c r="DL480" s="3"/>
      <c r="DM480" s="3"/>
      <c r="DN480" s="3"/>
      <c r="DO480" s="3"/>
      <c r="DP480" s="3"/>
      <c r="DQ480" s="3"/>
      <c r="DR480" s="3"/>
      <c r="DS480" s="3"/>
      <c r="DT480" s="3"/>
      <c r="DU480" s="131"/>
      <c r="DV480" s="15"/>
      <c r="DW480" s="99"/>
      <c r="DX480" s="149"/>
      <c r="DY480" s="134"/>
      <c r="DZ480" s="134"/>
      <c r="EA480" s="137"/>
      <c r="EB480" s="150"/>
      <c r="EC480" s="137"/>
      <c r="ED480" s="137"/>
      <c r="EE480" s="3"/>
      <c r="EF480" s="138"/>
      <c r="EG480" s="2"/>
      <c r="EH480" s="139"/>
      <c r="EI480" s="3"/>
      <c r="EJ480" s="3"/>
      <c r="EK480" s="3"/>
      <c r="EL480" s="3"/>
      <c r="EM480" s="3"/>
      <c r="EN480" s="3"/>
      <c r="EO480" s="3"/>
      <c r="EP480" s="3"/>
      <c r="EQ480" s="3"/>
      <c r="ER480" s="3"/>
      <c r="ES480" s="131"/>
      <c r="ET480" s="15"/>
      <c r="EU480" s="99"/>
      <c r="EV480" s="149"/>
      <c r="EW480" s="134"/>
      <c r="EX480" s="134"/>
      <c r="EY480" s="137"/>
      <c r="EZ480" s="150"/>
      <c r="FA480" s="137"/>
      <c r="FB480" s="137"/>
      <c r="FC480" s="3"/>
      <c r="FD480" s="138"/>
      <c r="FE480" s="2"/>
      <c r="FF480" s="139"/>
      <c r="FG480" s="3"/>
      <c r="FH480" s="3"/>
      <c r="FI480" s="3"/>
      <c r="FJ480" s="3"/>
      <c r="FK480" s="3"/>
      <c r="FL480" s="3"/>
      <c r="FM480" s="3"/>
      <c r="FN480" s="3"/>
      <c r="FO480" s="3"/>
      <c r="FP480" s="3"/>
      <c r="FQ480" s="131"/>
      <c r="FR480" s="15"/>
      <c r="FS480" s="99"/>
      <c r="FT480" s="149"/>
      <c r="FU480" s="134"/>
      <c r="FV480" s="134"/>
      <c r="FW480" s="137"/>
      <c r="FX480" s="150"/>
      <c r="FY480" s="137"/>
      <c r="FZ480" s="137"/>
      <c r="GA480" s="3"/>
      <c r="GB480" s="138"/>
      <c r="GC480" s="2"/>
      <c r="GD480" s="139"/>
      <c r="GE480" s="3"/>
      <c r="GF480" s="3"/>
    </row>
    <row r="481" spans="1:188" s="125" customFormat="1" ht="13.5" customHeight="1">
      <c r="A481" s="76">
        <v>21</v>
      </c>
      <c r="B481" s="17"/>
      <c r="C481" s="18"/>
      <c r="D481" s="19" t="s">
        <v>1189</v>
      </c>
      <c r="E481" s="20"/>
      <c r="F481" s="168" t="s">
        <v>1348</v>
      </c>
      <c r="G481" s="63"/>
      <c r="H481" s="121"/>
      <c r="I481" s="24"/>
      <c r="J481" s="24"/>
      <c r="K481" s="24">
        <f t="shared" si="30"/>
        <v>0</v>
      </c>
      <c r="L481" s="123"/>
      <c r="M481" s="24">
        <f t="shared" si="34"/>
        <v>0</v>
      </c>
      <c r="N481" s="129">
        <f t="shared" si="32"/>
        <v>0</v>
      </c>
      <c r="O481" s="28" t="s">
        <v>1057</v>
      </c>
      <c r="P481" s="3"/>
      <c r="Q481" s="3"/>
      <c r="R481" s="3"/>
      <c r="S481" s="3"/>
      <c r="T481" s="3"/>
      <c r="U481" s="3"/>
      <c r="V481" s="131"/>
      <c r="W481" s="15"/>
      <c r="X481" s="3"/>
      <c r="Y481" s="3"/>
      <c r="Z481" s="3"/>
      <c r="AA481" s="3"/>
      <c r="AB481" s="3"/>
      <c r="AC481" s="131"/>
      <c r="AD481" s="15"/>
      <c r="AE481" s="99"/>
      <c r="AF481" s="149"/>
      <c r="AG481" s="134"/>
      <c r="AH481" s="134"/>
      <c r="AI481" s="137"/>
      <c r="AJ481" s="150"/>
      <c r="AK481" s="137"/>
      <c r="AL481" s="137"/>
      <c r="AM481" s="3"/>
      <c r="AN481" s="138"/>
      <c r="AO481" s="2"/>
      <c r="AP481" s="139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131"/>
      <c r="BB481" s="15"/>
      <c r="BC481" s="99"/>
      <c r="BD481" s="149"/>
      <c r="BE481" s="134"/>
      <c r="BF481" s="134"/>
      <c r="BG481" s="137"/>
      <c r="BH481" s="150"/>
      <c r="BI481" s="137"/>
      <c r="BJ481" s="137"/>
      <c r="BK481" s="3"/>
      <c r="BL481" s="138"/>
      <c r="BM481" s="2"/>
      <c r="BN481" s="139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131"/>
      <c r="BZ481" s="15"/>
      <c r="CA481" s="99"/>
      <c r="CB481" s="149"/>
      <c r="CC481" s="134"/>
      <c r="CD481" s="134"/>
      <c r="CE481" s="137"/>
      <c r="CF481" s="150"/>
      <c r="CG481" s="137"/>
      <c r="CH481" s="137"/>
      <c r="CI481" s="3"/>
      <c r="CJ481" s="138"/>
      <c r="CK481" s="2"/>
      <c r="CL481" s="139"/>
      <c r="CM481" s="3"/>
      <c r="CN481" s="3"/>
      <c r="CO481" s="3"/>
      <c r="CP481" s="3"/>
      <c r="CQ481" s="3"/>
      <c r="CR481" s="3"/>
      <c r="CS481" s="3"/>
      <c r="CT481" s="3"/>
      <c r="CU481" s="3"/>
      <c r="CV481" s="3"/>
      <c r="CW481" s="131"/>
      <c r="CX481" s="15"/>
      <c r="CY481" s="99"/>
      <c r="CZ481" s="149"/>
      <c r="DA481" s="134"/>
      <c r="DB481" s="134"/>
      <c r="DC481" s="137"/>
      <c r="DD481" s="150"/>
      <c r="DE481" s="137"/>
      <c r="DF481" s="137"/>
      <c r="DG481" s="3"/>
      <c r="DH481" s="138"/>
      <c r="DI481" s="2"/>
      <c r="DJ481" s="139"/>
      <c r="DK481" s="3"/>
      <c r="DL481" s="3"/>
      <c r="DM481" s="3"/>
      <c r="DN481" s="3"/>
      <c r="DO481" s="3"/>
      <c r="DP481" s="3"/>
      <c r="DQ481" s="3"/>
      <c r="DR481" s="3"/>
      <c r="DS481" s="3"/>
      <c r="DT481" s="3"/>
      <c r="DU481" s="131"/>
      <c r="DV481" s="15"/>
      <c r="DW481" s="99"/>
      <c r="DX481" s="149"/>
      <c r="DY481" s="134"/>
      <c r="DZ481" s="134"/>
      <c r="EA481" s="137"/>
      <c r="EB481" s="150"/>
      <c r="EC481" s="137"/>
      <c r="ED481" s="137"/>
      <c r="EE481" s="3"/>
      <c r="EF481" s="138"/>
      <c r="EG481" s="2"/>
      <c r="EH481" s="139"/>
      <c r="EI481" s="3"/>
      <c r="EJ481" s="3"/>
      <c r="EK481" s="3"/>
      <c r="EL481" s="3"/>
      <c r="EM481" s="3"/>
      <c r="EN481" s="3"/>
      <c r="EO481" s="3"/>
      <c r="EP481" s="3"/>
      <c r="EQ481" s="3"/>
      <c r="ER481" s="3"/>
      <c r="ES481" s="131"/>
      <c r="ET481" s="15"/>
      <c r="EU481" s="99"/>
      <c r="EV481" s="149"/>
      <c r="EW481" s="134"/>
      <c r="EX481" s="134"/>
      <c r="EY481" s="137"/>
      <c r="EZ481" s="150"/>
      <c r="FA481" s="137"/>
      <c r="FB481" s="137"/>
      <c r="FC481" s="3"/>
      <c r="FD481" s="138"/>
      <c r="FE481" s="2"/>
      <c r="FF481" s="139"/>
      <c r="FG481" s="3"/>
      <c r="FH481" s="3"/>
      <c r="FI481" s="3"/>
      <c r="FJ481" s="3"/>
      <c r="FK481" s="3"/>
      <c r="FL481" s="3"/>
      <c r="FM481" s="3"/>
      <c r="FN481" s="3"/>
      <c r="FO481" s="3"/>
      <c r="FP481" s="3"/>
      <c r="FQ481" s="131"/>
      <c r="FR481" s="15"/>
      <c r="FS481" s="99"/>
      <c r="FT481" s="149"/>
      <c r="FU481" s="134"/>
      <c r="FV481" s="134"/>
      <c r="FW481" s="137"/>
      <c r="FX481" s="150"/>
      <c r="FY481" s="137"/>
      <c r="FZ481" s="137"/>
      <c r="GA481" s="3"/>
      <c r="GB481" s="138"/>
      <c r="GC481" s="2"/>
      <c r="GD481" s="139"/>
      <c r="GE481" s="3"/>
      <c r="GF481" s="3"/>
    </row>
    <row r="482" spans="1:188" s="125" customFormat="1" ht="13.5" customHeight="1">
      <c r="A482" s="76">
        <v>22</v>
      </c>
      <c r="B482" s="29"/>
      <c r="C482" s="18"/>
      <c r="D482" s="19" t="s">
        <v>1189</v>
      </c>
      <c r="E482" s="20"/>
      <c r="F482" s="62" t="s">
        <v>1349</v>
      </c>
      <c r="G482" s="63"/>
      <c r="H482" s="121"/>
      <c r="I482" s="24"/>
      <c r="J482" s="24"/>
      <c r="K482" s="24">
        <f t="shared" si="30"/>
        <v>0</v>
      </c>
      <c r="L482" s="123"/>
      <c r="M482" s="24">
        <f t="shared" si="34"/>
        <v>0</v>
      </c>
      <c r="N482" s="124">
        <f t="shared" si="32"/>
        <v>0</v>
      </c>
      <c r="O482" s="28" t="s">
        <v>1057</v>
      </c>
      <c r="P482" s="3"/>
      <c r="Q482" s="3"/>
      <c r="R482" s="3"/>
      <c r="S482" s="3"/>
      <c r="T482" s="3"/>
      <c r="U482" s="3"/>
      <c r="V482" s="131"/>
      <c r="W482" s="15"/>
      <c r="X482" s="3"/>
      <c r="Y482" s="3"/>
      <c r="Z482" s="3"/>
      <c r="AA482" s="3"/>
      <c r="AB482" s="3"/>
      <c r="AC482" s="131"/>
      <c r="AD482" s="15"/>
      <c r="AE482" s="99"/>
      <c r="AF482" s="149"/>
      <c r="AG482" s="134"/>
      <c r="AH482" s="134"/>
      <c r="AI482" s="137"/>
      <c r="AJ482" s="150"/>
      <c r="AK482" s="137"/>
      <c r="AL482" s="137"/>
      <c r="AM482" s="3"/>
      <c r="AN482" s="138"/>
      <c r="AO482" s="2"/>
      <c r="AP482" s="139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131"/>
      <c r="BB482" s="15"/>
      <c r="BC482" s="99"/>
      <c r="BD482" s="149"/>
      <c r="BE482" s="134"/>
      <c r="BF482" s="134"/>
      <c r="BG482" s="137"/>
      <c r="BH482" s="150"/>
      <c r="BI482" s="137"/>
      <c r="BJ482" s="137"/>
      <c r="BK482" s="3"/>
      <c r="BL482" s="138"/>
      <c r="BM482" s="2"/>
      <c r="BN482" s="139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131"/>
      <c r="BZ482" s="15"/>
      <c r="CA482" s="99"/>
      <c r="CB482" s="149"/>
      <c r="CC482" s="134"/>
      <c r="CD482" s="134"/>
      <c r="CE482" s="137"/>
      <c r="CF482" s="150"/>
      <c r="CG482" s="137"/>
      <c r="CH482" s="137"/>
      <c r="CI482" s="3"/>
      <c r="CJ482" s="138"/>
      <c r="CK482" s="2"/>
      <c r="CL482" s="139"/>
      <c r="CM482" s="3"/>
      <c r="CN482" s="3"/>
      <c r="CO482" s="3"/>
      <c r="CP482" s="3"/>
      <c r="CQ482" s="3"/>
      <c r="CR482" s="3"/>
      <c r="CS482" s="3"/>
      <c r="CT482" s="3"/>
      <c r="CU482" s="3"/>
      <c r="CV482" s="3"/>
      <c r="CW482" s="131"/>
      <c r="CX482" s="15"/>
      <c r="CY482" s="99"/>
      <c r="CZ482" s="149"/>
      <c r="DA482" s="134"/>
      <c r="DB482" s="134"/>
      <c r="DC482" s="137"/>
      <c r="DD482" s="150"/>
      <c r="DE482" s="137"/>
      <c r="DF482" s="137"/>
      <c r="DG482" s="3"/>
      <c r="DH482" s="138"/>
      <c r="DI482" s="2"/>
      <c r="DJ482" s="139"/>
      <c r="DK482" s="3"/>
      <c r="DL482" s="3"/>
      <c r="DM482" s="3"/>
      <c r="DN482" s="3"/>
      <c r="DO482" s="3"/>
      <c r="DP482" s="3"/>
      <c r="DQ482" s="3"/>
      <c r="DR482" s="3"/>
      <c r="DS482" s="3"/>
      <c r="DT482" s="3"/>
      <c r="DU482" s="131"/>
      <c r="DV482" s="15"/>
      <c r="DW482" s="99"/>
      <c r="DX482" s="149"/>
      <c r="DY482" s="134"/>
      <c r="DZ482" s="134"/>
      <c r="EA482" s="137"/>
      <c r="EB482" s="150"/>
      <c r="EC482" s="137"/>
      <c r="ED482" s="137"/>
      <c r="EE482" s="3"/>
      <c r="EF482" s="138"/>
      <c r="EG482" s="2"/>
      <c r="EH482" s="139"/>
      <c r="EI482" s="3"/>
      <c r="EJ482" s="3"/>
      <c r="EK482" s="3"/>
      <c r="EL482" s="3"/>
      <c r="EM482" s="3"/>
      <c r="EN482" s="3"/>
      <c r="EO482" s="3"/>
      <c r="EP482" s="3"/>
      <c r="EQ482" s="3"/>
      <c r="ER482" s="3"/>
      <c r="ES482" s="131"/>
      <c r="ET482" s="15"/>
      <c r="EU482" s="99"/>
      <c r="EV482" s="149"/>
      <c r="EW482" s="134"/>
      <c r="EX482" s="134"/>
      <c r="EY482" s="137"/>
      <c r="EZ482" s="150"/>
      <c r="FA482" s="137"/>
      <c r="FB482" s="137"/>
      <c r="FC482" s="3"/>
      <c r="FD482" s="138"/>
      <c r="FE482" s="2"/>
      <c r="FF482" s="139"/>
      <c r="FG482" s="3"/>
      <c r="FH482" s="3"/>
      <c r="FI482" s="3"/>
      <c r="FJ482" s="3"/>
      <c r="FK482" s="3"/>
      <c r="FL482" s="3"/>
      <c r="FM482" s="3"/>
      <c r="FN482" s="3"/>
      <c r="FO482" s="3"/>
      <c r="FP482" s="3"/>
      <c r="FQ482" s="131"/>
      <c r="FR482" s="15"/>
      <c r="FS482" s="99"/>
      <c r="FT482" s="149"/>
      <c r="FU482" s="134"/>
      <c r="FV482" s="134"/>
      <c r="FW482" s="137"/>
      <c r="FX482" s="150"/>
      <c r="FY482" s="137"/>
      <c r="FZ482" s="137"/>
      <c r="GA482" s="3"/>
      <c r="GB482" s="138"/>
      <c r="GC482" s="2"/>
      <c r="GD482" s="139"/>
      <c r="GE482" s="3"/>
      <c r="GF482" s="3"/>
    </row>
    <row r="483" spans="1:188" s="125" customFormat="1" ht="13.5" customHeight="1">
      <c r="A483" s="76">
        <v>23</v>
      </c>
      <c r="B483" s="60"/>
      <c r="C483" s="18"/>
      <c r="D483" s="19" t="s">
        <v>1181</v>
      </c>
      <c r="E483" s="20"/>
      <c r="F483" s="168" t="s">
        <v>1350</v>
      </c>
      <c r="G483" s="63"/>
      <c r="H483" s="121"/>
      <c r="I483" s="24"/>
      <c r="J483" s="24"/>
      <c r="K483" s="24">
        <f t="shared" si="30"/>
        <v>0</v>
      </c>
      <c r="L483" s="123"/>
      <c r="M483" s="24">
        <f t="shared" si="34"/>
        <v>0</v>
      </c>
      <c r="N483" s="129">
        <f t="shared" si="32"/>
        <v>0</v>
      </c>
      <c r="O483" s="28" t="s">
        <v>1057</v>
      </c>
      <c r="P483" s="3"/>
      <c r="Q483" s="3"/>
      <c r="R483" s="3"/>
      <c r="S483" s="3"/>
      <c r="T483" s="3"/>
      <c r="U483" s="3"/>
      <c r="V483" s="131"/>
      <c r="W483" s="15"/>
      <c r="X483" s="3"/>
      <c r="Y483" s="3"/>
      <c r="Z483" s="3"/>
      <c r="AA483" s="3"/>
      <c r="AB483" s="3"/>
      <c r="AC483" s="131"/>
      <c r="AD483" s="15"/>
      <c r="AE483" s="99"/>
      <c r="AF483" s="149"/>
      <c r="AG483" s="134"/>
      <c r="AH483" s="134"/>
      <c r="AI483" s="137"/>
      <c r="AJ483" s="150"/>
      <c r="AK483" s="137"/>
      <c r="AL483" s="137"/>
      <c r="AM483" s="3"/>
      <c r="AN483" s="138"/>
      <c r="AO483" s="2"/>
      <c r="AP483" s="139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131"/>
      <c r="BB483" s="15"/>
      <c r="BC483" s="99"/>
      <c r="BD483" s="149"/>
      <c r="BE483" s="134"/>
      <c r="BF483" s="134"/>
      <c r="BG483" s="137"/>
      <c r="BH483" s="150"/>
      <c r="BI483" s="137"/>
      <c r="BJ483" s="137"/>
      <c r="BK483" s="3"/>
      <c r="BL483" s="138"/>
      <c r="BM483" s="2"/>
      <c r="BN483" s="139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131"/>
      <c r="BZ483" s="15"/>
      <c r="CA483" s="99"/>
      <c r="CB483" s="149"/>
      <c r="CC483" s="134"/>
      <c r="CD483" s="134"/>
      <c r="CE483" s="137"/>
      <c r="CF483" s="150"/>
      <c r="CG483" s="137"/>
      <c r="CH483" s="137"/>
      <c r="CI483" s="3"/>
      <c r="CJ483" s="138"/>
      <c r="CK483" s="2"/>
      <c r="CL483" s="139"/>
      <c r="CM483" s="3"/>
      <c r="CN483" s="3"/>
      <c r="CO483" s="3"/>
      <c r="CP483" s="3"/>
      <c r="CQ483" s="3"/>
      <c r="CR483" s="3"/>
      <c r="CS483" s="3"/>
      <c r="CT483" s="3"/>
      <c r="CU483" s="3"/>
      <c r="CV483" s="3"/>
      <c r="CW483" s="131"/>
      <c r="CX483" s="15"/>
      <c r="CY483" s="99"/>
      <c r="CZ483" s="149"/>
      <c r="DA483" s="134"/>
      <c r="DB483" s="134"/>
      <c r="DC483" s="137"/>
      <c r="DD483" s="150"/>
      <c r="DE483" s="137"/>
      <c r="DF483" s="137"/>
      <c r="DG483" s="3"/>
      <c r="DH483" s="138"/>
      <c r="DI483" s="2"/>
      <c r="DJ483" s="139"/>
      <c r="DK483" s="3"/>
      <c r="DL483" s="3"/>
      <c r="DM483" s="3"/>
      <c r="DN483" s="3"/>
      <c r="DO483" s="3"/>
      <c r="DP483" s="3"/>
      <c r="DQ483" s="3"/>
      <c r="DR483" s="3"/>
      <c r="DS483" s="3"/>
      <c r="DT483" s="3"/>
      <c r="DU483" s="131"/>
      <c r="DV483" s="15"/>
      <c r="DW483" s="99"/>
      <c r="DX483" s="149"/>
      <c r="DY483" s="134"/>
      <c r="DZ483" s="134"/>
      <c r="EA483" s="137"/>
      <c r="EB483" s="150"/>
      <c r="EC483" s="137"/>
      <c r="ED483" s="137"/>
      <c r="EE483" s="3"/>
      <c r="EF483" s="138"/>
      <c r="EG483" s="2"/>
      <c r="EH483" s="139"/>
      <c r="EI483" s="3"/>
      <c r="EJ483" s="3"/>
      <c r="EK483" s="3"/>
      <c r="EL483" s="3"/>
      <c r="EM483" s="3"/>
      <c r="EN483" s="3"/>
      <c r="EO483" s="3"/>
      <c r="EP483" s="3"/>
      <c r="EQ483" s="3"/>
      <c r="ER483" s="3"/>
      <c r="ES483" s="131"/>
      <c r="ET483" s="15"/>
      <c r="EU483" s="99"/>
      <c r="EV483" s="149"/>
      <c r="EW483" s="134"/>
      <c r="EX483" s="134"/>
      <c r="EY483" s="137"/>
      <c r="EZ483" s="150"/>
      <c r="FA483" s="137"/>
      <c r="FB483" s="137"/>
      <c r="FC483" s="3"/>
      <c r="FD483" s="138"/>
      <c r="FE483" s="2"/>
      <c r="FF483" s="139"/>
      <c r="FG483" s="3"/>
      <c r="FH483" s="3"/>
      <c r="FI483" s="3"/>
      <c r="FJ483" s="3"/>
      <c r="FK483" s="3"/>
      <c r="FL483" s="3"/>
      <c r="FM483" s="3"/>
      <c r="FN483" s="3"/>
      <c r="FO483" s="3"/>
      <c r="FP483" s="3"/>
      <c r="FQ483" s="131"/>
      <c r="FR483" s="15"/>
      <c r="FS483" s="99"/>
      <c r="FT483" s="149"/>
      <c r="FU483" s="134"/>
      <c r="FV483" s="134"/>
      <c r="FW483" s="137"/>
      <c r="FX483" s="150"/>
      <c r="FY483" s="137"/>
      <c r="FZ483" s="137"/>
      <c r="GA483" s="3"/>
      <c r="GB483" s="138"/>
      <c r="GC483" s="2"/>
      <c r="GD483" s="139"/>
      <c r="GE483" s="3"/>
      <c r="GF483" s="3"/>
    </row>
    <row r="484" spans="1:188" s="125" customFormat="1" ht="13.5" customHeight="1">
      <c r="A484" s="76">
        <v>24</v>
      </c>
      <c r="B484" s="56"/>
      <c r="C484" s="18"/>
      <c r="D484" s="19" t="s">
        <v>1181</v>
      </c>
      <c r="E484" s="20"/>
      <c r="F484" s="82" t="s">
        <v>1351</v>
      </c>
      <c r="G484" s="58"/>
      <c r="H484" s="121"/>
      <c r="I484" s="24"/>
      <c r="J484" s="24"/>
      <c r="K484" s="24">
        <f t="shared" si="30"/>
        <v>0</v>
      </c>
      <c r="L484" s="123"/>
      <c r="M484" s="24">
        <f t="shared" si="34"/>
        <v>0</v>
      </c>
      <c r="N484" s="129">
        <f t="shared" si="32"/>
        <v>0</v>
      </c>
      <c r="O484" s="28" t="s">
        <v>1057</v>
      </c>
      <c r="P484" s="3"/>
      <c r="Q484" s="3"/>
      <c r="R484" s="3"/>
      <c r="S484" s="3"/>
      <c r="T484" s="3"/>
      <c r="U484" s="3"/>
      <c r="V484" s="131"/>
      <c r="W484" s="15"/>
      <c r="X484" s="3"/>
      <c r="Y484" s="3"/>
      <c r="Z484" s="3"/>
      <c r="AA484" s="3"/>
      <c r="AB484" s="3"/>
      <c r="AC484" s="131"/>
      <c r="AD484" s="15"/>
      <c r="AE484" s="99"/>
      <c r="AF484" s="149"/>
      <c r="AG484" s="134"/>
      <c r="AH484" s="134"/>
      <c r="AI484" s="137"/>
      <c r="AJ484" s="150"/>
      <c r="AK484" s="137"/>
      <c r="AL484" s="137"/>
      <c r="AM484" s="3"/>
      <c r="AN484" s="138"/>
      <c r="AO484" s="2"/>
      <c r="AP484" s="139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131"/>
      <c r="BB484" s="15"/>
      <c r="BC484" s="99"/>
      <c r="BD484" s="149"/>
      <c r="BE484" s="134"/>
      <c r="BF484" s="134"/>
      <c r="BG484" s="137"/>
      <c r="BH484" s="150"/>
      <c r="BI484" s="137"/>
      <c r="BJ484" s="137"/>
      <c r="BK484" s="3"/>
      <c r="BL484" s="138"/>
      <c r="BM484" s="2"/>
      <c r="BN484" s="139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131"/>
      <c r="BZ484" s="15"/>
      <c r="CA484" s="99"/>
      <c r="CB484" s="149"/>
      <c r="CC484" s="134"/>
      <c r="CD484" s="134"/>
      <c r="CE484" s="137"/>
      <c r="CF484" s="150"/>
      <c r="CG484" s="137"/>
      <c r="CH484" s="137"/>
      <c r="CI484" s="3"/>
      <c r="CJ484" s="138"/>
      <c r="CK484" s="2"/>
      <c r="CL484" s="139"/>
      <c r="CM484" s="3"/>
      <c r="CN484" s="3"/>
      <c r="CO484" s="3"/>
      <c r="CP484" s="3"/>
      <c r="CQ484" s="3"/>
      <c r="CR484" s="3"/>
      <c r="CS484" s="3"/>
      <c r="CT484" s="3"/>
      <c r="CU484" s="3"/>
      <c r="CV484" s="3"/>
      <c r="CW484" s="131"/>
      <c r="CX484" s="15"/>
      <c r="CY484" s="99"/>
      <c r="CZ484" s="149"/>
      <c r="DA484" s="134"/>
      <c r="DB484" s="134"/>
      <c r="DC484" s="137"/>
      <c r="DD484" s="150"/>
      <c r="DE484" s="137"/>
      <c r="DF484" s="137"/>
      <c r="DG484" s="3"/>
      <c r="DH484" s="138"/>
      <c r="DI484" s="2"/>
      <c r="DJ484" s="139"/>
      <c r="DK484" s="3"/>
      <c r="DL484" s="3"/>
      <c r="DM484" s="3"/>
      <c r="DN484" s="3"/>
      <c r="DO484" s="3"/>
      <c r="DP484" s="3"/>
      <c r="DQ484" s="3"/>
      <c r="DR484" s="3"/>
      <c r="DS484" s="3"/>
      <c r="DT484" s="3"/>
      <c r="DU484" s="131"/>
      <c r="DV484" s="15"/>
      <c r="DW484" s="99"/>
      <c r="DX484" s="149"/>
      <c r="DY484" s="134"/>
      <c r="DZ484" s="134"/>
      <c r="EA484" s="137"/>
      <c r="EB484" s="150"/>
      <c r="EC484" s="137"/>
      <c r="ED484" s="137"/>
      <c r="EE484" s="3"/>
      <c r="EF484" s="138"/>
      <c r="EG484" s="2"/>
      <c r="EH484" s="139"/>
      <c r="EI484" s="3"/>
      <c r="EJ484" s="3"/>
      <c r="EK484" s="3"/>
      <c r="EL484" s="3"/>
      <c r="EM484" s="3"/>
      <c r="EN484" s="3"/>
      <c r="EO484" s="3"/>
      <c r="EP484" s="3"/>
      <c r="EQ484" s="3"/>
      <c r="ER484" s="3"/>
      <c r="ES484" s="131"/>
      <c r="ET484" s="15"/>
      <c r="EU484" s="99"/>
      <c r="EV484" s="149"/>
      <c r="EW484" s="134"/>
      <c r="EX484" s="134"/>
      <c r="EY484" s="137"/>
      <c r="EZ484" s="150"/>
      <c r="FA484" s="137"/>
      <c r="FB484" s="137"/>
      <c r="FC484" s="3"/>
      <c r="FD484" s="138"/>
      <c r="FE484" s="2"/>
      <c r="FF484" s="139"/>
      <c r="FG484" s="3"/>
      <c r="FH484" s="3"/>
      <c r="FI484" s="3"/>
      <c r="FJ484" s="3"/>
      <c r="FK484" s="3"/>
      <c r="FL484" s="3"/>
      <c r="FM484" s="3"/>
      <c r="FN484" s="3"/>
      <c r="FO484" s="3"/>
      <c r="FP484" s="3"/>
      <c r="FQ484" s="131"/>
      <c r="FR484" s="15"/>
      <c r="FS484" s="99"/>
      <c r="FT484" s="149"/>
      <c r="FU484" s="134"/>
      <c r="FV484" s="134"/>
      <c r="FW484" s="137"/>
      <c r="FX484" s="150"/>
      <c r="FY484" s="137"/>
      <c r="FZ484" s="137"/>
      <c r="GA484" s="3"/>
      <c r="GB484" s="138"/>
      <c r="GC484" s="2"/>
      <c r="GD484" s="139"/>
      <c r="GE484" s="3"/>
      <c r="GF484" s="3"/>
    </row>
    <row r="485" spans="1:188" s="125" customFormat="1" ht="13.5" customHeight="1">
      <c r="A485" s="76">
        <v>25</v>
      </c>
      <c r="B485" s="60"/>
      <c r="C485" s="18"/>
      <c r="D485" s="19" t="s">
        <v>1169</v>
      </c>
      <c r="E485" s="20"/>
      <c r="F485" s="168" t="s">
        <v>1352</v>
      </c>
      <c r="G485" s="63"/>
      <c r="H485" s="121"/>
      <c r="I485" s="24"/>
      <c r="J485" s="24">
        <v>28571</v>
      </c>
      <c r="K485" s="24">
        <f t="shared" si="30"/>
        <v>28571</v>
      </c>
      <c r="L485" s="123"/>
      <c r="M485" s="24">
        <v>28571</v>
      </c>
      <c r="N485" s="129">
        <f t="shared" si="32"/>
        <v>0</v>
      </c>
      <c r="O485" s="28" t="s">
        <v>1057</v>
      </c>
      <c r="P485" s="3"/>
      <c r="Q485" s="3"/>
      <c r="R485" s="3"/>
      <c r="S485" s="3"/>
      <c r="T485" s="3"/>
      <c r="U485" s="3"/>
      <c r="V485" s="131"/>
      <c r="W485" s="15"/>
      <c r="X485" s="3"/>
      <c r="Y485" s="3"/>
      <c r="Z485" s="3"/>
      <c r="AA485" s="3"/>
      <c r="AB485" s="3"/>
      <c r="AC485" s="131"/>
      <c r="AD485" s="15"/>
      <c r="AE485" s="99"/>
      <c r="AF485" s="149"/>
      <c r="AG485" s="134"/>
      <c r="AH485" s="134"/>
      <c r="AI485" s="137"/>
      <c r="AJ485" s="150"/>
      <c r="AK485" s="137"/>
      <c r="AL485" s="137"/>
      <c r="AM485" s="3"/>
      <c r="AN485" s="138"/>
      <c r="AO485" s="2"/>
      <c r="AP485" s="139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131"/>
      <c r="BB485" s="15"/>
      <c r="BC485" s="99"/>
      <c r="BD485" s="149"/>
      <c r="BE485" s="134"/>
      <c r="BF485" s="134"/>
      <c r="BG485" s="137"/>
      <c r="BH485" s="150"/>
      <c r="BI485" s="137"/>
      <c r="BJ485" s="137"/>
      <c r="BK485" s="3"/>
      <c r="BL485" s="138"/>
      <c r="BM485" s="2"/>
      <c r="BN485" s="139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131"/>
      <c r="BZ485" s="15"/>
      <c r="CA485" s="99"/>
      <c r="CB485" s="149"/>
      <c r="CC485" s="134"/>
      <c r="CD485" s="134"/>
      <c r="CE485" s="137"/>
      <c r="CF485" s="150"/>
      <c r="CG485" s="137"/>
      <c r="CH485" s="137"/>
      <c r="CI485" s="3"/>
      <c r="CJ485" s="138"/>
      <c r="CK485" s="2"/>
      <c r="CL485" s="139"/>
      <c r="CM485" s="3"/>
      <c r="CN485" s="3"/>
      <c r="CO485" s="3"/>
      <c r="CP485" s="3"/>
      <c r="CQ485" s="3"/>
      <c r="CR485" s="3"/>
      <c r="CS485" s="3"/>
      <c r="CT485" s="3"/>
      <c r="CU485" s="3"/>
      <c r="CV485" s="3"/>
      <c r="CW485" s="131"/>
      <c r="CX485" s="15"/>
      <c r="CY485" s="99"/>
      <c r="CZ485" s="149"/>
      <c r="DA485" s="134"/>
      <c r="DB485" s="134"/>
      <c r="DC485" s="137"/>
      <c r="DD485" s="150"/>
      <c r="DE485" s="137"/>
      <c r="DF485" s="137"/>
      <c r="DG485" s="3"/>
      <c r="DH485" s="138"/>
      <c r="DI485" s="2"/>
      <c r="DJ485" s="139"/>
      <c r="DK485" s="3"/>
      <c r="DL485" s="3"/>
      <c r="DM485" s="3"/>
      <c r="DN485" s="3"/>
      <c r="DO485" s="3"/>
      <c r="DP485" s="3"/>
      <c r="DQ485" s="3"/>
      <c r="DR485" s="3"/>
      <c r="DS485" s="3"/>
      <c r="DT485" s="3"/>
      <c r="DU485" s="131"/>
      <c r="DV485" s="15"/>
      <c r="DW485" s="99"/>
      <c r="DX485" s="149"/>
      <c r="DY485" s="134"/>
      <c r="DZ485" s="134"/>
      <c r="EA485" s="137"/>
      <c r="EB485" s="150"/>
      <c r="EC485" s="137"/>
      <c r="ED485" s="137"/>
      <c r="EE485" s="3"/>
      <c r="EF485" s="138"/>
      <c r="EG485" s="2"/>
      <c r="EH485" s="139"/>
      <c r="EI485" s="3"/>
      <c r="EJ485" s="3"/>
      <c r="EK485" s="3"/>
      <c r="EL485" s="3"/>
      <c r="EM485" s="3"/>
      <c r="EN485" s="3"/>
      <c r="EO485" s="3"/>
      <c r="EP485" s="3"/>
      <c r="EQ485" s="3"/>
      <c r="ER485" s="3"/>
      <c r="ES485" s="131"/>
      <c r="ET485" s="15"/>
      <c r="EU485" s="99"/>
      <c r="EV485" s="149"/>
      <c r="EW485" s="134"/>
      <c r="EX485" s="134"/>
      <c r="EY485" s="137"/>
      <c r="EZ485" s="150"/>
      <c r="FA485" s="137"/>
      <c r="FB485" s="137"/>
      <c r="FC485" s="3"/>
      <c r="FD485" s="138"/>
      <c r="FE485" s="2"/>
      <c r="FF485" s="139"/>
      <c r="FG485" s="3"/>
      <c r="FH485" s="3"/>
      <c r="FI485" s="3"/>
      <c r="FJ485" s="3"/>
      <c r="FK485" s="3"/>
      <c r="FL485" s="3"/>
      <c r="FM485" s="3"/>
      <c r="FN485" s="3"/>
      <c r="FO485" s="3"/>
      <c r="FP485" s="3"/>
      <c r="FQ485" s="131"/>
      <c r="FR485" s="15"/>
      <c r="FS485" s="99"/>
      <c r="FT485" s="149"/>
      <c r="FU485" s="134"/>
      <c r="FV485" s="134"/>
      <c r="FW485" s="137"/>
      <c r="FX485" s="150"/>
      <c r="FY485" s="137"/>
      <c r="FZ485" s="137"/>
      <c r="GA485" s="3"/>
      <c r="GB485" s="138"/>
      <c r="GC485" s="2"/>
      <c r="GD485" s="139"/>
      <c r="GE485" s="3"/>
      <c r="GF485" s="3"/>
    </row>
    <row r="486" spans="1:188" s="125" customFormat="1" ht="13.5" customHeight="1">
      <c r="A486" s="76">
        <v>26</v>
      </c>
      <c r="B486" s="60"/>
      <c r="C486" s="18"/>
      <c r="D486" s="19" t="s">
        <v>1169</v>
      </c>
      <c r="E486" s="20"/>
      <c r="F486" s="168" t="s">
        <v>1353</v>
      </c>
      <c r="G486" s="63"/>
      <c r="H486" s="121"/>
      <c r="I486" s="24"/>
      <c r="J486" s="24">
        <v>28571</v>
      </c>
      <c r="K486" s="24">
        <f t="shared" si="30"/>
        <v>28571</v>
      </c>
      <c r="L486" s="123"/>
      <c r="M486" s="24">
        <v>28571</v>
      </c>
      <c r="N486" s="129">
        <f t="shared" si="32"/>
        <v>0</v>
      </c>
      <c r="O486" s="28" t="s">
        <v>1057</v>
      </c>
      <c r="P486" s="3"/>
      <c r="Q486" s="3"/>
      <c r="R486" s="3"/>
      <c r="S486" s="3"/>
      <c r="T486" s="3"/>
      <c r="U486" s="3"/>
      <c r="V486" s="131"/>
      <c r="W486" s="15"/>
      <c r="X486" s="3"/>
      <c r="Y486" s="3"/>
      <c r="Z486" s="3"/>
      <c r="AA486" s="3"/>
      <c r="AB486" s="3"/>
      <c r="AC486" s="131"/>
      <c r="AD486" s="15"/>
      <c r="AE486" s="99"/>
      <c r="AF486" s="149"/>
      <c r="AG486" s="134"/>
      <c r="AH486" s="134"/>
      <c r="AI486" s="137"/>
      <c r="AJ486" s="150"/>
      <c r="AK486" s="137"/>
      <c r="AL486" s="137"/>
      <c r="AM486" s="3"/>
      <c r="AN486" s="138"/>
      <c r="AO486" s="2"/>
      <c r="AP486" s="139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131"/>
      <c r="BB486" s="15"/>
      <c r="BC486" s="99"/>
      <c r="BD486" s="149"/>
      <c r="BE486" s="134"/>
      <c r="BF486" s="134"/>
      <c r="BG486" s="137"/>
      <c r="BH486" s="150"/>
      <c r="BI486" s="137"/>
      <c r="BJ486" s="137"/>
      <c r="BK486" s="3"/>
      <c r="BL486" s="138"/>
      <c r="BM486" s="2"/>
      <c r="BN486" s="139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131"/>
      <c r="BZ486" s="15"/>
      <c r="CA486" s="99"/>
      <c r="CB486" s="149"/>
      <c r="CC486" s="134"/>
      <c r="CD486" s="134"/>
      <c r="CE486" s="137"/>
      <c r="CF486" s="150"/>
      <c r="CG486" s="137"/>
      <c r="CH486" s="137"/>
      <c r="CI486" s="3"/>
      <c r="CJ486" s="138"/>
      <c r="CK486" s="2"/>
      <c r="CL486" s="139"/>
      <c r="CM486" s="3"/>
      <c r="CN486" s="3"/>
      <c r="CO486" s="3"/>
      <c r="CP486" s="3"/>
      <c r="CQ486" s="3"/>
      <c r="CR486" s="3"/>
      <c r="CS486" s="3"/>
      <c r="CT486" s="3"/>
      <c r="CU486" s="3"/>
      <c r="CV486" s="3"/>
      <c r="CW486" s="131"/>
      <c r="CX486" s="15"/>
      <c r="CY486" s="99"/>
      <c r="CZ486" s="149"/>
      <c r="DA486" s="134"/>
      <c r="DB486" s="134"/>
      <c r="DC486" s="137"/>
      <c r="DD486" s="150"/>
      <c r="DE486" s="137"/>
      <c r="DF486" s="137"/>
      <c r="DG486" s="3"/>
      <c r="DH486" s="138"/>
      <c r="DI486" s="2"/>
      <c r="DJ486" s="139"/>
      <c r="DK486" s="3"/>
      <c r="DL486" s="3"/>
      <c r="DM486" s="3"/>
      <c r="DN486" s="3"/>
      <c r="DO486" s="3"/>
      <c r="DP486" s="3"/>
      <c r="DQ486" s="3"/>
      <c r="DR486" s="3"/>
      <c r="DS486" s="3"/>
      <c r="DT486" s="3"/>
      <c r="DU486" s="131"/>
      <c r="DV486" s="15"/>
      <c r="DW486" s="99"/>
      <c r="DX486" s="149"/>
      <c r="DY486" s="134"/>
      <c r="DZ486" s="134"/>
      <c r="EA486" s="137"/>
      <c r="EB486" s="150"/>
      <c r="EC486" s="137"/>
      <c r="ED486" s="137"/>
      <c r="EE486" s="3"/>
      <c r="EF486" s="138"/>
      <c r="EG486" s="2"/>
      <c r="EH486" s="139"/>
      <c r="EI486" s="3"/>
      <c r="EJ486" s="3"/>
      <c r="EK486" s="3"/>
      <c r="EL486" s="3"/>
      <c r="EM486" s="3"/>
      <c r="EN486" s="3"/>
      <c r="EO486" s="3"/>
      <c r="EP486" s="3"/>
      <c r="EQ486" s="3"/>
      <c r="ER486" s="3"/>
      <c r="ES486" s="131"/>
      <c r="ET486" s="15"/>
      <c r="EU486" s="99"/>
      <c r="EV486" s="149"/>
      <c r="EW486" s="134"/>
      <c r="EX486" s="134"/>
      <c r="EY486" s="137"/>
      <c r="EZ486" s="150"/>
      <c r="FA486" s="137"/>
      <c r="FB486" s="137"/>
      <c r="FC486" s="3"/>
      <c r="FD486" s="138"/>
      <c r="FE486" s="2"/>
      <c r="FF486" s="139"/>
      <c r="FG486" s="3"/>
      <c r="FH486" s="3"/>
      <c r="FI486" s="3"/>
      <c r="FJ486" s="3"/>
      <c r="FK486" s="3"/>
      <c r="FL486" s="3"/>
      <c r="FM486" s="3"/>
      <c r="FN486" s="3"/>
      <c r="FO486" s="3"/>
      <c r="FP486" s="3"/>
      <c r="FQ486" s="131"/>
      <c r="FR486" s="15"/>
      <c r="FS486" s="99"/>
      <c r="FT486" s="149"/>
      <c r="FU486" s="134"/>
      <c r="FV486" s="134"/>
      <c r="FW486" s="137"/>
      <c r="FX486" s="150"/>
      <c r="FY486" s="137"/>
      <c r="FZ486" s="137"/>
      <c r="GA486" s="3"/>
      <c r="GB486" s="138"/>
      <c r="GC486" s="2"/>
      <c r="GD486" s="139"/>
      <c r="GE486" s="3"/>
      <c r="GF486" s="3"/>
    </row>
    <row r="487" spans="1:188" s="125" customFormat="1" ht="13.5" customHeight="1">
      <c r="A487" s="76">
        <v>27</v>
      </c>
      <c r="B487" s="60"/>
      <c r="C487" s="18"/>
      <c r="D487" s="19" t="s">
        <v>1169</v>
      </c>
      <c r="E487" s="20"/>
      <c r="F487" s="168" t="s">
        <v>1354</v>
      </c>
      <c r="G487" s="63"/>
      <c r="H487" s="121"/>
      <c r="I487" s="24"/>
      <c r="J487" s="24">
        <v>28571</v>
      </c>
      <c r="K487" s="24">
        <f t="shared" si="30"/>
        <v>28571</v>
      </c>
      <c r="L487" s="123"/>
      <c r="M487" s="24">
        <v>28571</v>
      </c>
      <c r="N487" s="129">
        <f t="shared" si="32"/>
        <v>0</v>
      </c>
      <c r="O487" s="28" t="s">
        <v>1057</v>
      </c>
      <c r="P487" s="3"/>
      <c r="Q487" s="3"/>
      <c r="R487" s="3"/>
      <c r="S487" s="3"/>
      <c r="T487" s="3"/>
      <c r="U487" s="3"/>
      <c r="V487" s="131"/>
      <c r="W487" s="15"/>
      <c r="X487" s="3"/>
      <c r="Y487" s="3"/>
      <c r="Z487" s="3"/>
      <c r="AA487" s="3"/>
      <c r="AB487" s="3"/>
      <c r="AC487" s="131"/>
      <c r="AD487" s="15"/>
      <c r="AE487" s="99"/>
      <c r="AF487" s="149"/>
      <c r="AG487" s="134"/>
      <c r="AH487" s="134"/>
      <c r="AI487" s="137"/>
      <c r="AJ487" s="150"/>
      <c r="AK487" s="137"/>
      <c r="AL487" s="137"/>
      <c r="AM487" s="3"/>
      <c r="AN487" s="138"/>
      <c r="AO487" s="2"/>
      <c r="AP487" s="139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131"/>
      <c r="BB487" s="15"/>
      <c r="BC487" s="99"/>
      <c r="BD487" s="149"/>
      <c r="BE487" s="134"/>
      <c r="BF487" s="134"/>
      <c r="BG487" s="137"/>
      <c r="BH487" s="150"/>
      <c r="BI487" s="137"/>
      <c r="BJ487" s="137"/>
      <c r="BK487" s="3"/>
      <c r="BL487" s="138"/>
      <c r="BM487" s="2"/>
      <c r="BN487" s="139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131"/>
      <c r="BZ487" s="15"/>
      <c r="CA487" s="99"/>
      <c r="CB487" s="149"/>
      <c r="CC487" s="134"/>
      <c r="CD487" s="134"/>
      <c r="CE487" s="137"/>
      <c r="CF487" s="150"/>
      <c r="CG487" s="137"/>
      <c r="CH487" s="137"/>
      <c r="CI487" s="3"/>
      <c r="CJ487" s="138"/>
      <c r="CK487" s="2"/>
      <c r="CL487" s="139"/>
      <c r="CM487" s="3"/>
      <c r="CN487" s="3"/>
      <c r="CO487" s="3"/>
      <c r="CP487" s="3"/>
      <c r="CQ487" s="3"/>
      <c r="CR487" s="3"/>
      <c r="CS487" s="3"/>
      <c r="CT487" s="3"/>
      <c r="CU487" s="3"/>
      <c r="CV487" s="3"/>
      <c r="CW487" s="131"/>
      <c r="CX487" s="15"/>
      <c r="CY487" s="99"/>
      <c r="CZ487" s="149"/>
      <c r="DA487" s="134"/>
      <c r="DB487" s="134"/>
      <c r="DC487" s="137"/>
      <c r="DD487" s="150"/>
      <c r="DE487" s="137"/>
      <c r="DF487" s="137"/>
      <c r="DG487" s="3"/>
      <c r="DH487" s="138"/>
      <c r="DI487" s="2"/>
      <c r="DJ487" s="139"/>
      <c r="DK487" s="3"/>
      <c r="DL487" s="3"/>
      <c r="DM487" s="3"/>
      <c r="DN487" s="3"/>
      <c r="DO487" s="3"/>
      <c r="DP487" s="3"/>
      <c r="DQ487" s="3"/>
      <c r="DR487" s="3"/>
      <c r="DS487" s="3"/>
      <c r="DT487" s="3"/>
      <c r="DU487" s="131"/>
      <c r="DV487" s="15"/>
      <c r="DW487" s="99"/>
      <c r="DX487" s="149"/>
      <c r="DY487" s="134"/>
      <c r="DZ487" s="134"/>
      <c r="EA487" s="137"/>
      <c r="EB487" s="150"/>
      <c r="EC487" s="137"/>
      <c r="ED487" s="137"/>
      <c r="EE487" s="3"/>
      <c r="EF487" s="138"/>
      <c r="EG487" s="2"/>
      <c r="EH487" s="139"/>
      <c r="EI487" s="3"/>
      <c r="EJ487" s="3"/>
      <c r="EK487" s="3"/>
      <c r="EL487" s="3"/>
      <c r="EM487" s="3"/>
      <c r="EN487" s="3"/>
      <c r="EO487" s="3"/>
      <c r="EP487" s="3"/>
      <c r="EQ487" s="3"/>
      <c r="ER487" s="3"/>
      <c r="ES487" s="131"/>
      <c r="ET487" s="15"/>
      <c r="EU487" s="99"/>
      <c r="EV487" s="149"/>
      <c r="EW487" s="134"/>
      <c r="EX487" s="134"/>
      <c r="EY487" s="137"/>
      <c r="EZ487" s="150"/>
      <c r="FA487" s="137"/>
      <c r="FB487" s="137"/>
      <c r="FC487" s="3"/>
      <c r="FD487" s="138"/>
      <c r="FE487" s="2"/>
      <c r="FF487" s="139"/>
      <c r="FG487" s="3"/>
      <c r="FH487" s="3"/>
      <c r="FI487" s="3"/>
      <c r="FJ487" s="3"/>
      <c r="FK487" s="3"/>
      <c r="FL487" s="3"/>
      <c r="FM487" s="3"/>
      <c r="FN487" s="3"/>
      <c r="FO487" s="3"/>
      <c r="FP487" s="3"/>
      <c r="FQ487" s="131"/>
      <c r="FR487" s="15"/>
      <c r="FS487" s="99"/>
      <c r="FT487" s="149"/>
      <c r="FU487" s="134"/>
      <c r="FV487" s="134"/>
      <c r="FW487" s="137"/>
      <c r="FX487" s="150"/>
      <c r="FY487" s="137"/>
      <c r="FZ487" s="137"/>
      <c r="GA487" s="3"/>
      <c r="GB487" s="138"/>
      <c r="GC487" s="2"/>
      <c r="GD487" s="139"/>
      <c r="GE487" s="3"/>
      <c r="GF487" s="3"/>
    </row>
    <row r="488" spans="1:188" s="125" customFormat="1" ht="13.5" customHeight="1">
      <c r="A488" s="76">
        <v>28</v>
      </c>
      <c r="B488" s="60"/>
      <c r="C488" s="18"/>
      <c r="D488" s="19" t="s">
        <v>1169</v>
      </c>
      <c r="E488" s="20"/>
      <c r="F488" s="168" t="s">
        <v>1355</v>
      </c>
      <c r="G488" s="63"/>
      <c r="H488" s="121"/>
      <c r="I488" s="24"/>
      <c r="J488" s="24">
        <v>28571</v>
      </c>
      <c r="K488" s="24">
        <f t="shared" si="30"/>
        <v>28571</v>
      </c>
      <c r="L488" s="123"/>
      <c r="M488" s="24">
        <v>28571</v>
      </c>
      <c r="N488" s="129">
        <f t="shared" si="32"/>
        <v>0</v>
      </c>
      <c r="O488" s="28" t="s">
        <v>1057</v>
      </c>
      <c r="P488" s="3"/>
      <c r="Q488" s="3"/>
      <c r="R488" s="3"/>
      <c r="S488" s="3"/>
      <c r="T488" s="3"/>
      <c r="U488" s="3"/>
      <c r="V488" s="131"/>
      <c r="W488" s="15"/>
      <c r="X488" s="3"/>
      <c r="Y488" s="3"/>
      <c r="Z488" s="3"/>
      <c r="AA488" s="3"/>
      <c r="AB488" s="3"/>
      <c r="AC488" s="131"/>
      <c r="AD488" s="15"/>
      <c r="AE488" s="99"/>
      <c r="AF488" s="149"/>
      <c r="AG488" s="134"/>
      <c r="AH488" s="134"/>
      <c r="AI488" s="137"/>
      <c r="AJ488" s="150"/>
      <c r="AK488" s="137"/>
      <c r="AL488" s="137"/>
      <c r="AM488" s="3"/>
      <c r="AN488" s="138"/>
      <c r="AO488" s="2"/>
      <c r="AP488" s="139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131"/>
      <c r="BB488" s="15"/>
      <c r="BC488" s="99"/>
      <c r="BD488" s="149"/>
      <c r="BE488" s="134"/>
      <c r="BF488" s="134"/>
      <c r="BG488" s="137"/>
      <c r="BH488" s="150"/>
      <c r="BI488" s="137"/>
      <c r="BJ488" s="137"/>
      <c r="BK488" s="3"/>
      <c r="BL488" s="138"/>
      <c r="BM488" s="2"/>
      <c r="BN488" s="139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131"/>
      <c r="BZ488" s="15"/>
      <c r="CA488" s="99"/>
      <c r="CB488" s="149"/>
      <c r="CC488" s="134"/>
      <c r="CD488" s="134"/>
      <c r="CE488" s="137"/>
      <c r="CF488" s="150"/>
      <c r="CG488" s="137"/>
      <c r="CH488" s="137"/>
      <c r="CI488" s="3"/>
      <c r="CJ488" s="138"/>
      <c r="CK488" s="2"/>
      <c r="CL488" s="139"/>
      <c r="CM488" s="3"/>
      <c r="CN488" s="3"/>
      <c r="CO488" s="3"/>
      <c r="CP488" s="3"/>
      <c r="CQ488" s="3"/>
      <c r="CR488" s="3"/>
      <c r="CS488" s="3"/>
      <c r="CT488" s="3"/>
      <c r="CU488" s="3"/>
      <c r="CV488" s="3"/>
      <c r="CW488" s="131"/>
      <c r="CX488" s="15"/>
      <c r="CY488" s="99"/>
      <c r="CZ488" s="149"/>
      <c r="DA488" s="134"/>
      <c r="DB488" s="134"/>
      <c r="DC488" s="137"/>
      <c r="DD488" s="150"/>
      <c r="DE488" s="137"/>
      <c r="DF488" s="137"/>
      <c r="DG488" s="3"/>
      <c r="DH488" s="138"/>
      <c r="DI488" s="2"/>
      <c r="DJ488" s="139"/>
      <c r="DK488" s="3"/>
      <c r="DL488" s="3"/>
      <c r="DM488" s="3"/>
      <c r="DN488" s="3"/>
      <c r="DO488" s="3"/>
      <c r="DP488" s="3"/>
      <c r="DQ488" s="3"/>
      <c r="DR488" s="3"/>
      <c r="DS488" s="3"/>
      <c r="DT488" s="3"/>
      <c r="DU488" s="131"/>
      <c r="DV488" s="15"/>
      <c r="DW488" s="99"/>
      <c r="DX488" s="149"/>
      <c r="DY488" s="134"/>
      <c r="DZ488" s="134"/>
      <c r="EA488" s="137"/>
      <c r="EB488" s="150"/>
      <c r="EC488" s="137"/>
      <c r="ED488" s="137"/>
      <c r="EE488" s="3"/>
      <c r="EF488" s="138"/>
      <c r="EG488" s="2"/>
      <c r="EH488" s="139"/>
      <c r="EI488" s="3"/>
      <c r="EJ488" s="3"/>
      <c r="EK488" s="3"/>
      <c r="EL488" s="3"/>
      <c r="EM488" s="3"/>
      <c r="EN488" s="3"/>
      <c r="EO488" s="3"/>
      <c r="EP488" s="3"/>
      <c r="EQ488" s="3"/>
      <c r="ER488" s="3"/>
      <c r="ES488" s="131"/>
      <c r="ET488" s="15"/>
      <c r="EU488" s="99"/>
      <c r="EV488" s="149"/>
      <c r="EW488" s="134"/>
      <c r="EX488" s="134"/>
      <c r="EY488" s="137"/>
      <c r="EZ488" s="150"/>
      <c r="FA488" s="137"/>
      <c r="FB488" s="137"/>
      <c r="FC488" s="3"/>
      <c r="FD488" s="138"/>
      <c r="FE488" s="2"/>
      <c r="FF488" s="139"/>
      <c r="FG488" s="3"/>
      <c r="FH488" s="3"/>
      <c r="FI488" s="3"/>
      <c r="FJ488" s="3"/>
      <c r="FK488" s="3"/>
      <c r="FL488" s="3"/>
      <c r="FM488" s="3"/>
      <c r="FN488" s="3"/>
      <c r="FO488" s="3"/>
      <c r="FP488" s="3"/>
      <c r="FQ488" s="131"/>
      <c r="FR488" s="15"/>
      <c r="FS488" s="99"/>
      <c r="FT488" s="149"/>
      <c r="FU488" s="134"/>
      <c r="FV488" s="134"/>
      <c r="FW488" s="137"/>
      <c r="FX488" s="150"/>
      <c r="FY488" s="137"/>
      <c r="FZ488" s="137"/>
      <c r="GA488" s="3"/>
      <c r="GB488" s="138"/>
      <c r="GC488" s="2"/>
      <c r="GD488" s="139"/>
      <c r="GE488" s="3"/>
      <c r="GF488" s="3"/>
    </row>
    <row r="489" spans="1:188" s="125" customFormat="1" ht="13.5" customHeight="1">
      <c r="A489" s="76">
        <v>29</v>
      </c>
      <c r="B489" s="60"/>
      <c r="C489" s="18"/>
      <c r="D489" s="19" t="s">
        <v>1169</v>
      </c>
      <c r="E489" s="20"/>
      <c r="F489" s="168" t="s">
        <v>1356</v>
      </c>
      <c r="G489" s="63"/>
      <c r="H489" s="121"/>
      <c r="I489" s="24"/>
      <c r="J489" s="24">
        <v>28571</v>
      </c>
      <c r="K489" s="24">
        <f t="shared" ref="K489:K501" si="35">I489+J489</f>
        <v>28571</v>
      </c>
      <c r="L489" s="123"/>
      <c r="M489" s="24">
        <v>28571</v>
      </c>
      <c r="N489" s="129">
        <f t="shared" ref="N489:N501" si="36">K489-M489</f>
        <v>0</v>
      </c>
      <c r="O489" s="28" t="s">
        <v>1057</v>
      </c>
      <c r="P489" s="3"/>
      <c r="Q489" s="3"/>
      <c r="R489" s="3"/>
      <c r="S489" s="3"/>
      <c r="T489" s="3"/>
      <c r="U489" s="3"/>
      <c r="V489" s="131"/>
      <c r="W489" s="15"/>
      <c r="X489" s="3"/>
      <c r="Y489" s="3"/>
      <c r="Z489" s="3"/>
      <c r="AA489" s="3"/>
      <c r="AB489" s="3"/>
      <c r="AC489" s="131"/>
      <c r="AD489" s="15"/>
      <c r="AE489" s="99"/>
      <c r="AF489" s="149"/>
      <c r="AG489" s="134"/>
      <c r="AH489" s="134"/>
      <c r="AI489" s="137"/>
      <c r="AJ489" s="150"/>
      <c r="AK489" s="137"/>
      <c r="AL489" s="137"/>
      <c r="AM489" s="3"/>
      <c r="AN489" s="138"/>
      <c r="AO489" s="2"/>
      <c r="AP489" s="139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131"/>
      <c r="BB489" s="15"/>
      <c r="BC489" s="99"/>
      <c r="BD489" s="149"/>
      <c r="BE489" s="134"/>
      <c r="BF489" s="134"/>
      <c r="BG489" s="137"/>
      <c r="BH489" s="150"/>
      <c r="BI489" s="137"/>
      <c r="BJ489" s="137"/>
      <c r="BK489" s="3"/>
      <c r="BL489" s="138"/>
      <c r="BM489" s="2"/>
      <c r="BN489" s="139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131"/>
      <c r="BZ489" s="15"/>
      <c r="CA489" s="99"/>
      <c r="CB489" s="149"/>
      <c r="CC489" s="134"/>
      <c r="CD489" s="134"/>
      <c r="CE489" s="137"/>
      <c r="CF489" s="150"/>
      <c r="CG489" s="137"/>
      <c r="CH489" s="137"/>
      <c r="CI489" s="3"/>
      <c r="CJ489" s="138"/>
      <c r="CK489" s="2"/>
      <c r="CL489" s="139"/>
      <c r="CM489" s="3"/>
      <c r="CN489" s="3"/>
      <c r="CO489" s="3"/>
      <c r="CP489" s="3"/>
      <c r="CQ489" s="3"/>
      <c r="CR489" s="3"/>
      <c r="CS489" s="3"/>
      <c r="CT489" s="3"/>
      <c r="CU489" s="3"/>
      <c r="CV489" s="3"/>
      <c r="CW489" s="131"/>
      <c r="CX489" s="15"/>
      <c r="CY489" s="99"/>
      <c r="CZ489" s="149"/>
      <c r="DA489" s="134"/>
      <c r="DB489" s="134"/>
      <c r="DC489" s="137"/>
      <c r="DD489" s="150"/>
      <c r="DE489" s="137"/>
      <c r="DF489" s="137"/>
      <c r="DG489" s="3"/>
      <c r="DH489" s="138"/>
      <c r="DI489" s="2"/>
      <c r="DJ489" s="139"/>
      <c r="DK489" s="3"/>
      <c r="DL489" s="3"/>
      <c r="DM489" s="3"/>
      <c r="DN489" s="3"/>
      <c r="DO489" s="3"/>
      <c r="DP489" s="3"/>
      <c r="DQ489" s="3"/>
      <c r="DR489" s="3"/>
      <c r="DS489" s="3"/>
      <c r="DT489" s="3"/>
      <c r="DU489" s="131"/>
      <c r="DV489" s="15"/>
      <c r="DW489" s="99"/>
      <c r="DX489" s="149"/>
      <c r="DY489" s="134"/>
      <c r="DZ489" s="134"/>
      <c r="EA489" s="137"/>
      <c r="EB489" s="150"/>
      <c r="EC489" s="137"/>
      <c r="ED489" s="137"/>
      <c r="EE489" s="3"/>
      <c r="EF489" s="138"/>
      <c r="EG489" s="2"/>
      <c r="EH489" s="139"/>
      <c r="EI489" s="3"/>
      <c r="EJ489" s="3"/>
      <c r="EK489" s="3"/>
      <c r="EL489" s="3"/>
      <c r="EM489" s="3"/>
      <c r="EN489" s="3"/>
      <c r="EO489" s="3"/>
      <c r="EP489" s="3"/>
      <c r="EQ489" s="3"/>
      <c r="ER489" s="3"/>
      <c r="ES489" s="131"/>
      <c r="ET489" s="15"/>
      <c r="EU489" s="99"/>
      <c r="EV489" s="149"/>
      <c r="EW489" s="134"/>
      <c r="EX489" s="134"/>
      <c r="EY489" s="137"/>
      <c r="EZ489" s="150"/>
      <c r="FA489" s="137"/>
      <c r="FB489" s="137"/>
      <c r="FC489" s="3"/>
      <c r="FD489" s="138"/>
      <c r="FE489" s="2"/>
      <c r="FF489" s="139"/>
      <c r="FG489" s="3"/>
      <c r="FH489" s="3"/>
      <c r="FI489" s="3"/>
      <c r="FJ489" s="3"/>
      <c r="FK489" s="3"/>
      <c r="FL489" s="3"/>
      <c r="FM489" s="3"/>
      <c r="FN489" s="3"/>
      <c r="FO489" s="3"/>
      <c r="FP489" s="3"/>
      <c r="FQ489" s="131"/>
      <c r="FR489" s="15"/>
      <c r="FS489" s="99"/>
      <c r="FT489" s="149"/>
      <c r="FU489" s="134"/>
      <c r="FV489" s="134"/>
      <c r="FW489" s="137"/>
      <c r="FX489" s="150"/>
      <c r="FY489" s="137"/>
      <c r="FZ489" s="137"/>
      <c r="GA489" s="3"/>
      <c r="GB489" s="138"/>
      <c r="GC489" s="2"/>
      <c r="GD489" s="139"/>
      <c r="GE489" s="3"/>
      <c r="GF489" s="3"/>
    </row>
    <row r="490" spans="1:188" s="125" customFormat="1" ht="13.5" customHeight="1">
      <c r="A490" s="76">
        <v>30</v>
      </c>
      <c r="B490" s="60"/>
      <c r="C490" s="18"/>
      <c r="D490" s="19" t="s">
        <v>1169</v>
      </c>
      <c r="E490" s="20"/>
      <c r="F490" s="168" t="s">
        <v>1357</v>
      </c>
      <c r="G490" s="63"/>
      <c r="H490" s="121"/>
      <c r="I490" s="24"/>
      <c r="J490" s="24">
        <v>28571</v>
      </c>
      <c r="K490" s="24">
        <f t="shared" si="35"/>
        <v>28571</v>
      </c>
      <c r="L490" s="123"/>
      <c r="M490" s="24">
        <v>28571</v>
      </c>
      <c r="N490" s="129">
        <f t="shared" si="36"/>
        <v>0</v>
      </c>
      <c r="O490" s="28" t="s">
        <v>1057</v>
      </c>
      <c r="P490" s="3"/>
      <c r="Q490" s="3"/>
      <c r="R490" s="3"/>
      <c r="S490" s="3"/>
      <c r="T490" s="3"/>
      <c r="U490" s="3"/>
      <c r="V490" s="131"/>
      <c r="W490" s="15"/>
      <c r="X490" s="3"/>
      <c r="Y490" s="3"/>
      <c r="Z490" s="3"/>
      <c r="AA490" s="3"/>
      <c r="AB490" s="3"/>
      <c r="AC490" s="131"/>
      <c r="AD490" s="15"/>
      <c r="AE490" s="99"/>
      <c r="AF490" s="149"/>
      <c r="AG490" s="134"/>
      <c r="AH490" s="134"/>
      <c r="AI490" s="137"/>
      <c r="AJ490" s="150"/>
      <c r="AK490" s="137"/>
      <c r="AL490" s="137"/>
      <c r="AM490" s="3"/>
      <c r="AN490" s="138"/>
      <c r="AO490" s="2"/>
      <c r="AP490" s="139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131"/>
      <c r="BB490" s="15"/>
      <c r="BC490" s="99"/>
      <c r="BD490" s="149"/>
      <c r="BE490" s="134"/>
      <c r="BF490" s="134"/>
      <c r="BG490" s="137"/>
      <c r="BH490" s="150"/>
      <c r="BI490" s="137"/>
      <c r="BJ490" s="137"/>
      <c r="BK490" s="3"/>
      <c r="BL490" s="138"/>
      <c r="BM490" s="2"/>
      <c r="BN490" s="139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131"/>
      <c r="BZ490" s="15"/>
      <c r="CA490" s="99"/>
      <c r="CB490" s="149"/>
      <c r="CC490" s="134"/>
      <c r="CD490" s="134"/>
      <c r="CE490" s="137"/>
      <c r="CF490" s="150"/>
      <c r="CG490" s="137"/>
      <c r="CH490" s="137"/>
      <c r="CI490" s="3"/>
      <c r="CJ490" s="138"/>
      <c r="CK490" s="2"/>
      <c r="CL490" s="139"/>
      <c r="CM490" s="3"/>
      <c r="CN490" s="3"/>
      <c r="CO490" s="3"/>
      <c r="CP490" s="3"/>
      <c r="CQ490" s="3"/>
      <c r="CR490" s="3"/>
      <c r="CS490" s="3"/>
      <c r="CT490" s="3"/>
      <c r="CU490" s="3"/>
      <c r="CV490" s="3"/>
      <c r="CW490" s="131"/>
      <c r="CX490" s="15"/>
      <c r="CY490" s="99"/>
      <c r="CZ490" s="149"/>
      <c r="DA490" s="134"/>
      <c r="DB490" s="134"/>
      <c r="DC490" s="137"/>
      <c r="DD490" s="150"/>
      <c r="DE490" s="137"/>
      <c r="DF490" s="137"/>
      <c r="DG490" s="3"/>
      <c r="DH490" s="138"/>
      <c r="DI490" s="2"/>
      <c r="DJ490" s="139"/>
      <c r="DK490" s="3"/>
      <c r="DL490" s="3"/>
      <c r="DM490" s="3"/>
      <c r="DN490" s="3"/>
      <c r="DO490" s="3"/>
      <c r="DP490" s="3"/>
      <c r="DQ490" s="3"/>
      <c r="DR490" s="3"/>
      <c r="DS490" s="3"/>
      <c r="DT490" s="3"/>
      <c r="DU490" s="131"/>
      <c r="DV490" s="15"/>
      <c r="DW490" s="99"/>
      <c r="DX490" s="149"/>
      <c r="DY490" s="134"/>
      <c r="DZ490" s="134"/>
      <c r="EA490" s="137"/>
      <c r="EB490" s="150"/>
      <c r="EC490" s="137"/>
      <c r="ED490" s="137"/>
      <c r="EE490" s="3"/>
      <c r="EF490" s="138"/>
      <c r="EG490" s="2"/>
      <c r="EH490" s="139"/>
      <c r="EI490" s="3"/>
      <c r="EJ490" s="3"/>
      <c r="EK490" s="3"/>
      <c r="EL490" s="3"/>
      <c r="EM490" s="3"/>
      <c r="EN490" s="3"/>
      <c r="EO490" s="3"/>
      <c r="EP490" s="3"/>
      <c r="EQ490" s="3"/>
      <c r="ER490" s="3"/>
      <c r="ES490" s="131"/>
      <c r="ET490" s="15"/>
      <c r="EU490" s="99"/>
      <c r="EV490" s="149"/>
      <c r="EW490" s="134"/>
      <c r="EX490" s="134"/>
      <c r="EY490" s="137"/>
      <c r="EZ490" s="150"/>
      <c r="FA490" s="137"/>
      <c r="FB490" s="137"/>
      <c r="FC490" s="3"/>
      <c r="FD490" s="138"/>
      <c r="FE490" s="2"/>
      <c r="FF490" s="139"/>
      <c r="FG490" s="3"/>
      <c r="FH490" s="3"/>
      <c r="FI490" s="3"/>
      <c r="FJ490" s="3"/>
      <c r="FK490" s="3"/>
      <c r="FL490" s="3"/>
      <c r="FM490" s="3"/>
      <c r="FN490" s="3"/>
      <c r="FO490" s="3"/>
      <c r="FP490" s="3"/>
      <c r="FQ490" s="131"/>
      <c r="FR490" s="15"/>
      <c r="FS490" s="99"/>
      <c r="FT490" s="149"/>
      <c r="FU490" s="134"/>
      <c r="FV490" s="134"/>
      <c r="FW490" s="137"/>
      <c r="FX490" s="150"/>
      <c r="FY490" s="137"/>
      <c r="FZ490" s="137"/>
      <c r="GA490" s="3"/>
      <c r="GB490" s="138"/>
      <c r="GC490" s="2"/>
      <c r="GD490" s="139"/>
      <c r="GE490" s="3"/>
      <c r="GF490" s="3"/>
    </row>
    <row r="491" spans="1:188" s="125" customFormat="1" ht="13.5" customHeight="1">
      <c r="A491" s="76">
        <v>31</v>
      </c>
      <c r="B491" s="83"/>
      <c r="C491" s="18"/>
      <c r="D491" s="19" t="s">
        <v>1169</v>
      </c>
      <c r="E491" s="20"/>
      <c r="F491" s="62" t="s">
        <v>1358</v>
      </c>
      <c r="G491" s="63"/>
      <c r="H491" s="121"/>
      <c r="I491" s="24"/>
      <c r="J491" s="24">
        <v>28571</v>
      </c>
      <c r="K491" s="24">
        <f t="shared" si="35"/>
        <v>28571</v>
      </c>
      <c r="L491" s="123"/>
      <c r="M491" s="24">
        <v>28571</v>
      </c>
      <c r="N491" s="129">
        <f t="shared" si="36"/>
        <v>0</v>
      </c>
      <c r="O491" s="28" t="s">
        <v>1057</v>
      </c>
      <c r="P491" s="3"/>
      <c r="Q491" s="3"/>
      <c r="R491" s="3"/>
      <c r="S491" s="3"/>
      <c r="T491" s="3"/>
      <c r="U491" s="3"/>
      <c r="V491" s="131"/>
      <c r="W491" s="15"/>
      <c r="X491" s="3"/>
      <c r="Y491" s="3"/>
      <c r="Z491" s="3"/>
      <c r="AA491" s="3"/>
      <c r="AB491" s="3"/>
      <c r="AC491" s="131"/>
      <c r="AD491" s="15"/>
      <c r="AE491" s="99"/>
      <c r="AF491" s="149"/>
      <c r="AG491" s="134"/>
      <c r="AH491" s="134"/>
      <c r="AI491" s="137"/>
      <c r="AJ491" s="150"/>
      <c r="AK491" s="137"/>
      <c r="AL491" s="137"/>
      <c r="AM491" s="3"/>
      <c r="AN491" s="138"/>
      <c r="AO491" s="2"/>
      <c r="AP491" s="139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131"/>
      <c r="BB491" s="15"/>
      <c r="BC491" s="99"/>
      <c r="BD491" s="149"/>
      <c r="BE491" s="134"/>
      <c r="BF491" s="134"/>
      <c r="BG491" s="137"/>
      <c r="BH491" s="150"/>
      <c r="BI491" s="137"/>
      <c r="BJ491" s="137"/>
      <c r="BK491" s="3"/>
      <c r="BL491" s="138"/>
      <c r="BM491" s="2"/>
      <c r="BN491" s="139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131"/>
      <c r="BZ491" s="15"/>
      <c r="CA491" s="99"/>
      <c r="CB491" s="149"/>
      <c r="CC491" s="134"/>
      <c r="CD491" s="134"/>
      <c r="CE491" s="137"/>
      <c r="CF491" s="150"/>
      <c r="CG491" s="137"/>
      <c r="CH491" s="137"/>
      <c r="CI491" s="3"/>
      <c r="CJ491" s="138"/>
      <c r="CK491" s="2"/>
      <c r="CL491" s="139"/>
      <c r="CM491" s="3"/>
      <c r="CN491" s="3"/>
      <c r="CO491" s="3"/>
      <c r="CP491" s="3"/>
      <c r="CQ491" s="3"/>
      <c r="CR491" s="3"/>
      <c r="CS491" s="3"/>
      <c r="CT491" s="3"/>
      <c r="CU491" s="3"/>
      <c r="CV491" s="3"/>
      <c r="CW491" s="131"/>
      <c r="CX491" s="15"/>
      <c r="CY491" s="99"/>
      <c r="CZ491" s="149"/>
      <c r="DA491" s="134"/>
      <c r="DB491" s="134"/>
      <c r="DC491" s="137"/>
      <c r="DD491" s="150"/>
      <c r="DE491" s="137"/>
      <c r="DF491" s="137"/>
      <c r="DG491" s="3"/>
      <c r="DH491" s="138"/>
      <c r="DI491" s="2"/>
      <c r="DJ491" s="139"/>
      <c r="DK491" s="3"/>
      <c r="DL491" s="3"/>
      <c r="DM491" s="3"/>
      <c r="DN491" s="3"/>
      <c r="DO491" s="3"/>
      <c r="DP491" s="3"/>
      <c r="DQ491" s="3"/>
      <c r="DR491" s="3"/>
      <c r="DS491" s="3"/>
      <c r="DT491" s="3"/>
      <c r="DU491" s="131"/>
      <c r="DV491" s="15"/>
      <c r="DW491" s="99"/>
      <c r="DX491" s="149"/>
      <c r="DY491" s="134"/>
      <c r="DZ491" s="134"/>
      <c r="EA491" s="137"/>
      <c r="EB491" s="150"/>
      <c r="EC491" s="137"/>
      <c r="ED491" s="137"/>
      <c r="EE491" s="3"/>
      <c r="EF491" s="138"/>
      <c r="EG491" s="2"/>
      <c r="EH491" s="139"/>
      <c r="EI491" s="3"/>
      <c r="EJ491" s="3"/>
      <c r="EK491" s="3"/>
      <c r="EL491" s="3"/>
      <c r="EM491" s="3"/>
      <c r="EN491" s="3"/>
      <c r="EO491" s="3"/>
      <c r="EP491" s="3"/>
      <c r="EQ491" s="3"/>
      <c r="ER491" s="3"/>
      <c r="ES491" s="131"/>
      <c r="ET491" s="15"/>
      <c r="EU491" s="99"/>
      <c r="EV491" s="149"/>
      <c r="EW491" s="134"/>
      <c r="EX491" s="134"/>
      <c r="EY491" s="137"/>
      <c r="EZ491" s="150"/>
      <c r="FA491" s="137"/>
      <c r="FB491" s="137"/>
      <c r="FC491" s="3"/>
      <c r="FD491" s="138"/>
      <c r="FE491" s="2"/>
      <c r="FF491" s="139"/>
      <c r="FG491" s="3"/>
      <c r="FH491" s="3"/>
      <c r="FI491" s="3"/>
      <c r="FJ491" s="3"/>
      <c r="FK491" s="3"/>
      <c r="FL491" s="3"/>
      <c r="FM491" s="3"/>
      <c r="FN491" s="3"/>
      <c r="FO491" s="3"/>
      <c r="FP491" s="3"/>
      <c r="FQ491" s="131"/>
      <c r="FR491" s="15"/>
      <c r="FS491" s="99"/>
      <c r="FT491" s="149"/>
      <c r="FU491" s="134"/>
      <c r="FV491" s="134"/>
      <c r="FW491" s="137"/>
      <c r="FX491" s="150"/>
      <c r="FY491" s="137"/>
      <c r="FZ491" s="137"/>
      <c r="GA491" s="3"/>
      <c r="GB491" s="138"/>
      <c r="GC491" s="2"/>
      <c r="GD491" s="139"/>
      <c r="GE491" s="3"/>
      <c r="GF491" s="3"/>
    </row>
    <row r="492" spans="1:188" s="125" customFormat="1" ht="13.5" customHeight="1">
      <c r="A492" s="76">
        <v>32</v>
      </c>
      <c r="B492" s="56"/>
      <c r="C492" s="18"/>
      <c r="D492" s="19" t="s">
        <v>1169</v>
      </c>
      <c r="E492" s="20"/>
      <c r="F492" s="82" t="s">
        <v>1359</v>
      </c>
      <c r="G492" s="58"/>
      <c r="H492" s="121"/>
      <c r="I492" s="24"/>
      <c r="J492" s="24">
        <v>28571</v>
      </c>
      <c r="K492" s="24">
        <f t="shared" si="35"/>
        <v>28571</v>
      </c>
      <c r="L492" s="123"/>
      <c r="M492" s="24">
        <v>28571</v>
      </c>
      <c r="N492" s="129">
        <f t="shared" si="36"/>
        <v>0</v>
      </c>
      <c r="O492" s="28" t="s">
        <v>1057</v>
      </c>
      <c r="P492" s="3"/>
      <c r="Q492" s="3"/>
      <c r="R492" s="3"/>
      <c r="S492" s="3"/>
      <c r="T492" s="3"/>
      <c r="U492" s="3"/>
      <c r="V492" s="131"/>
      <c r="W492" s="15"/>
      <c r="X492" s="3"/>
      <c r="Y492" s="3"/>
      <c r="Z492" s="3"/>
      <c r="AA492" s="3"/>
      <c r="AB492" s="3"/>
      <c r="AC492" s="131"/>
      <c r="AD492" s="15"/>
      <c r="AE492" s="99"/>
      <c r="AF492" s="149"/>
      <c r="AG492" s="134"/>
      <c r="AH492" s="134"/>
      <c r="AI492" s="137"/>
      <c r="AJ492" s="150"/>
      <c r="AK492" s="137"/>
      <c r="AL492" s="137"/>
      <c r="AM492" s="3"/>
      <c r="AN492" s="138"/>
      <c r="AO492" s="2"/>
      <c r="AP492" s="139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131"/>
      <c r="BB492" s="15"/>
      <c r="BC492" s="99"/>
      <c r="BD492" s="149"/>
      <c r="BE492" s="134"/>
      <c r="BF492" s="134"/>
      <c r="BG492" s="137"/>
      <c r="BH492" s="150"/>
      <c r="BI492" s="137"/>
      <c r="BJ492" s="137"/>
      <c r="BK492" s="3"/>
      <c r="BL492" s="138"/>
      <c r="BM492" s="2"/>
      <c r="BN492" s="139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131"/>
      <c r="BZ492" s="15"/>
      <c r="CA492" s="99"/>
      <c r="CB492" s="149"/>
      <c r="CC492" s="134"/>
      <c r="CD492" s="134"/>
      <c r="CE492" s="137"/>
      <c r="CF492" s="150"/>
      <c r="CG492" s="137"/>
      <c r="CH492" s="137"/>
      <c r="CI492" s="3"/>
      <c r="CJ492" s="138"/>
      <c r="CK492" s="2"/>
      <c r="CL492" s="139"/>
      <c r="CM492" s="3"/>
      <c r="CN492" s="3"/>
      <c r="CO492" s="3"/>
      <c r="CP492" s="3"/>
      <c r="CQ492" s="3"/>
      <c r="CR492" s="3"/>
      <c r="CS492" s="3"/>
      <c r="CT492" s="3"/>
      <c r="CU492" s="3"/>
      <c r="CV492" s="3"/>
      <c r="CW492" s="131"/>
      <c r="CX492" s="15"/>
      <c r="CY492" s="99"/>
      <c r="CZ492" s="149"/>
      <c r="DA492" s="134"/>
      <c r="DB492" s="134"/>
      <c r="DC492" s="137"/>
      <c r="DD492" s="150"/>
      <c r="DE492" s="137"/>
      <c r="DF492" s="137"/>
      <c r="DG492" s="3"/>
      <c r="DH492" s="138"/>
      <c r="DI492" s="2"/>
      <c r="DJ492" s="139"/>
      <c r="DK492" s="3"/>
      <c r="DL492" s="3"/>
      <c r="DM492" s="3"/>
      <c r="DN492" s="3"/>
      <c r="DO492" s="3"/>
      <c r="DP492" s="3"/>
      <c r="DQ492" s="3"/>
      <c r="DR492" s="3"/>
      <c r="DS492" s="3"/>
      <c r="DT492" s="3"/>
      <c r="DU492" s="131"/>
      <c r="DV492" s="15"/>
      <c r="DW492" s="99"/>
      <c r="DX492" s="149"/>
      <c r="DY492" s="134"/>
      <c r="DZ492" s="134"/>
      <c r="EA492" s="137"/>
      <c r="EB492" s="150"/>
      <c r="EC492" s="137"/>
      <c r="ED492" s="137"/>
      <c r="EE492" s="3"/>
      <c r="EF492" s="138"/>
      <c r="EG492" s="2"/>
      <c r="EH492" s="139"/>
      <c r="EI492" s="3"/>
      <c r="EJ492" s="3"/>
      <c r="EK492" s="3"/>
      <c r="EL492" s="3"/>
      <c r="EM492" s="3"/>
      <c r="EN492" s="3"/>
      <c r="EO492" s="3"/>
      <c r="EP492" s="3"/>
      <c r="EQ492" s="3"/>
      <c r="ER492" s="3"/>
      <c r="ES492" s="131"/>
      <c r="ET492" s="15"/>
      <c r="EU492" s="99"/>
      <c r="EV492" s="149"/>
      <c r="EW492" s="134"/>
      <c r="EX492" s="134"/>
      <c r="EY492" s="137"/>
      <c r="EZ492" s="150"/>
      <c r="FA492" s="137"/>
      <c r="FB492" s="137"/>
      <c r="FC492" s="3"/>
      <c r="FD492" s="138"/>
      <c r="FE492" s="2"/>
      <c r="FF492" s="139"/>
      <c r="FG492" s="3"/>
      <c r="FH492" s="3"/>
      <c r="FI492" s="3"/>
      <c r="FJ492" s="3"/>
      <c r="FK492" s="3"/>
      <c r="FL492" s="3"/>
      <c r="FM492" s="3"/>
      <c r="FN492" s="3"/>
      <c r="FO492" s="3"/>
      <c r="FP492" s="3"/>
      <c r="FQ492" s="131"/>
      <c r="FR492" s="15"/>
      <c r="FS492" s="99"/>
      <c r="FT492" s="149"/>
      <c r="FU492" s="134"/>
      <c r="FV492" s="134"/>
      <c r="FW492" s="137"/>
      <c r="FX492" s="150"/>
      <c r="FY492" s="137"/>
      <c r="FZ492" s="137"/>
      <c r="GA492" s="3"/>
      <c r="GB492" s="138"/>
      <c r="GC492" s="2"/>
      <c r="GD492" s="139"/>
      <c r="GE492" s="3"/>
      <c r="GF492" s="3"/>
    </row>
    <row r="493" spans="1:188" s="125" customFormat="1" ht="13.5" customHeight="1">
      <c r="A493" s="76">
        <v>33</v>
      </c>
      <c r="B493" s="60"/>
      <c r="C493" s="18"/>
      <c r="D493" s="19" t="s">
        <v>1143</v>
      </c>
      <c r="E493" s="20"/>
      <c r="F493" s="82" t="s">
        <v>1360</v>
      </c>
      <c r="G493" s="63"/>
      <c r="H493" s="121"/>
      <c r="I493" s="24"/>
      <c r="J493" s="24"/>
      <c r="K493" s="24">
        <f t="shared" si="35"/>
        <v>0</v>
      </c>
      <c r="L493" s="123"/>
      <c r="M493" s="24">
        <f>K493*L493</f>
        <v>0</v>
      </c>
      <c r="N493" s="129">
        <f t="shared" si="36"/>
        <v>0</v>
      </c>
      <c r="O493" s="28" t="s">
        <v>1057</v>
      </c>
      <c r="P493" s="3"/>
      <c r="Q493" s="3"/>
      <c r="R493" s="3"/>
      <c r="S493" s="3"/>
      <c r="T493" s="3"/>
      <c r="U493" s="3"/>
      <c r="V493" s="131"/>
      <c r="W493" s="15"/>
      <c r="X493" s="3"/>
      <c r="Y493" s="3"/>
      <c r="Z493" s="3"/>
      <c r="AA493" s="3"/>
      <c r="AB493" s="3"/>
      <c r="AC493" s="131"/>
      <c r="AD493" s="15"/>
      <c r="AE493" s="99"/>
      <c r="AF493" s="149"/>
      <c r="AG493" s="134"/>
      <c r="AH493" s="134"/>
      <c r="AI493" s="137"/>
      <c r="AJ493" s="150"/>
      <c r="AK493" s="137"/>
      <c r="AL493" s="137"/>
      <c r="AM493" s="3"/>
      <c r="AN493" s="138"/>
      <c r="AO493" s="2"/>
      <c r="AP493" s="139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131"/>
      <c r="BB493" s="15"/>
      <c r="BC493" s="99"/>
      <c r="BD493" s="149"/>
      <c r="BE493" s="134"/>
      <c r="BF493" s="134"/>
      <c r="BG493" s="137"/>
      <c r="BH493" s="150"/>
      <c r="BI493" s="137"/>
      <c r="BJ493" s="137"/>
      <c r="BK493" s="3"/>
      <c r="BL493" s="138"/>
      <c r="BM493" s="2"/>
      <c r="BN493" s="139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131"/>
      <c r="BZ493" s="15"/>
      <c r="CA493" s="99"/>
      <c r="CB493" s="149"/>
      <c r="CC493" s="134"/>
      <c r="CD493" s="134"/>
      <c r="CE493" s="137"/>
      <c r="CF493" s="150"/>
      <c r="CG493" s="137"/>
      <c r="CH493" s="137"/>
      <c r="CI493" s="3"/>
      <c r="CJ493" s="138"/>
      <c r="CK493" s="2"/>
      <c r="CL493" s="139"/>
      <c r="CM493" s="3"/>
      <c r="CN493" s="3"/>
      <c r="CO493" s="3"/>
      <c r="CP493" s="3"/>
      <c r="CQ493" s="3"/>
      <c r="CR493" s="3"/>
      <c r="CS493" s="3"/>
      <c r="CT493" s="3"/>
      <c r="CU493" s="3"/>
      <c r="CV493" s="3"/>
      <c r="CW493" s="131"/>
      <c r="CX493" s="15"/>
      <c r="CY493" s="99"/>
      <c r="CZ493" s="149"/>
      <c r="DA493" s="134"/>
      <c r="DB493" s="134"/>
      <c r="DC493" s="137"/>
      <c r="DD493" s="150"/>
      <c r="DE493" s="137"/>
      <c r="DF493" s="137"/>
      <c r="DG493" s="3"/>
      <c r="DH493" s="138"/>
      <c r="DI493" s="2"/>
      <c r="DJ493" s="139"/>
      <c r="DK493" s="3"/>
      <c r="DL493" s="3"/>
      <c r="DM493" s="3"/>
      <c r="DN493" s="3"/>
      <c r="DO493" s="3"/>
      <c r="DP493" s="3"/>
      <c r="DQ493" s="3"/>
      <c r="DR493" s="3"/>
      <c r="DS493" s="3"/>
      <c r="DT493" s="3"/>
      <c r="DU493" s="131"/>
      <c r="DV493" s="15"/>
      <c r="DW493" s="99"/>
      <c r="DX493" s="149"/>
      <c r="DY493" s="134"/>
      <c r="DZ493" s="134"/>
      <c r="EA493" s="137"/>
      <c r="EB493" s="150"/>
      <c r="EC493" s="137"/>
      <c r="ED493" s="137"/>
      <c r="EE493" s="3"/>
      <c r="EF493" s="138"/>
      <c r="EG493" s="2"/>
      <c r="EH493" s="139"/>
      <c r="EI493" s="3"/>
      <c r="EJ493" s="3"/>
      <c r="EK493" s="3"/>
      <c r="EL493" s="3"/>
      <c r="EM493" s="3"/>
      <c r="EN493" s="3"/>
      <c r="EO493" s="3"/>
      <c r="EP493" s="3"/>
      <c r="EQ493" s="3"/>
      <c r="ER493" s="3"/>
      <c r="ES493" s="131"/>
      <c r="ET493" s="15"/>
      <c r="EU493" s="99"/>
      <c r="EV493" s="149"/>
      <c r="EW493" s="134"/>
      <c r="EX493" s="134"/>
      <c r="EY493" s="137"/>
      <c r="EZ493" s="150"/>
      <c r="FA493" s="137"/>
      <c r="FB493" s="137"/>
      <c r="FC493" s="3"/>
      <c r="FD493" s="138"/>
      <c r="FE493" s="2"/>
      <c r="FF493" s="139"/>
      <c r="FG493" s="3"/>
      <c r="FH493" s="3"/>
      <c r="FI493" s="3"/>
      <c r="FJ493" s="3"/>
      <c r="FK493" s="3"/>
      <c r="FL493" s="3"/>
      <c r="FM493" s="3"/>
      <c r="FN493" s="3"/>
      <c r="FO493" s="3"/>
      <c r="FP493" s="3"/>
      <c r="FQ493" s="131"/>
      <c r="FR493" s="15"/>
      <c r="FS493" s="99"/>
      <c r="FT493" s="149"/>
      <c r="FU493" s="134"/>
      <c r="FV493" s="134"/>
      <c r="FW493" s="137"/>
      <c r="FX493" s="150"/>
      <c r="FY493" s="137"/>
      <c r="FZ493" s="137"/>
      <c r="GA493" s="3"/>
      <c r="GB493" s="138"/>
      <c r="GC493" s="2"/>
      <c r="GD493" s="139"/>
      <c r="GE493" s="3"/>
      <c r="GF493" s="3"/>
    </row>
    <row r="494" spans="1:188" s="125" customFormat="1" ht="13.5" customHeight="1">
      <c r="A494" s="76">
        <v>34</v>
      </c>
      <c r="B494" s="56"/>
      <c r="C494" s="18"/>
      <c r="D494" s="19" t="s">
        <v>1143</v>
      </c>
      <c r="E494" s="20"/>
      <c r="F494" s="82" t="s">
        <v>1361</v>
      </c>
      <c r="G494" s="58"/>
      <c r="H494" s="121"/>
      <c r="I494" s="24"/>
      <c r="J494" s="24"/>
      <c r="K494" s="24">
        <f t="shared" si="35"/>
        <v>0</v>
      </c>
      <c r="L494" s="123"/>
      <c r="M494" s="24">
        <f>K494*L494</f>
        <v>0</v>
      </c>
      <c r="N494" s="129">
        <f t="shared" si="36"/>
        <v>0</v>
      </c>
      <c r="O494" s="28" t="s">
        <v>1057</v>
      </c>
      <c r="P494" s="3"/>
      <c r="Q494" s="3"/>
      <c r="R494" s="3"/>
      <c r="S494" s="3"/>
      <c r="T494" s="3"/>
      <c r="U494" s="3"/>
      <c r="V494" s="131"/>
      <c r="W494" s="15"/>
      <c r="X494" s="3"/>
      <c r="Y494" s="3"/>
      <c r="Z494" s="3"/>
      <c r="AA494" s="3"/>
      <c r="AB494" s="3"/>
      <c r="AC494" s="131"/>
      <c r="AD494" s="15"/>
      <c r="AE494" s="99"/>
      <c r="AF494" s="149"/>
      <c r="AG494" s="134"/>
      <c r="AH494" s="134"/>
      <c r="AI494" s="137"/>
      <c r="AJ494" s="150"/>
      <c r="AK494" s="137"/>
      <c r="AL494" s="137"/>
      <c r="AM494" s="3"/>
      <c r="AN494" s="138"/>
      <c r="AO494" s="2"/>
      <c r="AP494" s="139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131"/>
      <c r="BB494" s="15"/>
      <c r="BC494" s="99"/>
      <c r="BD494" s="149"/>
      <c r="BE494" s="134"/>
      <c r="BF494" s="134"/>
      <c r="BG494" s="137"/>
      <c r="BH494" s="150"/>
      <c r="BI494" s="137"/>
      <c r="BJ494" s="137"/>
      <c r="BK494" s="3"/>
      <c r="BL494" s="138"/>
      <c r="BM494" s="2"/>
      <c r="BN494" s="139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131"/>
      <c r="BZ494" s="15"/>
      <c r="CA494" s="99"/>
      <c r="CB494" s="149"/>
      <c r="CC494" s="134"/>
      <c r="CD494" s="134"/>
      <c r="CE494" s="137"/>
      <c r="CF494" s="150"/>
      <c r="CG494" s="137"/>
      <c r="CH494" s="137"/>
      <c r="CI494" s="3"/>
      <c r="CJ494" s="138"/>
      <c r="CK494" s="2"/>
      <c r="CL494" s="139"/>
      <c r="CM494" s="3"/>
      <c r="CN494" s="3"/>
      <c r="CO494" s="3"/>
      <c r="CP494" s="3"/>
      <c r="CQ494" s="3"/>
      <c r="CR494" s="3"/>
      <c r="CS494" s="3"/>
      <c r="CT494" s="3"/>
      <c r="CU494" s="3"/>
      <c r="CV494" s="3"/>
      <c r="CW494" s="131"/>
      <c r="CX494" s="15"/>
      <c r="CY494" s="99"/>
      <c r="CZ494" s="149"/>
      <c r="DA494" s="134"/>
      <c r="DB494" s="134"/>
      <c r="DC494" s="137"/>
      <c r="DD494" s="150"/>
      <c r="DE494" s="137"/>
      <c r="DF494" s="137"/>
      <c r="DG494" s="3"/>
      <c r="DH494" s="138"/>
      <c r="DI494" s="2"/>
      <c r="DJ494" s="139"/>
      <c r="DK494" s="3"/>
      <c r="DL494" s="3"/>
      <c r="DM494" s="3"/>
      <c r="DN494" s="3"/>
      <c r="DO494" s="3"/>
      <c r="DP494" s="3"/>
      <c r="DQ494" s="3"/>
      <c r="DR494" s="3"/>
      <c r="DS494" s="3"/>
      <c r="DT494" s="3"/>
      <c r="DU494" s="131"/>
      <c r="DV494" s="15"/>
      <c r="DW494" s="99"/>
      <c r="DX494" s="149"/>
      <c r="DY494" s="134"/>
      <c r="DZ494" s="134"/>
      <c r="EA494" s="137"/>
      <c r="EB494" s="150"/>
      <c r="EC494" s="137"/>
      <c r="ED494" s="137"/>
      <c r="EE494" s="3"/>
      <c r="EF494" s="138"/>
      <c r="EG494" s="2"/>
      <c r="EH494" s="139"/>
      <c r="EI494" s="3"/>
      <c r="EJ494" s="3"/>
      <c r="EK494" s="3"/>
      <c r="EL494" s="3"/>
      <c r="EM494" s="3"/>
      <c r="EN494" s="3"/>
      <c r="EO494" s="3"/>
      <c r="EP494" s="3"/>
      <c r="EQ494" s="3"/>
      <c r="ER494" s="3"/>
      <c r="ES494" s="131"/>
      <c r="ET494" s="15"/>
      <c r="EU494" s="99"/>
      <c r="EV494" s="149"/>
      <c r="EW494" s="134"/>
      <c r="EX494" s="134"/>
      <c r="EY494" s="137"/>
      <c r="EZ494" s="150"/>
      <c r="FA494" s="137"/>
      <c r="FB494" s="137"/>
      <c r="FC494" s="3"/>
      <c r="FD494" s="138"/>
      <c r="FE494" s="2"/>
      <c r="FF494" s="139"/>
      <c r="FG494" s="3"/>
      <c r="FH494" s="3"/>
      <c r="FI494" s="3"/>
      <c r="FJ494" s="3"/>
      <c r="FK494" s="3"/>
      <c r="FL494" s="3"/>
      <c r="FM494" s="3"/>
      <c r="FN494" s="3"/>
      <c r="FO494" s="3"/>
      <c r="FP494" s="3"/>
      <c r="FQ494" s="131"/>
      <c r="FR494" s="15"/>
      <c r="FS494" s="99"/>
      <c r="FT494" s="149"/>
      <c r="FU494" s="134"/>
      <c r="FV494" s="134"/>
      <c r="FW494" s="137"/>
      <c r="FX494" s="150"/>
      <c r="FY494" s="137"/>
      <c r="FZ494" s="137"/>
      <c r="GA494" s="3"/>
      <c r="GB494" s="138"/>
      <c r="GC494" s="2"/>
      <c r="GD494" s="139"/>
      <c r="GE494" s="3"/>
      <c r="GF494" s="3"/>
    </row>
    <row r="495" spans="1:188" s="125" customFormat="1" ht="13.5" customHeight="1">
      <c r="A495" s="76">
        <v>35</v>
      </c>
      <c r="B495" s="60"/>
      <c r="C495" s="18"/>
      <c r="D495" s="19" t="s">
        <v>1131</v>
      </c>
      <c r="E495" s="20"/>
      <c r="F495" s="62" t="s">
        <v>1362</v>
      </c>
      <c r="G495" s="63"/>
      <c r="H495" s="121"/>
      <c r="I495" s="24"/>
      <c r="J495" s="24"/>
      <c r="K495" s="24">
        <f t="shared" si="35"/>
        <v>0</v>
      </c>
      <c r="L495" s="123"/>
      <c r="M495" s="24">
        <f>K495*L495</f>
        <v>0</v>
      </c>
      <c r="N495" s="129">
        <f t="shared" si="36"/>
        <v>0</v>
      </c>
      <c r="O495" s="28" t="s">
        <v>1057</v>
      </c>
      <c r="P495" s="3"/>
      <c r="Q495" s="3"/>
      <c r="R495" s="3"/>
      <c r="S495" s="3"/>
      <c r="T495" s="3"/>
      <c r="U495" s="3"/>
      <c r="V495" s="131"/>
      <c r="W495" s="15"/>
      <c r="X495" s="3"/>
      <c r="Y495" s="3"/>
      <c r="Z495" s="3"/>
      <c r="AA495" s="3"/>
      <c r="AB495" s="3"/>
      <c r="AC495" s="131"/>
      <c r="AD495" s="15"/>
      <c r="AE495" s="99"/>
      <c r="AF495" s="149"/>
      <c r="AG495" s="134"/>
      <c r="AH495" s="134"/>
      <c r="AI495" s="137"/>
      <c r="AJ495" s="150"/>
      <c r="AK495" s="137"/>
      <c r="AL495" s="137"/>
      <c r="AM495" s="3"/>
      <c r="AN495" s="138"/>
      <c r="AO495" s="2"/>
      <c r="AP495" s="139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131"/>
      <c r="BB495" s="15"/>
      <c r="BC495" s="99"/>
      <c r="BD495" s="149"/>
      <c r="BE495" s="134"/>
      <c r="BF495" s="134"/>
      <c r="BG495" s="137"/>
      <c r="BH495" s="150"/>
      <c r="BI495" s="137"/>
      <c r="BJ495" s="137"/>
      <c r="BK495" s="3"/>
      <c r="BL495" s="138"/>
      <c r="BM495" s="2"/>
      <c r="BN495" s="139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131"/>
      <c r="BZ495" s="15"/>
      <c r="CA495" s="99"/>
      <c r="CB495" s="149"/>
      <c r="CC495" s="134"/>
      <c r="CD495" s="134"/>
      <c r="CE495" s="137"/>
      <c r="CF495" s="150"/>
      <c r="CG495" s="137"/>
      <c r="CH495" s="137"/>
      <c r="CI495" s="3"/>
      <c r="CJ495" s="138"/>
      <c r="CK495" s="2"/>
      <c r="CL495" s="139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131"/>
      <c r="CX495" s="15"/>
      <c r="CY495" s="99"/>
      <c r="CZ495" s="149"/>
      <c r="DA495" s="134"/>
      <c r="DB495" s="134"/>
      <c r="DC495" s="137"/>
      <c r="DD495" s="150"/>
      <c r="DE495" s="137"/>
      <c r="DF495" s="137"/>
      <c r="DG495" s="3"/>
      <c r="DH495" s="138"/>
      <c r="DI495" s="2"/>
      <c r="DJ495" s="139"/>
      <c r="DK495" s="3"/>
      <c r="DL495" s="3"/>
      <c r="DM495" s="3"/>
      <c r="DN495" s="3"/>
      <c r="DO495" s="3"/>
      <c r="DP495" s="3"/>
      <c r="DQ495" s="3"/>
      <c r="DR495" s="3"/>
      <c r="DS495" s="3"/>
      <c r="DT495" s="3"/>
      <c r="DU495" s="131"/>
      <c r="DV495" s="15"/>
      <c r="DW495" s="99"/>
      <c r="DX495" s="149"/>
      <c r="DY495" s="134"/>
      <c r="DZ495" s="134"/>
      <c r="EA495" s="137"/>
      <c r="EB495" s="150"/>
      <c r="EC495" s="137"/>
      <c r="ED495" s="137"/>
      <c r="EE495" s="3"/>
      <c r="EF495" s="138"/>
      <c r="EG495" s="2"/>
      <c r="EH495" s="139"/>
      <c r="EI495" s="3"/>
      <c r="EJ495" s="3"/>
      <c r="EK495" s="3"/>
      <c r="EL495" s="3"/>
      <c r="EM495" s="3"/>
      <c r="EN495" s="3"/>
      <c r="EO495" s="3"/>
      <c r="EP495" s="3"/>
      <c r="EQ495" s="3"/>
      <c r="ER495" s="3"/>
      <c r="ES495" s="131"/>
      <c r="ET495" s="15"/>
      <c r="EU495" s="99"/>
      <c r="EV495" s="149"/>
      <c r="EW495" s="134"/>
      <c r="EX495" s="134"/>
      <c r="EY495" s="137"/>
      <c r="EZ495" s="150"/>
      <c r="FA495" s="137"/>
      <c r="FB495" s="137"/>
      <c r="FC495" s="3"/>
      <c r="FD495" s="138"/>
      <c r="FE495" s="2"/>
      <c r="FF495" s="139"/>
      <c r="FG495" s="3"/>
      <c r="FH495" s="3"/>
      <c r="FI495" s="3"/>
      <c r="FJ495" s="3"/>
      <c r="FK495" s="3"/>
      <c r="FL495" s="3"/>
      <c r="FM495" s="3"/>
      <c r="FN495" s="3"/>
      <c r="FO495" s="3"/>
      <c r="FP495" s="3"/>
      <c r="FQ495" s="131"/>
      <c r="FR495" s="15"/>
      <c r="FS495" s="99"/>
      <c r="FT495" s="149"/>
      <c r="FU495" s="134"/>
      <c r="FV495" s="134"/>
      <c r="FW495" s="137"/>
      <c r="FX495" s="150"/>
      <c r="FY495" s="137"/>
      <c r="FZ495" s="137"/>
      <c r="GA495" s="3"/>
      <c r="GB495" s="138"/>
      <c r="GC495" s="2"/>
      <c r="GD495" s="139"/>
      <c r="GE495" s="3"/>
      <c r="GF495" s="3"/>
    </row>
    <row r="496" spans="1:188" s="125" customFormat="1" ht="13.5" customHeight="1">
      <c r="A496" s="76">
        <v>36</v>
      </c>
      <c r="B496" s="56"/>
      <c r="C496" s="18"/>
      <c r="D496" s="19" t="s">
        <v>1186</v>
      </c>
      <c r="E496" s="20"/>
      <c r="F496" s="82" t="s">
        <v>1363</v>
      </c>
      <c r="G496" s="58"/>
      <c r="H496" s="121"/>
      <c r="I496" s="24"/>
      <c r="J496" s="24"/>
      <c r="K496" s="24">
        <f t="shared" si="35"/>
        <v>0</v>
      </c>
      <c r="L496" s="123"/>
      <c r="M496" s="24">
        <f>K496*L496</f>
        <v>0</v>
      </c>
      <c r="N496" s="129">
        <f t="shared" si="36"/>
        <v>0</v>
      </c>
      <c r="O496" s="28" t="s">
        <v>1057</v>
      </c>
      <c r="P496" s="3"/>
      <c r="Q496" s="3"/>
      <c r="R496" s="3"/>
      <c r="S496" s="3"/>
      <c r="T496" s="3"/>
      <c r="U496" s="3"/>
      <c r="V496" s="131"/>
      <c r="W496" s="15"/>
      <c r="X496" s="3"/>
      <c r="Y496" s="3"/>
      <c r="Z496" s="3"/>
      <c r="AA496" s="3"/>
      <c r="AB496" s="3"/>
      <c r="AC496" s="131"/>
      <c r="AD496" s="15"/>
      <c r="AE496" s="99"/>
      <c r="AF496" s="149"/>
      <c r="AG496" s="134"/>
      <c r="AH496" s="134"/>
      <c r="AI496" s="137"/>
      <c r="AJ496" s="150"/>
      <c r="AK496" s="137"/>
      <c r="AL496" s="137"/>
      <c r="AM496" s="3"/>
      <c r="AN496" s="138"/>
      <c r="AO496" s="2"/>
      <c r="AP496" s="139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131"/>
      <c r="BB496" s="15"/>
      <c r="BC496" s="99"/>
      <c r="BD496" s="149"/>
      <c r="BE496" s="134"/>
      <c r="BF496" s="134"/>
      <c r="BG496" s="137"/>
      <c r="BH496" s="150"/>
      <c r="BI496" s="137"/>
      <c r="BJ496" s="137"/>
      <c r="BK496" s="3"/>
      <c r="BL496" s="138"/>
      <c r="BM496" s="2"/>
      <c r="BN496" s="139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131"/>
      <c r="BZ496" s="15"/>
      <c r="CA496" s="99"/>
      <c r="CB496" s="149"/>
      <c r="CC496" s="134"/>
      <c r="CD496" s="134"/>
      <c r="CE496" s="137"/>
      <c r="CF496" s="150"/>
      <c r="CG496" s="137"/>
      <c r="CH496" s="137"/>
      <c r="CI496" s="3"/>
      <c r="CJ496" s="138"/>
      <c r="CK496" s="2"/>
      <c r="CL496" s="139"/>
      <c r="CM496" s="3"/>
      <c r="CN496" s="3"/>
      <c r="CO496" s="3"/>
      <c r="CP496" s="3"/>
      <c r="CQ496" s="3"/>
      <c r="CR496" s="3"/>
      <c r="CS496" s="3"/>
      <c r="CT496" s="3"/>
      <c r="CU496" s="3"/>
      <c r="CV496" s="3"/>
      <c r="CW496" s="131"/>
      <c r="CX496" s="15"/>
      <c r="CY496" s="99"/>
      <c r="CZ496" s="149"/>
      <c r="DA496" s="134"/>
      <c r="DB496" s="134"/>
      <c r="DC496" s="137"/>
      <c r="DD496" s="150"/>
      <c r="DE496" s="137"/>
      <c r="DF496" s="137"/>
      <c r="DG496" s="3"/>
      <c r="DH496" s="138"/>
      <c r="DI496" s="2"/>
      <c r="DJ496" s="139"/>
      <c r="DK496" s="3"/>
      <c r="DL496" s="3"/>
      <c r="DM496" s="3"/>
      <c r="DN496" s="3"/>
      <c r="DO496" s="3"/>
      <c r="DP496" s="3"/>
      <c r="DQ496" s="3"/>
      <c r="DR496" s="3"/>
      <c r="DS496" s="3"/>
      <c r="DT496" s="3"/>
      <c r="DU496" s="131"/>
      <c r="DV496" s="15"/>
      <c r="DW496" s="99"/>
      <c r="DX496" s="149"/>
      <c r="DY496" s="134"/>
      <c r="DZ496" s="134"/>
      <c r="EA496" s="137"/>
      <c r="EB496" s="150"/>
      <c r="EC496" s="137"/>
      <c r="ED496" s="137"/>
      <c r="EE496" s="3"/>
      <c r="EF496" s="138"/>
      <c r="EG496" s="2"/>
      <c r="EH496" s="139"/>
      <c r="EI496" s="3"/>
      <c r="EJ496" s="3"/>
      <c r="EK496" s="3"/>
      <c r="EL496" s="3"/>
      <c r="EM496" s="3"/>
      <c r="EN496" s="3"/>
      <c r="EO496" s="3"/>
      <c r="EP496" s="3"/>
      <c r="EQ496" s="3"/>
      <c r="ER496" s="3"/>
      <c r="ES496" s="131"/>
      <c r="ET496" s="15"/>
      <c r="EU496" s="99"/>
      <c r="EV496" s="149"/>
      <c r="EW496" s="134"/>
      <c r="EX496" s="134"/>
      <c r="EY496" s="137"/>
      <c r="EZ496" s="150"/>
      <c r="FA496" s="137"/>
      <c r="FB496" s="137"/>
      <c r="FC496" s="3"/>
      <c r="FD496" s="138"/>
      <c r="FE496" s="2"/>
      <c r="FF496" s="139"/>
      <c r="FG496" s="3"/>
      <c r="FH496" s="3"/>
      <c r="FI496" s="3"/>
      <c r="FJ496" s="3"/>
      <c r="FK496" s="3"/>
      <c r="FL496" s="3"/>
      <c r="FM496" s="3"/>
      <c r="FN496" s="3"/>
      <c r="FO496" s="3"/>
      <c r="FP496" s="3"/>
      <c r="FQ496" s="131"/>
      <c r="FR496" s="15"/>
      <c r="FS496" s="99"/>
      <c r="FT496" s="149"/>
      <c r="FU496" s="134"/>
      <c r="FV496" s="134"/>
      <c r="FW496" s="137"/>
      <c r="FX496" s="150"/>
      <c r="FY496" s="137"/>
      <c r="FZ496" s="137"/>
      <c r="GA496" s="3"/>
      <c r="GB496" s="138"/>
      <c r="GC496" s="2"/>
      <c r="GD496" s="139"/>
      <c r="GE496" s="3"/>
      <c r="GF496" s="3"/>
    </row>
    <row r="497" spans="1:188" s="125" customFormat="1" ht="13.5" customHeight="1">
      <c r="A497" s="76">
        <v>37</v>
      </c>
      <c r="B497" s="56"/>
      <c r="C497" s="18"/>
      <c r="D497" s="19" t="s">
        <v>1131</v>
      </c>
      <c r="E497" s="20"/>
      <c r="F497" s="120" t="s">
        <v>1364</v>
      </c>
      <c r="G497" s="63"/>
      <c r="H497" s="121"/>
      <c r="I497" s="24"/>
      <c r="J497" s="24"/>
      <c r="K497" s="24">
        <f t="shared" si="35"/>
        <v>0</v>
      </c>
      <c r="L497" s="123"/>
      <c r="M497" s="24">
        <f>K497*L497</f>
        <v>0</v>
      </c>
      <c r="N497" s="129">
        <f t="shared" si="36"/>
        <v>0</v>
      </c>
      <c r="O497" s="28" t="s">
        <v>1057</v>
      </c>
      <c r="P497" s="3"/>
      <c r="Q497" s="3"/>
      <c r="R497" s="3"/>
      <c r="S497" s="3"/>
      <c r="T497" s="3"/>
      <c r="U497" s="3"/>
      <c r="V497" s="131"/>
      <c r="W497" s="15"/>
      <c r="X497" s="3"/>
      <c r="Y497" s="3"/>
      <c r="Z497" s="3"/>
      <c r="AA497" s="3"/>
      <c r="AB497" s="3"/>
      <c r="AC497" s="131"/>
      <c r="AD497" s="15"/>
      <c r="AE497" s="99"/>
      <c r="AF497" s="149"/>
      <c r="AG497" s="134"/>
      <c r="AH497" s="134"/>
      <c r="AI497" s="137"/>
      <c r="AJ497" s="150"/>
      <c r="AK497" s="137"/>
      <c r="AL497" s="137"/>
      <c r="AM497" s="3"/>
      <c r="AN497" s="138"/>
      <c r="AO497" s="2"/>
      <c r="AP497" s="139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131"/>
      <c r="BB497" s="15"/>
      <c r="BC497" s="99"/>
      <c r="BD497" s="149"/>
      <c r="BE497" s="134"/>
      <c r="BF497" s="134"/>
      <c r="BG497" s="137"/>
      <c r="BH497" s="150"/>
      <c r="BI497" s="137"/>
      <c r="BJ497" s="137"/>
      <c r="BK497" s="3"/>
      <c r="BL497" s="138"/>
      <c r="BM497" s="2"/>
      <c r="BN497" s="139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131"/>
      <c r="BZ497" s="15"/>
      <c r="CA497" s="99"/>
      <c r="CB497" s="149"/>
      <c r="CC497" s="134"/>
      <c r="CD497" s="134"/>
      <c r="CE497" s="137"/>
      <c r="CF497" s="150"/>
      <c r="CG497" s="137"/>
      <c r="CH497" s="137"/>
      <c r="CI497" s="3"/>
      <c r="CJ497" s="138"/>
      <c r="CK497" s="2"/>
      <c r="CL497" s="139"/>
      <c r="CM497" s="3"/>
      <c r="CN497" s="3"/>
      <c r="CO497" s="3"/>
      <c r="CP497" s="3"/>
      <c r="CQ497" s="3"/>
      <c r="CR497" s="3"/>
      <c r="CS497" s="3"/>
      <c r="CT497" s="3"/>
      <c r="CU497" s="3"/>
      <c r="CV497" s="3"/>
      <c r="CW497" s="131"/>
      <c r="CX497" s="15"/>
      <c r="CY497" s="99"/>
      <c r="CZ497" s="149"/>
      <c r="DA497" s="134"/>
      <c r="DB497" s="134"/>
      <c r="DC497" s="137"/>
      <c r="DD497" s="150"/>
      <c r="DE497" s="137"/>
      <c r="DF497" s="137"/>
      <c r="DG497" s="3"/>
      <c r="DH497" s="138"/>
      <c r="DI497" s="2"/>
      <c r="DJ497" s="139"/>
      <c r="DK497" s="3"/>
      <c r="DL497" s="3"/>
      <c r="DM497" s="3"/>
      <c r="DN497" s="3"/>
      <c r="DO497" s="3"/>
      <c r="DP497" s="3"/>
      <c r="DQ497" s="3"/>
      <c r="DR497" s="3"/>
      <c r="DS497" s="3"/>
      <c r="DT497" s="3"/>
      <c r="DU497" s="131"/>
      <c r="DV497" s="15"/>
      <c r="DW497" s="99"/>
      <c r="DX497" s="149"/>
      <c r="DY497" s="134"/>
      <c r="DZ497" s="134"/>
      <c r="EA497" s="137"/>
      <c r="EB497" s="150"/>
      <c r="EC497" s="137"/>
      <c r="ED497" s="137"/>
      <c r="EE497" s="3"/>
      <c r="EF497" s="138"/>
      <c r="EG497" s="2"/>
      <c r="EH497" s="139"/>
      <c r="EI497" s="3"/>
      <c r="EJ497" s="3"/>
      <c r="EK497" s="3"/>
      <c r="EL497" s="3"/>
      <c r="EM497" s="3"/>
      <c r="EN497" s="3"/>
      <c r="EO497" s="3"/>
      <c r="EP497" s="3"/>
      <c r="EQ497" s="3"/>
      <c r="ER497" s="3"/>
      <c r="ES497" s="131"/>
      <c r="ET497" s="15"/>
      <c r="EU497" s="99"/>
      <c r="EV497" s="149"/>
      <c r="EW497" s="134"/>
      <c r="EX497" s="134"/>
      <c r="EY497" s="137"/>
      <c r="EZ497" s="150"/>
      <c r="FA497" s="137"/>
      <c r="FB497" s="137"/>
      <c r="FC497" s="3"/>
      <c r="FD497" s="138"/>
      <c r="FE497" s="2"/>
      <c r="FF497" s="139"/>
      <c r="FG497" s="3"/>
      <c r="FH497" s="3"/>
      <c r="FI497" s="3"/>
      <c r="FJ497" s="3"/>
      <c r="FK497" s="3"/>
      <c r="FL497" s="3"/>
      <c r="FM497" s="3"/>
      <c r="FN497" s="3"/>
      <c r="FO497" s="3"/>
      <c r="FP497" s="3"/>
      <c r="FQ497" s="131"/>
      <c r="FR497" s="15"/>
      <c r="FS497" s="99"/>
      <c r="FT497" s="149"/>
      <c r="FU497" s="134"/>
      <c r="FV497" s="134"/>
      <c r="FW497" s="137"/>
      <c r="FX497" s="150"/>
      <c r="FY497" s="137"/>
      <c r="FZ497" s="137"/>
      <c r="GA497" s="3"/>
      <c r="GB497" s="138"/>
      <c r="GC497" s="2"/>
      <c r="GD497" s="139"/>
      <c r="GE497" s="3"/>
      <c r="GF497" s="3"/>
    </row>
    <row r="498" spans="1:188" s="125" customFormat="1" ht="13.5" customHeight="1">
      <c r="A498" s="76">
        <v>38</v>
      </c>
      <c r="B498" s="56"/>
      <c r="C498" s="18"/>
      <c r="D498" s="19" t="s">
        <v>1131</v>
      </c>
      <c r="E498" s="20"/>
      <c r="F498" s="57" t="s">
        <v>1365</v>
      </c>
      <c r="G498" s="63"/>
      <c r="H498" s="121"/>
      <c r="I498" s="24"/>
      <c r="J498" s="24">
        <v>39202</v>
      </c>
      <c r="K498" s="24">
        <f t="shared" si="35"/>
        <v>39202</v>
      </c>
      <c r="L498" s="123"/>
      <c r="M498" s="24">
        <v>39202</v>
      </c>
      <c r="N498" s="129">
        <f t="shared" si="36"/>
        <v>0</v>
      </c>
      <c r="O498" s="28" t="s">
        <v>1057</v>
      </c>
      <c r="P498" s="3"/>
      <c r="Q498" s="3"/>
      <c r="R498" s="3"/>
      <c r="S498" s="3"/>
      <c r="T498" s="3"/>
      <c r="U498" s="3"/>
      <c r="V498" s="131"/>
      <c r="W498" s="15"/>
      <c r="X498" s="3"/>
      <c r="Y498" s="3"/>
      <c r="Z498" s="3"/>
      <c r="AA498" s="3"/>
      <c r="AB498" s="3"/>
      <c r="AC498" s="131"/>
      <c r="AD498" s="15"/>
      <c r="AE498" s="99"/>
      <c r="AF498" s="149"/>
      <c r="AG498" s="134"/>
      <c r="AH498" s="134"/>
      <c r="AI498" s="137"/>
      <c r="AJ498" s="150"/>
      <c r="AK498" s="137"/>
      <c r="AL498" s="137"/>
      <c r="AM498" s="3"/>
      <c r="AN498" s="138"/>
      <c r="AO498" s="2"/>
      <c r="AP498" s="139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131"/>
      <c r="BB498" s="15"/>
      <c r="BC498" s="99"/>
      <c r="BD498" s="149"/>
      <c r="BE498" s="134"/>
      <c r="BF498" s="134"/>
      <c r="BG498" s="137"/>
      <c r="BH498" s="150"/>
      <c r="BI498" s="137"/>
      <c r="BJ498" s="137"/>
      <c r="BK498" s="3"/>
      <c r="BL498" s="138"/>
      <c r="BM498" s="2"/>
      <c r="BN498" s="139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131"/>
      <c r="BZ498" s="15"/>
      <c r="CA498" s="99"/>
      <c r="CB498" s="149"/>
      <c r="CC498" s="134"/>
      <c r="CD498" s="134"/>
      <c r="CE498" s="137"/>
      <c r="CF498" s="150"/>
      <c r="CG498" s="137"/>
      <c r="CH498" s="137"/>
      <c r="CI498" s="3"/>
      <c r="CJ498" s="138"/>
      <c r="CK498" s="2"/>
      <c r="CL498" s="139"/>
      <c r="CM498" s="3"/>
      <c r="CN498" s="3"/>
      <c r="CO498" s="3"/>
      <c r="CP498" s="3"/>
      <c r="CQ498" s="3"/>
      <c r="CR498" s="3"/>
      <c r="CS498" s="3"/>
      <c r="CT498" s="3"/>
      <c r="CU498" s="3"/>
      <c r="CV498" s="3"/>
      <c r="CW498" s="131"/>
      <c r="CX498" s="15"/>
      <c r="CY498" s="99"/>
      <c r="CZ498" s="149"/>
      <c r="DA498" s="134"/>
      <c r="DB498" s="134"/>
      <c r="DC498" s="137"/>
      <c r="DD498" s="150"/>
      <c r="DE498" s="137"/>
      <c r="DF498" s="137"/>
      <c r="DG498" s="3"/>
      <c r="DH498" s="138"/>
      <c r="DI498" s="2"/>
      <c r="DJ498" s="139"/>
      <c r="DK498" s="3"/>
      <c r="DL498" s="3"/>
      <c r="DM498" s="3"/>
      <c r="DN498" s="3"/>
      <c r="DO498" s="3"/>
      <c r="DP498" s="3"/>
      <c r="DQ498" s="3"/>
      <c r="DR498" s="3"/>
      <c r="DS498" s="3"/>
      <c r="DT498" s="3"/>
      <c r="DU498" s="131"/>
      <c r="DV498" s="15"/>
      <c r="DW498" s="99"/>
      <c r="DX498" s="149"/>
      <c r="DY498" s="134"/>
      <c r="DZ498" s="134"/>
      <c r="EA498" s="137"/>
      <c r="EB498" s="150"/>
      <c r="EC498" s="137"/>
      <c r="ED498" s="137"/>
      <c r="EE498" s="3"/>
      <c r="EF498" s="138"/>
      <c r="EG498" s="2"/>
      <c r="EH498" s="139"/>
      <c r="EI498" s="3"/>
      <c r="EJ498" s="3"/>
      <c r="EK498" s="3"/>
      <c r="EL498" s="3"/>
      <c r="EM498" s="3"/>
      <c r="EN498" s="3"/>
      <c r="EO498" s="3"/>
      <c r="EP498" s="3"/>
      <c r="EQ498" s="3"/>
      <c r="ER498" s="3"/>
      <c r="ES498" s="131"/>
      <c r="ET498" s="15"/>
      <c r="EU498" s="99"/>
      <c r="EV498" s="149"/>
      <c r="EW498" s="134"/>
      <c r="EX498" s="134"/>
      <c r="EY498" s="137"/>
      <c r="EZ498" s="150"/>
      <c r="FA498" s="137"/>
      <c r="FB498" s="137"/>
      <c r="FC498" s="3"/>
      <c r="FD498" s="138"/>
      <c r="FE498" s="2"/>
      <c r="FF498" s="139"/>
      <c r="FG498" s="3"/>
      <c r="FH498" s="3"/>
      <c r="FI498" s="3"/>
      <c r="FJ498" s="3"/>
      <c r="FK498" s="3"/>
      <c r="FL498" s="3"/>
      <c r="FM498" s="3"/>
      <c r="FN498" s="3"/>
      <c r="FO498" s="3"/>
      <c r="FP498" s="3"/>
      <c r="FQ498" s="131"/>
      <c r="FR498" s="15"/>
      <c r="FS498" s="99"/>
      <c r="FT498" s="149"/>
      <c r="FU498" s="134"/>
      <c r="FV498" s="134"/>
      <c r="FW498" s="137"/>
      <c r="FX498" s="150"/>
      <c r="FY498" s="137"/>
      <c r="FZ498" s="137"/>
      <c r="GA498" s="3"/>
      <c r="GB498" s="138"/>
      <c r="GC498" s="2"/>
      <c r="GD498" s="139"/>
      <c r="GE498" s="3"/>
      <c r="GF498" s="3"/>
    </row>
    <row r="499" spans="1:188" s="125" customFormat="1" ht="13.5" customHeight="1">
      <c r="A499" s="76">
        <v>39</v>
      </c>
      <c r="B499" s="56"/>
      <c r="C499" s="18"/>
      <c r="D499" s="19" t="s">
        <v>1131</v>
      </c>
      <c r="E499" s="20"/>
      <c r="F499" s="82" t="s">
        <v>1366</v>
      </c>
      <c r="G499" s="58"/>
      <c r="H499" s="121"/>
      <c r="I499" s="24"/>
      <c r="J499" s="24"/>
      <c r="K499" s="24">
        <f t="shared" si="35"/>
        <v>0</v>
      </c>
      <c r="L499" s="123"/>
      <c r="M499" s="24">
        <f>K499*L499</f>
        <v>0</v>
      </c>
      <c r="N499" s="129">
        <f t="shared" si="36"/>
        <v>0</v>
      </c>
      <c r="O499" s="28" t="s">
        <v>1057</v>
      </c>
      <c r="P499" s="3"/>
      <c r="Q499" s="3"/>
      <c r="R499" s="3"/>
      <c r="S499" s="3"/>
      <c r="T499" s="3"/>
      <c r="U499" s="3"/>
      <c r="V499" s="131"/>
      <c r="W499" s="15"/>
      <c r="X499" s="3"/>
      <c r="Y499" s="3"/>
      <c r="Z499" s="3"/>
      <c r="AA499" s="3"/>
      <c r="AB499" s="3"/>
      <c r="AC499" s="131"/>
      <c r="AD499" s="15"/>
      <c r="AE499" s="99"/>
      <c r="AF499" s="149"/>
      <c r="AG499" s="134"/>
      <c r="AH499" s="134"/>
      <c r="AI499" s="137"/>
      <c r="AJ499" s="150"/>
      <c r="AK499" s="137"/>
      <c r="AL499" s="137"/>
      <c r="AM499" s="3"/>
      <c r="AN499" s="138"/>
      <c r="AO499" s="2"/>
      <c r="AP499" s="139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131"/>
      <c r="BB499" s="15"/>
      <c r="BC499" s="99"/>
      <c r="BD499" s="149"/>
      <c r="BE499" s="134"/>
      <c r="BF499" s="134"/>
      <c r="BG499" s="137"/>
      <c r="BH499" s="150"/>
      <c r="BI499" s="137"/>
      <c r="BJ499" s="137"/>
      <c r="BK499" s="3"/>
      <c r="BL499" s="138"/>
      <c r="BM499" s="2"/>
      <c r="BN499" s="139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131"/>
      <c r="BZ499" s="15"/>
      <c r="CA499" s="99"/>
      <c r="CB499" s="149"/>
      <c r="CC499" s="134"/>
      <c r="CD499" s="134"/>
      <c r="CE499" s="137"/>
      <c r="CF499" s="150"/>
      <c r="CG499" s="137"/>
      <c r="CH499" s="137"/>
      <c r="CI499" s="3"/>
      <c r="CJ499" s="138"/>
      <c r="CK499" s="2"/>
      <c r="CL499" s="139"/>
      <c r="CM499" s="3"/>
      <c r="CN499" s="3"/>
      <c r="CO499" s="3"/>
      <c r="CP499" s="3"/>
      <c r="CQ499" s="3"/>
      <c r="CR499" s="3"/>
      <c r="CS499" s="3"/>
      <c r="CT499" s="3"/>
      <c r="CU499" s="3"/>
      <c r="CV499" s="3"/>
      <c r="CW499" s="131"/>
      <c r="CX499" s="15"/>
      <c r="CY499" s="99"/>
      <c r="CZ499" s="149"/>
      <c r="DA499" s="134"/>
      <c r="DB499" s="134"/>
      <c r="DC499" s="137"/>
      <c r="DD499" s="150"/>
      <c r="DE499" s="137"/>
      <c r="DF499" s="137"/>
      <c r="DG499" s="3"/>
      <c r="DH499" s="138"/>
      <c r="DI499" s="2"/>
      <c r="DJ499" s="139"/>
      <c r="DK499" s="3"/>
      <c r="DL499" s="3"/>
      <c r="DM499" s="3"/>
      <c r="DN499" s="3"/>
      <c r="DO499" s="3"/>
      <c r="DP499" s="3"/>
      <c r="DQ499" s="3"/>
      <c r="DR499" s="3"/>
      <c r="DS499" s="3"/>
      <c r="DT499" s="3"/>
      <c r="DU499" s="131"/>
      <c r="DV499" s="15"/>
      <c r="DW499" s="99"/>
      <c r="DX499" s="149"/>
      <c r="DY499" s="134"/>
      <c r="DZ499" s="134"/>
      <c r="EA499" s="137"/>
      <c r="EB499" s="150"/>
      <c r="EC499" s="137"/>
      <c r="ED499" s="137"/>
      <c r="EE499" s="3"/>
      <c r="EF499" s="138"/>
      <c r="EG499" s="2"/>
      <c r="EH499" s="139"/>
      <c r="EI499" s="3"/>
      <c r="EJ499" s="3"/>
      <c r="EK499" s="3"/>
      <c r="EL499" s="3"/>
      <c r="EM499" s="3"/>
      <c r="EN499" s="3"/>
      <c r="EO499" s="3"/>
      <c r="EP499" s="3"/>
      <c r="EQ499" s="3"/>
      <c r="ER499" s="3"/>
      <c r="ES499" s="131"/>
      <c r="ET499" s="15"/>
      <c r="EU499" s="99"/>
      <c r="EV499" s="149"/>
      <c r="EW499" s="134"/>
      <c r="EX499" s="134"/>
      <c r="EY499" s="137"/>
      <c r="EZ499" s="150"/>
      <c r="FA499" s="137"/>
      <c r="FB499" s="137"/>
      <c r="FC499" s="3"/>
      <c r="FD499" s="138"/>
      <c r="FE499" s="2"/>
      <c r="FF499" s="139"/>
      <c r="FG499" s="3"/>
      <c r="FH499" s="3"/>
      <c r="FI499" s="3"/>
      <c r="FJ499" s="3"/>
      <c r="FK499" s="3"/>
      <c r="FL499" s="3"/>
      <c r="FM499" s="3"/>
      <c r="FN499" s="3"/>
      <c r="FO499" s="3"/>
      <c r="FP499" s="3"/>
      <c r="FQ499" s="131"/>
      <c r="FR499" s="15"/>
      <c r="FS499" s="99"/>
      <c r="FT499" s="149"/>
      <c r="FU499" s="134"/>
      <c r="FV499" s="134"/>
      <c r="FW499" s="137"/>
      <c r="FX499" s="150"/>
      <c r="FY499" s="137"/>
      <c r="FZ499" s="137"/>
      <c r="GA499" s="3"/>
      <c r="GB499" s="138"/>
      <c r="GC499" s="2"/>
      <c r="GD499" s="139"/>
      <c r="GE499" s="3"/>
      <c r="GF499" s="3"/>
    </row>
    <row r="500" spans="1:188" s="125" customFormat="1" ht="13.5" customHeight="1">
      <c r="A500" s="76">
        <v>40</v>
      </c>
      <c r="B500" s="56"/>
      <c r="C500" s="18"/>
      <c r="D500" s="19" t="s">
        <v>1131</v>
      </c>
      <c r="E500" s="20"/>
      <c r="F500" s="62" t="s">
        <v>1367</v>
      </c>
      <c r="G500" s="63"/>
      <c r="H500" s="121"/>
      <c r="I500" s="24"/>
      <c r="J500" s="24"/>
      <c r="K500" s="24">
        <f t="shared" si="35"/>
        <v>0</v>
      </c>
      <c r="L500" s="123"/>
      <c r="M500" s="24">
        <f>K500*L500</f>
        <v>0</v>
      </c>
      <c r="N500" s="129">
        <f t="shared" si="36"/>
        <v>0</v>
      </c>
      <c r="O500" s="28" t="s">
        <v>1057</v>
      </c>
      <c r="P500" s="3"/>
      <c r="Q500" s="3"/>
      <c r="R500" s="3"/>
      <c r="S500" s="3"/>
      <c r="T500" s="3"/>
      <c r="U500" s="3"/>
      <c r="V500" s="131"/>
      <c r="W500" s="15"/>
      <c r="X500" s="3"/>
      <c r="Y500" s="3"/>
      <c r="Z500" s="3"/>
      <c r="AA500" s="3"/>
      <c r="AB500" s="3"/>
      <c r="AC500" s="131"/>
      <c r="AD500" s="15"/>
      <c r="AE500" s="99"/>
      <c r="AF500" s="149"/>
      <c r="AG500" s="134"/>
      <c r="AH500" s="134"/>
      <c r="AI500" s="137"/>
      <c r="AJ500" s="150"/>
      <c r="AK500" s="137"/>
      <c r="AL500" s="137"/>
      <c r="AM500" s="3"/>
      <c r="AN500" s="138"/>
      <c r="AO500" s="2"/>
      <c r="AP500" s="139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131"/>
      <c r="BB500" s="15"/>
      <c r="BC500" s="99"/>
      <c r="BD500" s="149"/>
      <c r="BE500" s="134"/>
      <c r="BF500" s="134"/>
      <c r="BG500" s="137"/>
      <c r="BH500" s="150"/>
      <c r="BI500" s="137"/>
      <c r="BJ500" s="137"/>
      <c r="BK500" s="3"/>
      <c r="BL500" s="138"/>
      <c r="BM500" s="2"/>
      <c r="BN500" s="139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131"/>
      <c r="BZ500" s="15"/>
      <c r="CA500" s="99"/>
      <c r="CB500" s="149"/>
      <c r="CC500" s="134"/>
      <c r="CD500" s="134"/>
      <c r="CE500" s="137"/>
      <c r="CF500" s="150"/>
      <c r="CG500" s="137"/>
      <c r="CH500" s="137"/>
      <c r="CI500" s="3"/>
      <c r="CJ500" s="138"/>
      <c r="CK500" s="2"/>
      <c r="CL500" s="139"/>
      <c r="CM500" s="3"/>
      <c r="CN500" s="3"/>
      <c r="CO500" s="3"/>
      <c r="CP500" s="3"/>
      <c r="CQ500" s="3"/>
      <c r="CR500" s="3"/>
      <c r="CS500" s="3"/>
      <c r="CT500" s="3"/>
      <c r="CU500" s="3"/>
      <c r="CV500" s="3"/>
      <c r="CW500" s="131"/>
      <c r="CX500" s="15"/>
      <c r="CY500" s="99"/>
      <c r="CZ500" s="149"/>
      <c r="DA500" s="134"/>
      <c r="DB500" s="134"/>
      <c r="DC500" s="137"/>
      <c r="DD500" s="150"/>
      <c r="DE500" s="137"/>
      <c r="DF500" s="137"/>
      <c r="DG500" s="3"/>
      <c r="DH500" s="138"/>
      <c r="DI500" s="2"/>
      <c r="DJ500" s="139"/>
      <c r="DK500" s="3"/>
      <c r="DL500" s="3"/>
      <c r="DM500" s="3"/>
      <c r="DN500" s="3"/>
      <c r="DO500" s="3"/>
      <c r="DP500" s="3"/>
      <c r="DQ500" s="3"/>
      <c r="DR500" s="3"/>
      <c r="DS500" s="3"/>
      <c r="DT500" s="3"/>
      <c r="DU500" s="131"/>
      <c r="DV500" s="15"/>
      <c r="DW500" s="99"/>
      <c r="DX500" s="149"/>
      <c r="DY500" s="134"/>
      <c r="DZ500" s="134"/>
      <c r="EA500" s="137"/>
      <c r="EB500" s="150"/>
      <c r="EC500" s="137"/>
      <c r="ED500" s="137"/>
      <c r="EE500" s="3"/>
      <c r="EF500" s="138"/>
      <c r="EG500" s="2"/>
      <c r="EH500" s="139"/>
      <c r="EI500" s="3"/>
      <c r="EJ500" s="3"/>
      <c r="EK500" s="3"/>
      <c r="EL500" s="3"/>
      <c r="EM500" s="3"/>
      <c r="EN500" s="3"/>
      <c r="EO500" s="3"/>
      <c r="EP500" s="3"/>
      <c r="EQ500" s="3"/>
      <c r="ER500" s="3"/>
      <c r="ES500" s="131"/>
      <c r="ET500" s="15"/>
      <c r="EU500" s="99"/>
      <c r="EV500" s="149"/>
      <c r="EW500" s="134"/>
      <c r="EX500" s="134"/>
      <c r="EY500" s="137"/>
      <c r="EZ500" s="150"/>
      <c r="FA500" s="137"/>
      <c r="FB500" s="137"/>
      <c r="FC500" s="3"/>
      <c r="FD500" s="138"/>
      <c r="FE500" s="2"/>
      <c r="FF500" s="139"/>
      <c r="FG500" s="3"/>
      <c r="FH500" s="3"/>
      <c r="FI500" s="3"/>
      <c r="FJ500" s="3"/>
      <c r="FK500" s="3"/>
      <c r="FL500" s="3"/>
      <c r="FM500" s="3"/>
      <c r="FN500" s="3"/>
      <c r="FO500" s="3"/>
      <c r="FP500" s="3"/>
      <c r="FQ500" s="131"/>
      <c r="FR500" s="15"/>
      <c r="FS500" s="99"/>
      <c r="FT500" s="149"/>
      <c r="FU500" s="134"/>
      <c r="FV500" s="134"/>
      <c r="FW500" s="137"/>
      <c r="FX500" s="150"/>
      <c r="FY500" s="137"/>
      <c r="FZ500" s="137"/>
      <c r="GA500" s="3"/>
      <c r="GB500" s="138"/>
      <c r="GC500" s="2"/>
      <c r="GD500" s="139"/>
      <c r="GE500" s="3"/>
      <c r="GF500" s="3"/>
    </row>
    <row r="501" spans="1:188" s="125" customFormat="1" ht="13.5" customHeight="1">
      <c r="A501" s="76">
        <v>41</v>
      </c>
      <c r="B501" s="60"/>
      <c r="C501" s="18"/>
      <c r="D501" s="19" t="s">
        <v>1186</v>
      </c>
      <c r="E501" s="20"/>
      <c r="F501" s="168" t="s">
        <v>1368</v>
      </c>
      <c r="G501" s="63"/>
      <c r="H501" s="121"/>
      <c r="I501" s="24"/>
      <c r="J501" s="24"/>
      <c r="K501" s="24">
        <f t="shared" si="35"/>
        <v>0</v>
      </c>
      <c r="L501" s="123"/>
      <c r="M501" s="24">
        <f>K501*L501</f>
        <v>0</v>
      </c>
      <c r="N501" s="129">
        <f t="shared" si="36"/>
        <v>0</v>
      </c>
      <c r="O501" s="28" t="s">
        <v>1057</v>
      </c>
      <c r="P501" s="3"/>
      <c r="Q501" s="3"/>
      <c r="R501" s="3"/>
      <c r="S501" s="3"/>
      <c r="T501" s="3"/>
      <c r="U501" s="3"/>
      <c r="V501" s="131"/>
      <c r="W501" s="15"/>
      <c r="X501" s="3"/>
      <c r="Y501" s="3"/>
      <c r="Z501" s="3"/>
      <c r="AA501" s="3"/>
      <c r="AB501" s="3"/>
      <c r="AC501" s="131"/>
      <c r="AD501" s="15"/>
      <c r="AE501" s="99"/>
      <c r="AF501" s="149"/>
      <c r="AG501" s="134"/>
      <c r="AH501" s="134"/>
      <c r="AI501" s="137"/>
      <c r="AJ501" s="150"/>
      <c r="AK501" s="137"/>
      <c r="AL501" s="137"/>
      <c r="AM501" s="3"/>
      <c r="AN501" s="138"/>
      <c r="AO501" s="2"/>
      <c r="AP501" s="139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131"/>
      <c r="BB501" s="15"/>
      <c r="BC501" s="99"/>
      <c r="BD501" s="149"/>
      <c r="BE501" s="134"/>
      <c r="BF501" s="134"/>
      <c r="BG501" s="137"/>
      <c r="BH501" s="150"/>
      <c r="BI501" s="137"/>
      <c r="BJ501" s="137"/>
      <c r="BK501" s="3"/>
      <c r="BL501" s="138"/>
      <c r="BM501" s="2"/>
      <c r="BN501" s="139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131"/>
      <c r="BZ501" s="15"/>
      <c r="CA501" s="99"/>
      <c r="CB501" s="149"/>
      <c r="CC501" s="134"/>
      <c r="CD501" s="134"/>
      <c r="CE501" s="137"/>
      <c r="CF501" s="150"/>
      <c r="CG501" s="137"/>
      <c r="CH501" s="137"/>
      <c r="CI501" s="3"/>
      <c r="CJ501" s="138"/>
      <c r="CK501" s="2"/>
      <c r="CL501" s="139"/>
      <c r="CM501" s="3"/>
      <c r="CN501" s="3"/>
      <c r="CO501" s="3"/>
      <c r="CP501" s="3"/>
      <c r="CQ501" s="3"/>
      <c r="CR501" s="3"/>
      <c r="CS501" s="3"/>
      <c r="CT501" s="3"/>
      <c r="CU501" s="3"/>
      <c r="CV501" s="3"/>
      <c r="CW501" s="131"/>
      <c r="CX501" s="15"/>
      <c r="CY501" s="99"/>
      <c r="CZ501" s="149"/>
      <c r="DA501" s="134"/>
      <c r="DB501" s="134"/>
      <c r="DC501" s="137"/>
      <c r="DD501" s="150"/>
      <c r="DE501" s="137"/>
      <c r="DF501" s="137"/>
      <c r="DG501" s="3"/>
      <c r="DH501" s="138"/>
      <c r="DI501" s="2"/>
      <c r="DJ501" s="139"/>
      <c r="DK501" s="3"/>
      <c r="DL501" s="3"/>
      <c r="DM501" s="3"/>
      <c r="DN501" s="3"/>
      <c r="DO501" s="3"/>
      <c r="DP501" s="3"/>
      <c r="DQ501" s="3"/>
      <c r="DR501" s="3"/>
      <c r="DS501" s="3"/>
      <c r="DT501" s="3"/>
      <c r="DU501" s="131"/>
      <c r="DV501" s="15"/>
      <c r="DW501" s="99"/>
      <c r="DX501" s="149"/>
      <c r="DY501" s="134"/>
      <c r="DZ501" s="134"/>
      <c r="EA501" s="137"/>
      <c r="EB501" s="150"/>
      <c r="EC501" s="137"/>
      <c r="ED501" s="137"/>
      <c r="EE501" s="3"/>
      <c r="EF501" s="138"/>
      <c r="EG501" s="2"/>
      <c r="EH501" s="139"/>
      <c r="EI501" s="3"/>
      <c r="EJ501" s="3"/>
      <c r="EK501" s="3"/>
      <c r="EL501" s="3"/>
      <c r="EM501" s="3"/>
      <c r="EN501" s="3"/>
      <c r="EO501" s="3"/>
      <c r="EP501" s="3"/>
      <c r="EQ501" s="3"/>
      <c r="ER501" s="3"/>
      <c r="ES501" s="131"/>
      <c r="ET501" s="15"/>
      <c r="EU501" s="99"/>
      <c r="EV501" s="149"/>
      <c r="EW501" s="134"/>
      <c r="EX501" s="134"/>
      <c r="EY501" s="137"/>
      <c r="EZ501" s="150"/>
      <c r="FA501" s="137"/>
      <c r="FB501" s="137"/>
      <c r="FC501" s="3"/>
      <c r="FD501" s="138"/>
      <c r="FE501" s="2"/>
      <c r="FF501" s="139"/>
      <c r="FG501" s="3"/>
      <c r="FH501" s="3"/>
      <c r="FI501" s="3"/>
      <c r="FJ501" s="3"/>
      <c r="FK501" s="3"/>
      <c r="FL501" s="3"/>
      <c r="FM501" s="3"/>
      <c r="FN501" s="3"/>
      <c r="FO501" s="3"/>
      <c r="FP501" s="3"/>
      <c r="FQ501" s="131"/>
      <c r="FR501" s="15"/>
      <c r="FS501" s="99"/>
      <c r="FT501" s="149"/>
      <c r="FU501" s="134"/>
      <c r="FV501" s="134"/>
      <c r="FW501" s="137"/>
      <c r="FX501" s="150"/>
      <c r="FY501" s="137"/>
      <c r="FZ501" s="137"/>
      <c r="GA501" s="3"/>
      <c r="GB501" s="138"/>
      <c r="GC501" s="2"/>
      <c r="GD501" s="139"/>
      <c r="GE501" s="3"/>
      <c r="GF501" s="3"/>
    </row>
    <row r="502" spans="1:188" s="125" customFormat="1" ht="13.5" customHeight="1" thickBot="1">
      <c r="A502" s="88"/>
      <c r="B502" s="89"/>
      <c r="C502" s="90"/>
      <c r="D502" s="91"/>
      <c r="E502" s="214"/>
      <c r="F502" s="93" t="s">
        <v>1011</v>
      </c>
      <c r="G502" s="94"/>
      <c r="H502" s="95"/>
      <c r="I502" s="96">
        <f>SUM(I169:I501)</f>
        <v>316631904</v>
      </c>
      <c r="J502" s="96">
        <f t="shared" ref="J502:N502" si="37">SUM(J169:J501)</f>
        <v>319558411.57142866</v>
      </c>
      <c r="K502" s="96">
        <f t="shared" si="37"/>
        <v>636190315.57142913</v>
      </c>
      <c r="L502" s="96">
        <f t="shared" si="37"/>
        <v>171</v>
      </c>
      <c r="M502" s="96">
        <f t="shared" si="37"/>
        <v>370248981.28571433</v>
      </c>
      <c r="N502" s="97">
        <f t="shared" si="37"/>
        <v>265941334.28571436</v>
      </c>
      <c r="O502" s="108"/>
      <c r="P502" s="3"/>
      <c r="Q502" s="3"/>
      <c r="R502" s="3"/>
      <c r="S502" s="3"/>
      <c r="T502" s="3"/>
      <c r="U502" s="3"/>
      <c r="V502" s="131"/>
      <c r="W502" s="15"/>
      <c r="X502" s="3"/>
      <c r="Y502" s="3"/>
      <c r="Z502" s="3"/>
      <c r="AA502" s="3"/>
      <c r="AB502" s="3"/>
      <c r="AC502" s="131"/>
      <c r="AD502" s="15"/>
      <c r="AE502" s="99"/>
      <c r="AF502" s="149"/>
      <c r="AG502" s="134"/>
      <c r="AH502" s="134"/>
      <c r="AI502" s="137"/>
      <c r="AJ502" s="150"/>
      <c r="AK502" s="137"/>
      <c r="AL502" s="137"/>
      <c r="AM502" s="3"/>
      <c r="AN502" s="138"/>
      <c r="AO502" s="2"/>
      <c r="AP502" s="139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131"/>
      <c r="BB502" s="15"/>
      <c r="BC502" s="99"/>
      <c r="BD502" s="149"/>
      <c r="BE502" s="134"/>
      <c r="BF502" s="134"/>
      <c r="BG502" s="137"/>
      <c r="BH502" s="150"/>
      <c r="BI502" s="137"/>
      <c r="BJ502" s="137"/>
      <c r="BK502" s="3"/>
      <c r="BL502" s="138"/>
      <c r="BM502" s="2"/>
      <c r="BN502" s="139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131"/>
      <c r="BZ502" s="15"/>
      <c r="CA502" s="99"/>
      <c r="CB502" s="149"/>
      <c r="CC502" s="134"/>
      <c r="CD502" s="134"/>
      <c r="CE502" s="137"/>
      <c r="CF502" s="150"/>
      <c r="CG502" s="137"/>
      <c r="CH502" s="137"/>
      <c r="CI502" s="3"/>
      <c r="CJ502" s="138"/>
      <c r="CK502" s="2"/>
      <c r="CL502" s="139"/>
      <c r="CM502" s="3"/>
      <c r="CN502" s="3"/>
      <c r="CO502" s="3"/>
      <c r="CP502" s="3"/>
      <c r="CQ502" s="3"/>
      <c r="CR502" s="3"/>
      <c r="CS502" s="3"/>
      <c r="CT502" s="3"/>
      <c r="CU502" s="3"/>
      <c r="CV502" s="3"/>
      <c r="CW502" s="131"/>
      <c r="CX502" s="15"/>
      <c r="CY502" s="99"/>
      <c r="CZ502" s="149"/>
      <c r="DA502" s="134"/>
      <c r="DB502" s="134"/>
      <c r="DC502" s="137"/>
      <c r="DD502" s="150"/>
      <c r="DE502" s="137"/>
      <c r="DF502" s="137"/>
      <c r="DG502" s="3"/>
      <c r="DH502" s="138"/>
      <c r="DI502" s="2"/>
      <c r="DJ502" s="139"/>
      <c r="DK502" s="3"/>
      <c r="DL502" s="3"/>
      <c r="DM502" s="3"/>
      <c r="DN502" s="3"/>
      <c r="DO502" s="3"/>
      <c r="DP502" s="3"/>
      <c r="DQ502" s="3"/>
      <c r="DR502" s="3"/>
      <c r="DS502" s="3"/>
      <c r="DT502" s="3"/>
      <c r="DU502" s="131"/>
      <c r="DV502" s="15"/>
      <c r="DW502" s="99"/>
      <c r="DX502" s="149"/>
      <c r="DY502" s="134"/>
      <c r="DZ502" s="134"/>
      <c r="EA502" s="137"/>
      <c r="EB502" s="150"/>
      <c r="EC502" s="137"/>
      <c r="ED502" s="137"/>
      <c r="EE502" s="3"/>
      <c r="EF502" s="138"/>
      <c r="EG502" s="2"/>
      <c r="EH502" s="139"/>
      <c r="EI502" s="3"/>
      <c r="EJ502" s="3"/>
      <c r="EK502" s="3"/>
      <c r="EL502" s="3"/>
      <c r="EM502" s="3"/>
      <c r="EN502" s="3"/>
      <c r="EO502" s="3"/>
      <c r="EP502" s="3"/>
      <c r="EQ502" s="3"/>
      <c r="ER502" s="3"/>
      <c r="ES502" s="131"/>
      <c r="ET502" s="15"/>
      <c r="EU502" s="99"/>
      <c r="EV502" s="149"/>
      <c r="EW502" s="134"/>
      <c r="EX502" s="134"/>
      <c r="EY502" s="137"/>
      <c r="EZ502" s="150"/>
      <c r="FA502" s="137"/>
      <c r="FB502" s="137"/>
      <c r="FC502" s="3"/>
      <c r="FD502" s="138"/>
      <c r="FE502" s="2"/>
      <c r="FF502" s="139"/>
      <c r="FG502" s="3"/>
      <c r="FH502" s="3"/>
      <c r="FI502" s="3"/>
      <c r="FJ502" s="3"/>
      <c r="FK502" s="3"/>
      <c r="FL502" s="3"/>
      <c r="FM502" s="3"/>
      <c r="FN502" s="3"/>
      <c r="FO502" s="3"/>
      <c r="FP502" s="3"/>
      <c r="FQ502" s="131"/>
      <c r="FR502" s="15"/>
      <c r="FS502" s="99"/>
      <c r="FT502" s="149"/>
      <c r="FU502" s="134"/>
      <c r="FV502" s="134"/>
      <c r="FW502" s="137"/>
      <c r="FX502" s="150"/>
      <c r="FY502" s="137"/>
      <c r="FZ502" s="137"/>
      <c r="GA502" s="3"/>
      <c r="GB502" s="138"/>
      <c r="GC502" s="2"/>
      <c r="GD502" s="139"/>
      <c r="GE502" s="3"/>
      <c r="GF502" s="3"/>
    </row>
    <row r="503" spans="1:188" s="3" customFormat="1" ht="14.25" customHeight="1" thickTop="1" thickBot="1">
      <c r="A503" s="215"/>
      <c r="B503" s="216"/>
      <c r="C503" s="217"/>
      <c r="D503" s="218"/>
      <c r="E503" s="219"/>
      <c r="F503" s="220" t="s">
        <v>1369</v>
      </c>
      <c r="G503" s="221"/>
      <c r="H503" s="222"/>
      <c r="I503" s="223">
        <f>SUM(I502,I159,I75)</f>
        <v>393174248</v>
      </c>
      <c r="J503" s="223">
        <f t="shared" ref="J503:N503" si="38">SUM(J502,J159,J75)</f>
        <v>380792733.57142866</v>
      </c>
      <c r="K503" s="223">
        <f t="shared" si="38"/>
        <v>773966981.57142913</v>
      </c>
      <c r="L503" s="223">
        <f t="shared" si="38"/>
        <v>239</v>
      </c>
      <c r="M503" s="223">
        <f t="shared" si="38"/>
        <v>440080459.23809528</v>
      </c>
      <c r="N503" s="224">
        <f t="shared" si="38"/>
        <v>333886522.33333343</v>
      </c>
      <c r="O503" s="154"/>
    </row>
    <row r="504" spans="1:188" s="3" customFormat="1" ht="15" customHeight="1" thickTop="1">
      <c r="A504" s="225"/>
      <c r="B504" s="226"/>
      <c r="C504" s="227"/>
      <c r="D504" s="228"/>
      <c r="E504" s="104"/>
      <c r="F504" s="229"/>
      <c r="G504" s="106"/>
      <c r="H504" s="107"/>
      <c r="I504" s="108"/>
      <c r="J504" s="108"/>
      <c r="K504" s="108"/>
      <c r="L504" s="108"/>
      <c r="M504" s="108"/>
      <c r="N504" s="108"/>
      <c r="O504" s="108"/>
    </row>
    <row r="505" spans="1:188" s="3" customFormat="1" ht="9.75" customHeight="1">
      <c r="A505" s="230"/>
      <c r="B505" s="101"/>
      <c r="C505" s="227"/>
      <c r="D505" s="228"/>
      <c r="E505" s="104"/>
      <c r="F505" s="231"/>
      <c r="G505" s="232"/>
      <c r="H505" s="159"/>
      <c r="I505" s="108"/>
      <c r="J505" s="108"/>
      <c r="K505" s="14"/>
      <c r="L505" s="108"/>
      <c r="M505" s="108"/>
      <c r="N505" s="108"/>
      <c r="O505" s="108"/>
    </row>
    <row r="506" spans="1:188" s="3" customFormat="1">
      <c r="A506" s="230"/>
      <c r="B506" s="101"/>
      <c r="C506" s="227"/>
      <c r="D506" s="228"/>
      <c r="E506" s="104"/>
      <c r="F506" s="233"/>
      <c r="G506" s="106"/>
      <c r="H506" s="159"/>
      <c r="I506" s="108"/>
      <c r="J506" s="108"/>
      <c r="K506" s="14"/>
      <c r="L506" s="108"/>
      <c r="M506" s="108"/>
      <c r="N506" s="108"/>
      <c r="O506" s="108"/>
    </row>
    <row r="507" spans="1:188" s="3" customFormat="1">
      <c r="A507" s="230"/>
      <c r="B507" s="101"/>
      <c r="C507" s="227"/>
      <c r="D507" s="228"/>
      <c r="E507" s="104"/>
      <c r="F507" s="233"/>
      <c r="G507" s="106"/>
      <c r="H507" s="159"/>
      <c r="I507" s="108"/>
      <c r="J507" s="108"/>
      <c r="K507" s="14"/>
      <c r="L507" s="234"/>
      <c r="M507" s="234"/>
      <c r="N507" s="234"/>
      <c r="O507" s="234"/>
    </row>
    <row r="508" spans="1:188" s="3" customFormat="1">
      <c r="A508" s="230"/>
      <c r="B508" s="101"/>
      <c r="C508" s="227"/>
      <c r="D508" s="228"/>
      <c r="E508" s="104"/>
      <c r="F508" s="233"/>
      <c r="G508" s="106"/>
      <c r="H508" s="159"/>
      <c r="I508" s="108"/>
      <c r="J508" s="108"/>
      <c r="K508" s="14"/>
      <c r="L508" s="108"/>
      <c r="M508" s="108"/>
      <c r="N508" s="108"/>
      <c r="O508" s="108"/>
    </row>
    <row r="509" spans="1:188" s="3" customFormat="1">
      <c r="A509" s="230"/>
      <c r="B509" s="101"/>
      <c r="C509" s="227"/>
      <c r="D509" s="228"/>
      <c r="E509" s="104"/>
      <c r="F509" s="233"/>
      <c r="G509" s="106"/>
      <c r="H509" s="159"/>
      <c r="I509" s="108"/>
      <c r="J509" s="108"/>
      <c r="K509" s="14"/>
      <c r="L509" s="108"/>
      <c r="M509" s="108"/>
      <c r="N509" s="108"/>
      <c r="O509" s="108"/>
    </row>
    <row r="510" spans="1:188" s="3" customFormat="1" ht="14.25" thickBot="1">
      <c r="A510" s="230"/>
      <c r="B510" s="101"/>
      <c r="C510" s="227"/>
      <c r="D510" s="228"/>
      <c r="E510" s="104"/>
      <c r="F510" s="233"/>
      <c r="G510" s="106"/>
      <c r="H510" s="159"/>
      <c r="I510" s="108"/>
      <c r="J510" s="108"/>
      <c r="K510" s="163"/>
      <c r="L510" s="98"/>
      <c r="M510" s="98"/>
      <c r="N510" s="98"/>
      <c r="O510" s="98"/>
    </row>
    <row r="511" spans="1:188" s="3" customFormat="1" ht="14.25" thickTop="1">
      <c r="A511" s="230"/>
      <c r="B511" s="101"/>
      <c r="C511" s="227"/>
      <c r="D511" s="228"/>
      <c r="E511" s="104"/>
      <c r="F511" s="235"/>
      <c r="G511" s="162"/>
      <c r="H511" s="107"/>
      <c r="I511" s="108"/>
      <c r="J511" s="108"/>
      <c r="K511" s="108"/>
      <c r="L511" s="108"/>
      <c r="M511" s="108"/>
      <c r="N511" s="108"/>
      <c r="O511" s="108"/>
    </row>
    <row r="512" spans="1:188" s="3" customFormat="1" ht="14.25" thickBot="1">
      <c r="A512" s="230"/>
      <c r="B512" s="101"/>
      <c r="C512" s="227"/>
      <c r="D512" s="228"/>
      <c r="E512" s="104"/>
      <c r="F512" s="233"/>
      <c r="G512" s="106"/>
      <c r="H512" s="107"/>
      <c r="I512" s="108"/>
      <c r="J512" s="108"/>
      <c r="K512" s="108"/>
      <c r="L512" s="108"/>
      <c r="M512" s="108"/>
      <c r="N512" s="108"/>
      <c r="O512" s="108"/>
    </row>
    <row r="513" spans="1:188" s="3" customFormat="1" ht="14.25" thickTop="1">
      <c r="A513" s="236" t="s">
        <v>1056</v>
      </c>
      <c r="B513" s="5" t="s">
        <v>1005</v>
      </c>
      <c r="C513" s="6" t="s">
        <v>1006</v>
      </c>
      <c r="D513" s="7"/>
      <c r="E513" s="8" t="s">
        <v>1007</v>
      </c>
      <c r="F513" s="119" t="s">
        <v>1008</v>
      </c>
      <c r="G513" s="10"/>
      <c r="H513" s="11"/>
      <c r="I513" s="12" t="s">
        <v>1010</v>
      </c>
      <c r="J513" s="12" t="s">
        <v>1009</v>
      </c>
      <c r="K513" s="12" t="s">
        <v>1011</v>
      </c>
      <c r="L513" s="12" t="s">
        <v>1012</v>
      </c>
      <c r="M513" s="12" t="s">
        <v>1370</v>
      </c>
      <c r="N513" s="13" t="s">
        <v>1014</v>
      </c>
      <c r="O513" s="14"/>
    </row>
    <row r="514" spans="1:188" s="3" customFormat="1" ht="15" customHeight="1">
      <c r="A514" s="76">
        <v>1</v>
      </c>
      <c r="B514" s="237"/>
      <c r="C514" s="18"/>
      <c r="D514" s="19" t="s">
        <v>1371</v>
      </c>
      <c r="E514" s="20">
        <v>1</v>
      </c>
      <c r="F514" s="82" t="s">
        <v>1372</v>
      </c>
      <c r="G514" s="58"/>
      <c r="H514" s="121"/>
      <c r="I514" s="24">
        <v>1459238</v>
      </c>
      <c r="J514" s="24"/>
      <c r="K514" s="24">
        <f>I514+J514</f>
        <v>1459238</v>
      </c>
      <c r="L514" s="123"/>
      <c r="M514" s="24"/>
      <c r="N514" s="129">
        <f>K514-M514</f>
        <v>1459238</v>
      </c>
      <c r="O514" s="108"/>
    </row>
    <row r="515" spans="1:188" s="3" customFormat="1">
      <c r="A515" s="76">
        <v>2</v>
      </c>
      <c r="B515" s="237"/>
      <c r="C515" s="18"/>
      <c r="D515" s="19" t="s">
        <v>1371</v>
      </c>
      <c r="E515" s="20">
        <v>1</v>
      </c>
      <c r="F515" s="82" t="s">
        <v>1373</v>
      </c>
      <c r="G515" s="58"/>
      <c r="H515" s="121"/>
      <c r="I515" s="24">
        <v>1266571</v>
      </c>
      <c r="J515" s="24"/>
      <c r="K515" s="199">
        <f>I515+J515</f>
        <v>1266571</v>
      </c>
      <c r="L515" s="26"/>
      <c r="M515" s="24"/>
      <c r="N515" s="129">
        <f>K515-M515</f>
        <v>1266571</v>
      </c>
      <c r="O515" s="108"/>
      <c r="P515" s="125"/>
      <c r="Q515" s="125"/>
      <c r="R515" s="125"/>
      <c r="S515" s="125"/>
      <c r="T515" s="125"/>
      <c r="U515" s="125"/>
      <c r="V515" s="125"/>
      <c r="W515" s="125"/>
      <c r="X515" s="125"/>
      <c r="Y515" s="125"/>
      <c r="Z515" s="125"/>
      <c r="AA515" s="125"/>
      <c r="AB515" s="125"/>
      <c r="AC515" s="125"/>
      <c r="AD515" s="125"/>
      <c r="AE515" s="167"/>
      <c r="AF515" s="167"/>
      <c r="AG515" s="167"/>
      <c r="AH515" s="167"/>
      <c r="AI515" s="167"/>
      <c r="AJ515" s="167"/>
      <c r="AK515" s="167"/>
      <c r="AL515" s="167"/>
      <c r="AM515" s="125"/>
      <c r="AN515" s="125"/>
      <c r="AO515" s="125"/>
      <c r="AP515" s="125"/>
      <c r="AQ515" s="125"/>
      <c r="AR515" s="125"/>
      <c r="AS515" s="125"/>
      <c r="AT515" s="125"/>
      <c r="AU515" s="125"/>
      <c r="AV515" s="125"/>
      <c r="AW515" s="125"/>
      <c r="AX515" s="125"/>
      <c r="AY515" s="125"/>
      <c r="AZ515" s="125"/>
      <c r="BA515" s="125"/>
      <c r="BB515" s="125"/>
      <c r="BC515" s="167"/>
      <c r="BD515" s="167"/>
      <c r="BE515" s="167"/>
      <c r="BF515" s="167"/>
      <c r="BG515" s="167"/>
      <c r="BH515" s="167"/>
      <c r="BI515" s="167"/>
      <c r="BJ515" s="167"/>
      <c r="BK515" s="125"/>
      <c r="BL515" s="125"/>
      <c r="BM515" s="125"/>
      <c r="BN515" s="125"/>
      <c r="BO515" s="125"/>
      <c r="BP515" s="125"/>
      <c r="BQ515" s="125"/>
      <c r="BR515" s="125"/>
      <c r="BS515" s="125"/>
      <c r="BT515" s="125"/>
      <c r="BU515" s="125"/>
      <c r="BV515" s="125"/>
      <c r="BW515" s="125"/>
      <c r="BX515" s="125"/>
      <c r="BY515" s="125"/>
      <c r="BZ515" s="125"/>
      <c r="CA515" s="167"/>
      <c r="CB515" s="167"/>
      <c r="CC515" s="167"/>
      <c r="CD515" s="167"/>
      <c r="CE515" s="167"/>
      <c r="CF515" s="167"/>
      <c r="CG515" s="167"/>
      <c r="CH515" s="167"/>
      <c r="CI515" s="125"/>
      <c r="CJ515" s="125"/>
      <c r="CK515" s="125"/>
      <c r="CL515" s="125"/>
      <c r="CM515" s="125"/>
      <c r="CN515" s="125"/>
      <c r="CO515" s="125"/>
      <c r="CP515" s="125"/>
      <c r="CQ515" s="125"/>
      <c r="CR515" s="125"/>
      <c r="CS515" s="125"/>
      <c r="CT515" s="125"/>
      <c r="CU515" s="125"/>
      <c r="CV515" s="125"/>
      <c r="CW515" s="125"/>
      <c r="CX515" s="125"/>
      <c r="CY515" s="167"/>
      <c r="CZ515" s="167"/>
      <c r="DA515" s="167"/>
      <c r="DB515" s="167"/>
      <c r="DC515" s="167"/>
      <c r="DD515" s="167"/>
      <c r="DE515" s="167"/>
      <c r="DF515" s="167"/>
      <c r="DG515" s="125"/>
      <c r="DH515" s="125"/>
      <c r="DI515" s="125"/>
      <c r="DJ515" s="125"/>
      <c r="DK515" s="125"/>
      <c r="DL515" s="125"/>
      <c r="DM515" s="125"/>
      <c r="DN515" s="125"/>
      <c r="DO515" s="125"/>
      <c r="DP515" s="125"/>
      <c r="DQ515" s="125"/>
      <c r="DR515" s="125"/>
      <c r="DS515" s="125"/>
      <c r="DT515" s="125"/>
      <c r="DU515" s="125"/>
      <c r="DV515" s="125"/>
      <c r="DW515" s="167"/>
      <c r="DX515" s="167"/>
      <c r="DY515" s="167"/>
      <c r="DZ515" s="167"/>
      <c r="EA515" s="167"/>
      <c r="EB515" s="167"/>
      <c r="EC515" s="167"/>
      <c r="ED515" s="167"/>
      <c r="EE515" s="125"/>
      <c r="EF515" s="125"/>
      <c r="EG515" s="125"/>
      <c r="EH515" s="125"/>
      <c r="EI515" s="125"/>
      <c r="EJ515" s="125"/>
      <c r="EK515" s="125"/>
      <c r="EL515" s="125"/>
      <c r="EM515" s="125"/>
      <c r="EN515" s="125"/>
      <c r="EO515" s="125"/>
      <c r="EP515" s="125"/>
      <c r="EQ515" s="125"/>
      <c r="ER515" s="125"/>
      <c r="ES515" s="125"/>
      <c r="ET515" s="125"/>
      <c r="EU515" s="167"/>
      <c r="EV515" s="167"/>
      <c r="EW515" s="167"/>
      <c r="EX515" s="167"/>
      <c r="EY515" s="167"/>
      <c r="EZ515" s="167"/>
      <c r="FA515" s="167"/>
      <c r="FB515" s="167"/>
      <c r="FC515" s="125"/>
      <c r="FD515" s="125"/>
      <c r="FE515" s="125"/>
      <c r="FF515" s="125"/>
      <c r="FG515" s="125"/>
      <c r="FH515" s="125"/>
      <c r="FI515" s="125"/>
      <c r="FJ515" s="125"/>
      <c r="FK515" s="125"/>
      <c r="FL515" s="125"/>
      <c r="FM515" s="125"/>
      <c r="FN515" s="125"/>
      <c r="FO515" s="125"/>
      <c r="FP515" s="125"/>
      <c r="FQ515" s="125"/>
      <c r="FR515" s="125"/>
      <c r="FS515" s="167"/>
      <c r="FT515" s="167"/>
      <c r="FU515" s="167"/>
      <c r="FV515" s="167"/>
      <c r="FW515" s="167"/>
      <c r="FX515" s="167"/>
      <c r="FY515" s="167"/>
      <c r="FZ515" s="167"/>
      <c r="GA515" s="125"/>
      <c r="GB515" s="125"/>
      <c r="GC515" s="125"/>
      <c r="GD515" s="125"/>
      <c r="GE515" s="125"/>
      <c r="GF515" s="125"/>
    </row>
    <row r="516" spans="1:188" s="3" customFormat="1">
      <c r="A516" s="76">
        <v>3</v>
      </c>
      <c r="B516" s="237"/>
      <c r="C516" s="18"/>
      <c r="D516" s="19" t="s">
        <v>1371</v>
      </c>
      <c r="E516" s="20">
        <v>1</v>
      </c>
      <c r="F516" s="24" t="s">
        <v>844</v>
      </c>
      <c r="G516" s="238"/>
      <c r="H516" s="121"/>
      <c r="I516" s="24">
        <v>1266571</v>
      </c>
      <c r="J516" s="24"/>
      <c r="K516" s="24">
        <v>1266571</v>
      </c>
      <c r="L516" s="24"/>
      <c r="M516" s="24"/>
      <c r="N516" s="129">
        <v>1266571</v>
      </c>
      <c r="O516" s="108"/>
      <c r="P516" s="125"/>
      <c r="Q516" s="125"/>
      <c r="R516" s="125"/>
      <c r="S516" s="125"/>
      <c r="T516" s="125"/>
      <c r="U516" s="125"/>
      <c r="V516" s="187"/>
      <c r="W516" s="188"/>
      <c r="X516" s="125"/>
      <c r="Y516" s="125"/>
      <c r="Z516" s="125"/>
      <c r="AA516" s="125"/>
      <c r="AB516" s="125"/>
      <c r="AC516" s="187"/>
      <c r="AD516" s="188"/>
      <c r="AE516" s="189"/>
      <c r="AF516" s="190"/>
      <c r="AG516" s="191"/>
      <c r="AH516" s="191"/>
      <c r="AI516" s="192"/>
      <c r="AJ516" s="182"/>
      <c r="AK516" s="183"/>
      <c r="AL516" s="183"/>
      <c r="AM516" s="125"/>
      <c r="AN516" s="184"/>
      <c r="AO516" s="185"/>
      <c r="AP516" s="186"/>
      <c r="AQ516" s="125"/>
      <c r="AR516" s="125"/>
      <c r="AS516" s="125"/>
      <c r="AT516" s="125"/>
      <c r="AU516" s="125"/>
      <c r="AV516" s="125"/>
      <c r="AW516" s="125"/>
      <c r="AX516" s="125"/>
      <c r="AY516" s="125"/>
      <c r="AZ516" s="125"/>
      <c r="BA516" s="187"/>
      <c r="BB516" s="188"/>
      <c r="BC516" s="189"/>
      <c r="BD516" s="190"/>
      <c r="BE516" s="191"/>
      <c r="BF516" s="191"/>
      <c r="BG516" s="192"/>
      <c r="BH516" s="182"/>
      <c r="BI516" s="183"/>
      <c r="BJ516" s="183"/>
      <c r="BK516" s="125"/>
      <c r="BL516" s="184"/>
      <c r="BM516" s="185"/>
      <c r="BN516" s="186"/>
      <c r="BO516" s="125"/>
      <c r="BP516" s="125"/>
      <c r="BQ516" s="125"/>
      <c r="BR516" s="125"/>
      <c r="BS516" s="125"/>
      <c r="BT516" s="125"/>
      <c r="BU516" s="125"/>
      <c r="BV516" s="125"/>
      <c r="BW516" s="125"/>
      <c r="BX516" s="125"/>
      <c r="BY516" s="187"/>
      <c r="BZ516" s="188"/>
      <c r="CA516" s="189"/>
      <c r="CB516" s="190"/>
      <c r="CC516" s="191"/>
      <c r="CD516" s="191"/>
      <c r="CE516" s="192"/>
      <c r="CF516" s="182"/>
      <c r="CG516" s="183"/>
      <c r="CH516" s="183"/>
      <c r="CI516" s="125"/>
      <c r="CJ516" s="184"/>
      <c r="CK516" s="185"/>
      <c r="CL516" s="186"/>
      <c r="CM516" s="125"/>
      <c r="CN516" s="125"/>
      <c r="CO516" s="125"/>
      <c r="CP516" s="125"/>
      <c r="CQ516" s="125"/>
      <c r="CR516" s="125"/>
      <c r="CS516" s="125"/>
      <c r="CT516" s="125"/>
      <c r="CU516" s="125"/>
      <c r="CV516" s="125"/>
      <c r="CW516" s="187"/>
      <c r="CX516" s="188"/>
      <c r="CY516" s="189"/>
      <c r="CZ516" s="190"/>
      <c r="DA516" s="191"/>
      <c r="DB516" s="191"/>
      <c r="DC516" s="192"/>
      <c r="DD516" s="182"/>
      <c r="DE516" s="183"/>
      <c r="DF516" s="183"/>
      <c r="DG516" s="125"/>
      <c r="DH516" s="184"/>
      <c r="DI516" s="185"/>
      <c r="DJ516" s="186"/>
      <c r="DK516" s="125"/>
      <c r="DL516" s="125"/>
      <c r="DM516" s="125"/>
      <c r="DN516" s="125"/>
      <c r="DO516" s="125"/>
      <c r="DP516" s="125"/>
      <c r="DQ516" s="125"/>
      <c r="DR516" s="125"/>
      <c r="DS516" s="125"/>
      <c r="DT516" s="125"/>
      <c r="DU516" s="187"/>
      <c r="DV516" s="188"/>
      <c r="DW516" s="189"/>
      <c r="DX516" s="190"/>
      <c r="DY516" s="191"/>
      <c r="DZ516" s="191"/>
      <c r="EA516" s="192"/>
      <c r="EB516" s="182"/>
      <c r="EC516" s="183"/>
      <c r="ED516" s="183"/>
      <c r="EE516" s="125"/>
      <c r="EF516" s="184"/>
      <c r="EG516" s="185"/>
      <c r="EH516" s="186"/>
      <c r="EI516" s="125"/>
      <c r="EJ516" s="125"/>
      <c r="EK516" s="125"/>
      <c r="EL516" s="125"/>
      <c r="EM516" s="125"/>
      <c r="EN516" s="125"/>
      <c r="EO516" s="125"/>
      <c r="EP516" s="125"/>
      <c r="EQ516" s="125"/>
      <c r="ER516" s="125"/>
      <c r="ES516" s="187"/>
      <c r="ET516" s="188"/>
      <c r="EU516" s="189"/>
      <c r="EV516" s="190"/>
      <c r="EW516" s="191"/>
      <c r="EX516" s="191"/>
      <c r="EY516" s="192"/>
      <c r="EZ516" s="182"/>
      <c r="FA516" s="183"/>
      <c r="FB516" s="183"/>
      <c r="FC516" s="125"/>
      <c r="FD516" s="184"/>
      <c r="FE516" s="185"/>
      <c r="FF516" s="186"/>
      <c r="FG516" s="125"/>
      <c r="FH516" s="125"/>
      <c r="FI516" s="125"/>
      <c r="FJ516" s="125"/>
      <c r="FK516" s="125"/>
      <c r="FL516" s="125"/>
      <c r="FM516" s="125"/>
      <c r="FN516" s="125"/>
      <c r="FO516" s="125"/>
      <c r="FP516" s="125"/>
      <c r="FQ516" s="187"/>
      <c r="FR516" s="188"/>
      <c r="FS516" s="189"/>
      <c r="FT516" s="190"/>
      <c r="FU516" s="191"/>
      <c r="FV516" s="191"/>
      <c r="FW516" s="192"/>
      <c r="FX516" s="182"/>
      <c r="FY516" s="183"/>
      <c r="FZ516" s="183"/>
      <c r="GA516" s="125"/>
      <c r="GB516" s="184"/>
      <c r="GC516" s="185"/>
      <c r="GD516" s="186"/>
      <c r="GE516" s="125"/>
      <c r="GF516" s="125"/>
    </row>
    <row r="517" spans="1:188" s="125" customFormat="1">
      <c r="A517" s="76">
        <v>4</v>
      </c>
      <c r="B517" s="237"/>
      <c r="C517" s="18"/>
      <c r="D517" s="19" t="s">
        <v>1371</v>
      </c>
      <c r="E517" s="20">
        <v>1</v>
      </c>
      <c r="F517" s="82" t="s">
        <v>1374</v>
      </c>
      <c r="G517" s="58"/>
      <c r="H517" s="121"/>
      <c r="I517" s="24">
        <v>1266571</v>
      </c>
      <c r="J517" s="24"/>
      <c r="K517" s="199">
        <f>I517+J517</f>
        <v>1266571</v>
      </c>
      <c r="L517" s="26"/>
      <c r="M517" s="24"/>
      <c r="N517" s="129">
        <f>K517-M517</f>
        <v>1266571</v>
      </c>
      <c r="O517" s="108"/>
      <c r="AE517" s="167"/>
      <c r="AF517" s="167"/>
      <c r="AG517" s="167"/>
      <c r="AH517" s="167"/>
      <c r="AI517" s="167"/>
      <c r="AJ517" s="167"/>
      <c r="AK517" s="167"/>
      <c r="AL517" s="167"/>
      <c r="BC517" s="167"/>
      <c r="BD517" s="167"/>
      <c r="BE517" s="167"/>
      <c r="BF517" s="167"/>
      <c r="BG517" s="167"/>
      <c r="BH517" s="167"/>
      <c r="BI517" s="167"/>
      <c r="BJ517" s="167"/>
      <c r="CA517" s="167"/>
      <c r="CB517" s="167"/>
      <c r="CC517" s="167"/>
      <c r="CD517" s="167"/>
      <c r="CE517" s="167"/>
      <c r="CF517" s="167"/>
      <c r="CG517" s="167"/>
      <c r="CH517" s="167"/>
      <c r="CY517" s="167"/>
      <c r="CZ517" s="167"/>
      <c r="DA517" s="167"/>
      <c r="DB517" s="167"/>
      <c r="DC517" s="167"/>
      <c r="DD517" s="167"/>
      <c r="DE517" s="167"/>
      <c r="DF517" s="167"/>
      <c r="DW517" s="167"/>
      <c r="DX517" s="167"/>
      <c r="DY517" s="167"/>
      <c r="DZ517" s="167"/>
      <c r="EA517" s="167"/>
      <c r="EB517" s="167"/>
      <c r="EC517" s="167"/>
      <c r="ED517" s="167"/>
      <c r="EU517" s="167"/>
      <c r="EV517" s="167"/>
      <c r="EW517" s="167"/>
      <c r="EX517" s="167"/>
      <c r="EY517" s="167"/>
      <c r="EZ517" s="167"/>
      <c r="FA517" s="167"/>
      <c r="FB517" s="167"/>
      <c r="FS517" s="167"/>
      <c r="FT517" s="167"/>
      <c r="FU517" s="167"/>
      <c r="FV517" s="167"/>
      <c r="FW517" s="167"/>
      <c r="FX517" s="167"/>
      <c r="FY517" s="167"/>
      <c r="FZ517" s="167"/>
    </row>
    <row r="518" spans="1:188" s="3" customFormat="1">
      <c r="A518" s="76">
        <v>5</v>
      </c>
      <c r="B518" s="237"/>
      <c r="C518" s="18"/>
      <c r="D518" s="19" t="s">
        <v>1371</v>
      </c>
      <c r="E518" s="20">
        <v>1</v>
      </c>
      <c r="F518" s="57" t="s">
        <v>1375</v>
      </c>
      <c r="G518" s="58"/>
      <c r="H518" s="121"/>
      <c r="I518" s="24">
        <v>1266571</v>
      </c>
      <c r="J518" s="24"/>
      <c r="K518" s="24">
        <f>I518+J518</f>
        <v>1266571</v>
      </c>
      <c r="L518" s="123"/>
      <c r="M518" s="24"/>
      <c r="N518" s="129">
        <f>K518-M518</f>
        <v>1266571</v>
      </c>
      <c r="O518" s="108"/>
      <c r="P518" s="125"/>
      <c r="Q518" s="125"/>
      <c r="R518" s="125"/>
      <c r="S518" s="125"/>
      <c r="T518" s="125"/>
      <c r="U518" s="125"/>
      <c r="V518" s="125"/>
      <c r="W518" s="125"/>
      <c r="X518" s="125"/>
      <c r="Y518" s="125"/>
      <c r="Z518" s="125"/>
      <c r="AA518" s="125"/>
      <c r="AB518" s="125"/>
      <c r="AC518" s="125"/>
      <c r="AD518" s="125"/>
      <c r="AE518" s="167"/>
      <c r="AF518" s="167"/>
      <c r="AG518" s="167"/>
      <c r="AH518" s="167"/>
      <c r="AI518" s="167"/>
      <c r="AJ518" s="167"/>
      <c r="AK518" s="167"/>
      <c r="AL518" s="167"/>
      <c r="AM518" s="125"/>
      <c r="AN518" s="125"/>
      <c r="AO518" s="125"/>
      <c r="AP518" s="125"/>
      <c r="AQ518" s="125"/>
      <c r="AR518" s="125"/>
      <c r="AS518" s="125"/>
      <c r="AT518" s="125"/>
      <c r="AU518" s="125"/>
      <c r="AV518" s="125"/>
      <c r="AW518" s="125"/>
      <c r="AX518" s="125"/>
      <c r="AY518" s="125"/>
      <c r="AZ518" s="125"/>
      <c r="BA518" s="125"/>
      <c r="BB518" s="125"/>
      <c r="BC518" s="167"/>
      <c r="BD518" s="167"/>
      <c r="BE518" s="167"/>
      <c r="BF518" s="167"/>
      <c r="BG518" s="167"/>
      <c r="BH518" s="167"/>
      <c r="BI518" s="167"/>
      <c r="BJ518" s="167"/>
      <c r="BK518" s="125"/>
      <c r="BL518" s="125"/>
      <c r="BM518" s="125"/>
      <c r="BN518" s="125"/>
      <c r="BO518" s="125"/>
      <c r="BP518" s="125"/>
      <c r="BQ518" s="125"/>
      <c r="BR518" s="125"/>
      <c r="BS518" s="125"/>
      <c r="BT518" s="125"/>
      <c r="BU518" s="125"/>
      <c r="BV518" s="125"/>
      <c r="BW518" s="125"/>
      <c r="BX518" s="125"/>
      <c r="BY518" s="125"/>
      <c r="BZ518" s="125"/>
      <c r="CA518" s="167"/>
      <c r="CB518" s="167"/>
      <c r="CC518" s="167"/>
      <c r="CD518" s="167"/>
      <c r="CE518" s="167"/>
      <c r="CF518" s="167"/>
      <c r="CG518" s="167"/>
      <c r="CH518" s="167"/>
      <c r="CI518" s="125"/>
      <c r="CJ518" s="125"/>
      <c r="CK518" s="125"/>
      <c r="CL518" s="125"/>
      <c r="CM518" s="125"/>
      <c r="CN518" s="125"/>
      <c r="CO518" s="125"/>
      <c r="CP518" s="125"/>
      <c r="CQ518" s="125"/>
      <c r="CR518" s="125"/>
      <c r="CS518" s="125"/>
      <c r="CT518" s="125"/>
      <c r="CU518" s="125"/>
      <c r="CV518" s="125"/>
      <c r="CW518" s="125"/>
      <c r="CX518" s="125"/>
      <c r="CY518" s="167"/>
      <c r="CZ518" s="167"/>
      <c r="DA518" s="167"/>
      <c r="DB518" s="167"/>
      <c r="DC518" s="167"/>
      <c r="DD518" s="167"/>
      <c r="DE518" s="167"/>
      <c r="DF518" s="167"/>
      <c r="DG518" s="125"/>
      <c r="DH518" s="125"/>
      <c r="DI518" s="125"/>
      <c r="DJ518" s="125"/>
      <c r="DK518" s="125"/>
      <c r="DL518" s="125"/>
      <c r="DM518" s="125"/>
      <c r="DN518" s="125"/>
      <c r="DO518" s="125"/>
      <c r="DP518" s="125"/>
      <c r="DQ518" s="125"/>
      <c r="DR518" s="125"/>
      <c r="DS518" s="125"/>
      <c r="DT518" s="125"/>
      <c r="DU518" s="125"/>
      <c r="DV518" s="125"/>
      <c r="DW518" s="167"/>
      <c r="DX518" s="167"/>
      <c r="DY518" s="167"/>
      <c r="DZ518" s="167"/>
      <c r="EA518" s="167"/>
      <c r="EB518" s="167"/>
      <c r="EC518" s="167"/>
      <c r="ED518" s="167"/>
      <c r="EE518" s="125"/>
      <c r="EF518" s="125"/>
      <c r="EG518" s="125"/>
      <c r="EH518" s="125"/>
      <c r="EI518" s="125"/>
      <c r="EJ518" s="125"/>
      <c r="EK518" s="125"/>
      <c r="EL518" s="125"/>
      <c r="EM518" s="125"/>
      <c r="EN518" s="125"/>
      <c r="EO518" s="125"/>
      <c r="EP518" s="125"/>
      <c r="EQ518" s="125"/>
      <c r="ER518" s="125"/>
      <c r="ES518" s="125"/>
      <c r="ET518" s="125"/>
      <c r="EU518" s="167"/>
      <c r="EV518" s="167"/>
      <c r="EW518" s="167"/>
      <c r="EX518" s="167"/>
      <c r="EY518" s="167"/>
      <c r="EZ518" s="167"/>
      <c r="FA518" s="167"/>
      <c r="FB518" s="167"/>
      <c r="FC518" s="125"/>
      <c r="FD518" s="125"/>
      <c r="FE518" s="125"/>
      <c r="FF518" s="125"/>
      <c r="FG518" s="125"/>
      <c r="FH518" s="125"/>
      <c r="FI518" s="125"/>
      <c r="FJ518" s="125"/>
      <c r="FK518" s="125"/>
      <c r="FL518" s="125"/>
      <c r="FM518" s="125"/>
      <c r="FN518" s="125"/>
      <c r="FO518" s="125"/>
      <c r="FP518" s="125"/>
      <c r="FQ518" s="125"/>
      <c r="FR518" s="125"/>
      <c r="FS518" s="167"/>
      <c r="FT518" s="167"/>
      <c r="FU518" s="167"/>
      <c r="FV518" s="167"/>
      <c r="FW518" s="167"/>
      <c r="FX518" s="167"/>
      <c r="FY518" s="167"/>
      <c r="FZ518" s="167"/>
      <c r="GA518" s="125"/>
      <c r="GB518" s="125"/>
      <c r="GC518" s="125"/>
      <c r="GD518" s="125"/>
      <c r="GE518" s="125"/>
      <c r="GF518" s="125"/>
    </row>
    <row r="519" spans="1:188" s="125" customFormat="1">
      <c r="A519" s="76">
        <v>6</v>
      </c>
      <c r="B519" s="237"/>
      <c r="C519" s="18"/>
      <c r="D519" s="19" t="s">
        <v>1371</v>
      </c>
      <c r="E519" s="20">
        <v>1</v>
      </c>
      <c r="F519" s="82" t="s">
        <v>1376</v>
      </c>
      <c r="G519" s="58"/>
      <c r="H519" s="121"/>
      <c r="I519" s="24">
        <v>1266571</v>
      </c>
      <c r="J519" s="24"/>
      <c r="K519" s="24">
        <f>I519+J519</f>
        <v>1266571</v>
      </c>
      <c r="L519" s="123"/>
      <c r="M519" s="24"/>
      <c r="N519" s="129">
        <f>K519-M519</f>
        <v>1266571</v>
      </c>
      <c r="O519" s="108"/>
      <c r="AE519" s="167"/>
      <c r="AF519" s="167"/>
      <c r="AG519" s="167"/>
      <c r="AH519" s="167"/>
      <c r="AI519" s="167"/>
      <c r="AJ519" s="167"/>
      <c r="AK519" s="167"/>
      <c r="AL519" s="167"/>
      <c r="BC519" s="167"/>
      <c r="BD519" s="167"/>
      <c r="BE519" s="167"/>
      <c r="BF519" s="167"/>
      <c r="BG519" s="167"/>
      <c r="BH519" s="167"/>
      <c r="BI519" s="167"/>
      <c r="BJ519" s="167"/>
      <c r="CA519" s="167"/>
      <c r="CB519" s="167"/>
      <c r="CC519" s="167"/>
      <c r="CD519" s="167"/>
      <c r="CE519" s="167"/>
      <c r="CF519" s="167"/>
      <c r="CG519" s="167"/>
      <c r="CH519" s="167"/>
      <c r="CY519" s="167"/>
      <c r="CZ519" s="167"/>
      <c r="DA519" s="167"/>
      <c r="DB519" s="167"/>
      <c r="DC519" s="167"/>
      <c r="DD519" s="167"/>
      <c r="DE519" s="167"/>
      <c r="DF519" s="167"/>
      <c r="DW519" s="167"/>
      <c r="DX519" s="167"/>
      <c r="DY519" s="167"/>
      <c r="DZ519" s="167"/>
      <c r="EA519" s="167"/>
      <c r="EB519" s="167"/>
      <c r="EC519" s="167"/>
      <c r="ED519" s="167"/>
      <c r="EU519" s="167"/>
      <c r="EV519" s="167"/>
      <c r="EW519" s="167"/>
      <c r="EX519" s="167"/>
      <c r="EY519" s="167"/>
      <c r="EZ519" s="167"/>
      <c r="FA519" s="167"/>
      <c r="FB519" s="167"/>
      <c r="FS519" s="167"/>
      <c r="FT519" s="167"/>
      <c r="FU519" s="167"/>
      <c r="FV519" s="167"/>
      <c r="FW519" s="167"/>
      <c r="FX519" s="167"/>
      <c r="FY519" s="167"/>
      <c r="FZ519" s="167"/>
    </row>
    <row r="520" spans="1:188" s="125" customFormat="1">
      <c r="A520" s="76">
        <v>7</v>
      </c>
      <c r="B520" s="237"/>
      <c r="C520" s="18"/>
      <c r="D520" s="19" t="s">
        <v>1371</v>
      </c>
      <c r="E520" s="20">
        <v>1</v>
      </c>
      <c r="F520" s="24" t="s">
        <v>848</v>
      </c>
      <c r="G520" s="238"/>
      <c r="H520" s="121"/>
      <c r="I520" s="24">
        <v>1266571</v>
      </c>
      <c r="J520" s="24"/>
      <c r="K520" s="24">
        <v>1266571</v>
      </c>
      <c r="L520" s="24"/>
      <c r="M520" s="24"/>
      <c r="N520" s="129">
        <v>1266571</v>
      </c>
      <c r="O520" s="108"/>
      <c r="AE520" s="179"/>
      <c r="AF520" s="177"/>
      <c r="AG520" s="177"/>
      <c r="AH520" s="177"/>
      <c r="AI520" s="177"/>
      <c r="AJ520" s="177"/>
      <c r="AK520" s="177"/>
      <c r="AL520" s="178"/>
      <c r="BC520" s="179"/>
      <c r="BD520" s="177"/>
      <c r="BE520" s="177"/>
      <c r="BF520" s="177"/>
      <c r="BG520" s="177"/>
      <c r="BH520" s="177"/>
      <c r="BI520" s="177"/>
      <c r="BJ520" s="178"/>
      <c r="CA520" s="179"/>
      <c r="CB520" s="177"/>
      <c r="CC520" s="177"/>
      <c r="CD520" s="177"/>
      <c r="CE520" s="177"/>
      <c r="CF520" s="177"/>
      <c r="CG520" s="177"/>
      <c r="CH520" s="178"/>
      <c r="CY520" s="179"/>
      <c r="CZ520" s="177"/>
      <c r="DA520" s="177"/>
      <c r="DB520" s="177"/>
      <c r="DC520" s="177"/>
      <c r="DD520" s="177"/>
      <c r="DE520" s="177"/>
      <c r="DF520" s="178"/>
      <c r="DW520" s="179"/>
      <c r="DX520" s="177"/>
      <c r="DY520" s="177"/>
      <c r="DZ520" s="177"/>
      <c r="EA520" s="177"/>
      <c r="EB520" s="177"/>
      <c r="EC520" s="177"/>
      <c r="ED520" s="178"/>
      <c r="EU520" s="179"/>
      <c r="EV520" s="177"/>
      <c r="EW520" s="177"/>
      <c r="EX520" s="177"/>
      <c r="EY520" s="177"/>
      <c r="EZ520" s="177"/>
      <c r="FA520" s="177"/>
      <c r="FB520" s="178"/>
      <c r="FS520" s="179"/>
      <c r="FT520" s="177"/>
      <c r="FU520" s="177"/>
      <c r="FV520" s="177"/>
      <c r="FW520" s="177"/>
      <c r="FX520" s="177"/>
      <c r="FY520" s="177"/>
      <c r="FZ520" s="178"/>
    </row>
    <row r="521" spans="1:188" s="125" customFormat="1">
      <c r="A521" s="76">
        <v>8</v>
      </c>
      <c r="B521" s="237"/>
      <c r="C521" s="18"/>
      <c r="D521" s="19" t="s">
        <v>1371</v>
      </c>
      <c r="E521" s="20">
        <v>3</v>
      </c>
      <c r="F521" s="82" t="s">
        <v>1377</v>
      </c>
      <c r="G521" s="58"/>
      <c r="H521" s="121"/>
      <c r="I521" s="24">
        <v>1375428</v>
      </c>
      <c r="J521" s="24"/>
      <c r="K521" s="24">
        <f>I521+J521</f>
        <v>1375428</v>
      </c>
      <c r="L521" s="123"/>
      <c r="M521" s="24"/>
      <c r="N521" s="129">
        <f>K521-M521</f>
        <v>1375428</v>
      </c>
      <c r="O521" s="239"/>
      <c r="V521" s="187"/>
      <c r="W521" s="188"/>
      <c r="AC521" s="187"/>
      <c r="AD521" s="188"/>
      <c r="AE521" s="189"/>
      <c r="AF521" s="190"/>
      <c r="AG521" s="191"/>
      <c r="AH521" s="191"/>
      <c r="AI521" s="192"/>
      <c r="AJ521" s="182"/>
      <c r="AK521" s="183"/>
      <c r="AL521" s="183"/>
      <c r="AN521" s="184"/>
      <c r="AO521" s="185"/>
      <c r="AP521" s="186"/>
      <c r="BA521" s="187"/>
      <c r="BB521" s="188"/>
      <c r="BC521" s="189"/>
      <c r="BD521" s="190"/>
      <c r="BE521" s="191"/>
      <c r="BF521" s="191"/>
      <c r="BG521" s="192"/>
      <c r="BH521" s="182"/>
      <c r="BI521" s="183"/>
      <c r="BJ521" s="183"/>
      <c r="BL521" s="184"/>
      <c r="BM521" s="185"/>
      <c r="BN521" s="186"/>
      <c r="BY521" s="187"/>
      <c r="BZ521" s="188"/>
      <c r="CA521" s="189"/>
      <c r="CB521" s="190"/>
      <c r="CC521" s="191"/>
      <c r="CD521" s="191"/>
      <c r="CE521" s="192"/>
      <c r="CF521" s="182"/>
      <c r="CG521" s="183"/>
      <c r="CH521" s="183"/>
      <c r="CJ521" s="184"/>
      <c r="CK521" s="185"/>
      <c r="CL521" s="186"/>
      <c r="CW521" s="187"/>
      <c r="CX521" s="188"/>
      <c r="CY521" s="189"/>
      <c r="CZ521" s="190"/>
      <c r="DA521" s="191"/>
      <c r="DB521" s="191"/>
      <c r="DC521" s="192"/>
      <c r="DD521" s="182"/>
      <c r="DE521" s="183"/>
      <c r="DF521" s="183"/>
      <c r="DH521" s="184"/>
      <c r="DI521" s="185"/>
      <c r="DJ521" s="186"/>
      <c r="DU521" s="187"/>
      <c r="DV521" s="188"/>
      <c r="DW521" s="189"/>
      <c r="DX521" s="190"/>
      <c r="DY521" s="191"/>
      <c r="DZ521" s="191"/>
      <c r="EA521" s="192"/>
      <c r="EB521" s="182"/>
      <c r="EC521" s="183"/>
      <c r="ED521" s="183"/>
      <c r="EF521" s="184"/>
      <c r="EG521" s="185"/>
      <c r="EH521" s="186"/>
      <c r="ES521" s="187"/>
      <c r="ET521" s="188"/>
      <c r="EU521" s="189"/>
      <c r="EV521" s="190"/>
      <c r="EW521" s="191"/>
      <c r="EX521" s="191"/>
      <c r="EY521" s="192"/>
      <c r="EZ521" s="182"/>
      <c r="FA521" s="183"/>
      <c r="FB521" s="183"/>
      <c r="FD521" s="184"/>
      <c r="FE521" s="185"/>
      <c r="FF521" s="186"/>
      <c r="FQ521" s="187"/>
      <c r="FR521" s="188"/>
      <c r="FS521" s="189"/>
      <c r="FT521" s="190"/>
      <c r="FU521" s="191"/>
      <c r="FV521" s="191"/>
      <c r="FW521" s="192"/>
      <c r="FX521" s="182"/>
      <c r="FY521" s="183"/>
      <c r="FZ521" s="183"/>
      <c r="GB521" s="184"/>
      <c r="GC521" s="185"/>
      <c r="GD521" s="186"/>
    </row>
    <row r="522" spans="1:188" s="125" customFormat="1">
      <c r="A522" s="76">
        <v>9</v>
      </c>
      <c r="B522" s="237"/>
      <c r="C522" s="18"/>
      <c r="D522" s="19" t="s">
        <v>1371</v>
      </c>
      <c r="E522" s="20">
        <v>3</v>
      </c>
      <c r="F522" s="24" t="s">
        <v>1378</v>
      </c>
      <c r="G522" s="238"/>
      <c r="H522" s="121"/>
      <c r="I522" s="24">
        <v>1533333</v>
      </c>
      <c r="J522" s="199"/>
      <c r="K522" s="24">
        <v>1533333</v>
      </c>
      <c r="L522" s="24"/>
      <c r="M522" s="24"/>
      <c r="N522" s="129">
        <v>1533333</v>
      </c>
      <c r="O522" s="108"/>
      <c r="V522" s="187"/>
      <c r="W522" s="188"/>
      <c r="AC522" s="187"/>
      <c r="AD522" s="188"/>
      <c r="AE522" s="189"/>
      <c r="AF522" s="190"/>
      <c r="AG522" s="191"/>
      <c r="AH522" s="191"/>
      <c r="AI522" s="192"/>
      <c r="AJ522" s="182"/>
      <c r="AK522" s="183"/>
      <c r="AL522" s="183"/>
      <c r="AN522" s="184"/>
      <c r="AO522" s="185"/>
      <c r="AP522" s="186"/>
      <c r="BA522" s="187"/>
      <c r="BB522" s="188"/>
      <c r="BC522" s="189"/>
      <c r="BD522" s="190"/>
      <c r="BE522" s="191"/>
      <c r="BF522" s="191"/>
      <c r="BG522" s="192"/>
      <c r="BH522" s="182"/>
      <c r="BI522" s="183"/>
      <c r="BJ522" s="183"/>
      <c r="BL522" s="184"/>
      <c r="BM522" s="185"/>
      <c r="BN522" s="186"/>
      <c r="BY522" s="187"/>
      <c r="BZ522" s="188"/>
      <c r="CA522" s="189"/>
      <c r="CB522" s="190"/>
      <c r="CC522" s="191"/>
      <c r="CD522" s="191"/>
      <c r="CE522" s="192"/>
      <c r="CF522" s="182"/>
      <c r="CG522" s="183"/>
      <c r="CH522" s="183"/>
      <c r="CJ522" s="184"/>
      <c r="CK522" s="185"/>
      <c r="CL522" s="186"/>
      <c r="CW522" s="187"/>
      <c r="CX522" s="188"/>
      <c r="CY522" s="189"/>
      <c r="CZ522" s="190"/>
      <c r="DA522" s="191"/>
      <c r="DB522" s="191"/>
      <c r="DC522" s="192"/>
      <c r="DD522" s="182"/>
      <c r="DE522" s="183"/>
      <c r="DF522" s="183"/>
      <c r="DH522" s="184"/>
      <c r="DI522" s="185"/>
      <c r="DJ522" s="186"/>
      <c r="DU522" s="187"/>
      <c r="DV522" s="188"/>
      <c r="DW522" s="189"/>
      <c r="DX522" s="190"/>
      <c r="DY522" s="191"/>
      <c r="DZ522" s="191"/>
      <c r="EA522" s="192"/>
      <c r="EB522" s="182"/>
      <c r="EC522" s="183"/>
      <c r="ED522" s="183"/>
      <c r="EF522" s="184"/>
      <c r="EG522" s="185"/>
      <c r="EH522" s="186"/>
      <c r="ES522" s="187"/>
      <c r="ET522" s="188"/>
      <c r="EU522" s="189"/>
      <c r="EV522" s="190"/>
      <c r="EW522" s="191"/>
      <c r="EX522" s="191"/>
      <c r="EY522" s="192"/>
      <c r="EZ522" s="182"/>
      <c r="FA522" s="183"/>
      <c r="FB522" s="183"/>
      <c r="FD522" s="184"/>
      <c r="FE522" s="185"/>
      <c r="FF522" s="186"/>
      <c r="FQ522" s="187"/>
      <c r="FR522" s="188"/>
      <c r="FS522" s="189"/>
      <c r="FT522" s="190"/>
      <c r="FU522" s="191"/>
      <c r="FV522" s="191"/>
      <c r="FW522" s="192"/>
      <c r="FX522" s="182"/>
      <c r="FY522" s="183"/>
      <c r="FZ522" s="183"/>
      <c r="GB522" s="184"/>
      <c r="GC522" s="185"/>
      <c r="GD522" s="186"/>
    </row>
    <row r="523" spans="1:188" s="125" customFormat="1">
      <c r="A523" s="76">
        <v>10</v>
      </c>
      <c r="B523" s="237"/>
      <c r="C523" s="18"/>
      <c r="D523" s="19" t="s">
        <v>1371</v>
      </c>
      <c r="E523" s="20">
        <v>3</v>
      </c>
      <c r="F523" s="24" t="s">
        <v>851</v>
      </c>
      <c r="G523" s="238"/>
      <c r="H523" s="121"/>
      <c r="I523" s="24"/>
      <c r="J523" s="24">
        <v>1723810</v>
      </c>
      <c r="K523" s="24">
        <v>1723810</v>
      </c>
      <c r="L523" s="24"/>
      <c r="M523" s="24"/>
      <c r="N523" s="129">
        <v>1723810</v>
      </c>
      <c r="O523" s="108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141"/>
      <c r="AF523" s="142"/>
      <c r="AG523" s="142"/>
      <c r="AH523" s="142"/>
      <c r="AI523" s="142"/>
      <c r="AJ523" s="142"/>
      <c r="AK523" s="142"/>
      <c r="AL523" s="14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141"/>
      <c r="BD523" s="142"/>
      <c r="BE523" s="142"/>
      <c r="BF523" s="142"/>
      <c r="BG523" s="142"/>
      <c r="BH523" s="142"/>
      <c r="BI523" s="142"/>
      <c r="BJ523" s="14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141"/>
      <c r="CB523" s="142"/>
      <c r="CC523" s="142"/>
      <c r="CD523" s="142"/>
      <c r="CE523" s="142"/>
      <c r="CF523" s="142"/>
      <c r="CG523" s="142"/>
      <c r="CH523" s="14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  <c r="CW523" s="3"/>
      <c r="CX523" s="3"/>
      <c r="CY523" s="141"/>
      <c r="CZ523" s="142"/>
      <c r="DA523" s="142"/>
      <c r="DB523" s="142"/>
      <c r="DC523" s="142"/>
      <c r="DD523" s="142"/>
      <c r="DE523" s="142"/>
      <c r="DF523" s="143"/>
      <c r="DG523" s="3"/>
      <c r="DH523" s="3"/>
      <c r="DI523" s="3"/>
      <c r="DJ523" s="3"/>
      <c r="DK523" s="3"/>
      <c r="DL523" s="3"/>
      <c r="DM523" s="3"/>
      <c r="DN523" s="3"/>
      <c r="DO523" s="3"/>
      <c r="DP523" s="3"/>
      <c r="DQ523" s="3"/>
      <c r="DR523" s="3"/>
      <c r="DS523" s="3"/>
      <c r="DT523" s="3"/>
      <c r="DU523" s="3"/>
      <c r="DV523" s="3"/>
      <c r="DW523" s="141"/>
      <c r="DX523" s="142"/>
      <c r="DY523" s="142"/>
      <c r="DZ523" s="142"/>
      <c r="EA523" s="142"/>
      <c r="EB523" s="142"/>
      <c r="EC523" s="142"/>
      <c r="ED523" s="143"/>
      <c r="EE523" s="3"/>
      <c r="EF523" s="3"/>
      <c r="EG523" s="3"/>
      <c r="EH523" s="3"/>
      <c r="EI523" s="3"/>
      <c r="EJ523" s="3"/>
      <c r="EK523" s="3"/>
      <c r="EL523" s="3"/>
      <c r="EM523" s="3"/>
      <c r="EN523" s="3"/>
      <c r="EO523" s="3"/>
      <c r="EP523" s="3"/>
      <c r="EQ523" s="3"/>
      <c r="ER523" s="3"/>
      <c r="ES523" s="3"/>
      <c r="ET523" s="3"/>
      <c r="EU523" s="141"/>
      <c r="EV523" s="142"/>
      <c r="EW523" s="142"/>
      <c r="EX523" s="142"/>
      <c r="EY523" s="142"/>
      <c r="EZ523" s="142"/>
      <c r="FA523" s="142"/>
      <c r="FB523" s="143"/>
      <c r="FC523" s="3"/>
      <c r="FD523" s="3"/>
      <c r="FE523" s="3"/>
      <c r="FF523" s="3"/>
      <c r="FG523" s="3"/>
      <c r="FH523" s="3"/>
      <c r="FI523" s="3"/>
      <c r="FJ523" s="3"/>
      <c r="FK523" s="3"/>
      <c r="FL523" s="3"/>
      <c r="FM523" s="3"/>
      <c r="FN523" s="3"/>
      <c r="FO523" s="3"/>
      <c r="FP523" s="3"/>
      <c r="FQ523" s="3"/>
      <c r="FR523" s="3"/>
      <c r="FS523" s="141"/>
      <c r="FT523" s="142"/>
      <c r="FU523" s="142"/>
      <c r="FV523" s="142"/>
      <c r="FW523" s="142"/>
      <c r="FX523" s="142"/>
      <c r="FY523" s="142"/>
      <c r="FZ523" s="143"/>
      <c r="GA523" s="3"/>
      <c r="GB523" s="3"/>
      <c r="GC523" s="3"/>
      <c r="GD523" s="3"/>
      <c r="GE523" s="3"/>
      <c r="GF523" s="3"/>
    </row>
    <row r="524" spans="1:188" s="125" customFormat="1">
      <c r="A524" s="76">
        <v>11</v>
      </c>
      <c r="B524" s="237"/>
      <c r="C524" s="18"/>
      <c r="D524" s="19" t="s">
        <v>1371</v>
      </c>
      <c r="E524" s="20">
        <v>4</v>
      </c>
      <c r="F524" s="57" t="s">
        <v>1379</v>
      </c>
      <c r="G524" s="58"/>
      <c r="H524" s="121"/>
      <c r="I524" s="24">
        <v>1966286</v>
      </c>
      <c r="J524" s="24"/>
      <c r="K524" s="24">
        <f>I524+J524</f>
        <v>1966286</v>
      </c>
      <c r="L524" s="123"/>
      <c r="M524" s="24"/>
      <c r="N524" s="129">
        <f>K524-M524</f>
        <v>1966286</v>
      </c>
      <c r="O524" s="108"/>
      <c r="V524" s="187"/>
      <c r="W524" s="188"/>
      <c r="AC524" s="187"/>
      <c r="AD524" s="188"/>
      <c r="AE524" s="189"/>
      <c r="AF524" s="190"/>
      <c r="AG524" s="191"/>
      <c r="AH524" s="191"/>
      <c r="AI524" s="192"/>
      <c r="AJ524" s="182"/>
      <c r="AK524" s="183"/>
      <c r="AL524" s="183"/>
      <c r="AN524" s="184"/>
      <c r="AO524" s="185"/>
      <c r="AP524" s="186"/>
      <c r="BA524" s="187"/>
      <c r="BB524" s="188"/>
      <c r="BC524" s="189"/>
      <c r="BD524" s="190"/>
      <c r="BE524" s="191"/>
      <c r="BF524" s="191"/>
      <c r="BG524" s="192"/>
      <c r="BH524" s="182"/>
      <c r="BI524" s="183"/>
      <c r="BJ524" s="183"/>
      <c r="BL524" s="184"/>
      <c r="BM524" s="185"/>
      <c r="BN524" s="186"/>
      <c r="BY524" s="187"/>
      <c r="BZ524" s="188"/>
      <c r="CA524" s="189"/>
      <c r="CB524" s="190"/>
      <c r="CC524" s="191"/>
      <c r="CD524" s="191"/>
      <c r="CE524" s="192"/>
      <c r="CF524" s="182"/>
      <c r="CG524" s="183"/>
      <c r="CH524" s="183"/>
      <c r="CJ524" s="184"/>
      <c r="CK524" s="185"/>
      <c r="CL524" s="186"/>
      <c r="CW524" s="187"/>
      <c r="CX524" s="188"/>
      <c r="CY524" s="189"/>
      <c r="CZ524" s="190"/>
      <c r="DA524" s="191"/>
      <c r="DB524" s="191"/>
      <c r="DC524" s="192"/>
      <c r="DD524" s="182"/>
      <c r="DE524" s="183"/>
      <c r="DF524" s="183"/>
      <c r="DH524" s="184"/>
      <c r="DI524" s="185"/>
      <c r="DJ524" s="186"/>
      <c r="DU524" s="187"/>
      <c r="DV524" s="188"/>
      <c r="DW524" s="189"/>
      <c r="DX524" s="190"/>
      <c r="DY524" s="191"/>
      <c r="DZ524" s="191"/>
      <c r="EA524" s="192"/>
      <c r="EB524" s="182"/>
      <c r="EC524" s="183"/>
      <c r="ED524" s="183"/>
      <c r="EF524" s="184"/>
      <c r="EG524" s="185"/>
      <c r="EH524" s="186"/>
      <c r="ES524" s="187"/>
      <c r="ET524" s="188"/>
      <c r="EU524" s="189"/>
      <c r="EV524" s="190"/>
      <c r="EW524" s="191"/>
      <c r="EX524" s="191"/>
      <c r="EY524" s="192"/>
      <c r="EZ524" s="182"/>
      <c r="FA524" s="183"/>
      <c r="FB524" s="183"/>
      <c r="FD524" s="184"/>
      <c r="FE524" s="185"/>
      <c r="FF524" s="186"/>
      <c r="FQ524" s="187"/>
      <c r="FR524" s="188"/>
      <c r="FS524" s="189"/>
      <c r="FT524" s="190"/>
      <c r="FU524" s="191"/>
      <c r="FV524" s="191"/>
      <c r="FW524" s="192"/>
      <c r="FX524" s="182"/>
      <c r="FY524" s="183"/>
      <c r="FZ524" s="183"/>
      <c r="GB524" s="184"/>
      <c r="GC524" s="185"/>
      <c r="GD524" s="186"/>
    </row>
    <row r="525" spans="1:188" s="125" customFormat="1">
      <c r="A525" s="76">
        <v>12</v>
      </c>
      <c r="B525" s="237"/>
      <c r="C525" s="18"/>
      <c r="D525" s="19" t="s">
        <v>1371</v>
      </c>
      <c r="E525" s="20">
        <v>4</v>
      </c>
      <c r="F525" s="24" t="s">
        <v>853</v>
      </c>
      <c r="G525" s="238"/>
      <c r="H525" s="121"/>
      <c r="I525" s="24">
        <v>2542000</v>
      </c>
      <c r="J525" s="199"/>
      <c r="K525" s="24">
        <v>2542000</v>
      </c>
      <c r="L525" s="24"/>
      <c r="M525" s="24"/>
      <c r="N525" s="129">
        <v>2542000</v>
      </c>
      <c r="O525" s="108"/>
      <c r="AE525" s="167"/>
      <c r="AF525" s="167"/>
      <c r="AG525" s="167"/>
      <c r="AH525" s="167"/>
      <c r="AI525" s="167"/>
      <c r="AJ525" s="167"/>
      <c r="AK525" s="167"/>
      <c r="AL525" s="167"/>
      <c r="BC525" s="167"/>
      <c r="BD525" s="167"/>
      <c r="BE525" s="167"/>
      <c r="BF525" s="167"/>
      <c r="BG525" s="167"/>
      <c r="BH525" s="167"/>
      <c r="BI525" s="167"/>
      <c r="BJ525" s="167"/>
      <c r="CA525" s="167"/>
      <c r="CB525" s="167"/>
      <c r="CC525" s="167"/>
      <c r="CD525" s="167"/>
      <c r="CE525" s="167"/>
      <c r="CF525" s="167"/>
      <c r="CG525" s="167"/>
      <c r="CH525" s="167"/>
      <c r="CY525" s="167"/>
      <c r="CZ525" s="167"/>
      <c r="DA525" s="167"/>
      <c r="DB525" s="167"/>
      <c r="DC525" s="167"/>
      <c r="DD525" s="167"/>
      <c r="DE525" s="167"/>
      <c r="DF525" s="167"/>
      <c r="DW525" s="167"/>
      <c r="DX525" s="167"/>
      <c r="DY525" s="167"/>
      <c r="DZ525" s="167"/>
      <c r="EA525" s="167"/>
      <c r="EB525" s="167"/>
      <c r="EC525" s="167"/>
      <c r="ED525" s="167"/>
      <c r="EU525" s="167"/>
      <c r="EV525" s="167"/>
      <c r="EW525" s="167"/>
      <c r="EX525" s="167"/>
      <c r="EY525" s="167"/>
      <c r="EZ525" s="167"/>
      <c r="FA525" s="167"/>
      <c r="FB525" s="167"/>
      <c r="FS525" s="167"/>
      <c r="FT525" s="167"/>
      <c r="FU525" s="167"/>
      <c r="FV525" s="167"/>
      <c r="FW525" s="167"/>
      <c r="FX525" s="167"/>
      <c r="FY525" s="167"/>
      <c r="FZ525" s="167"/>
    </row>
    <row r="526" spans="1:188" s="3" customFormat="1">
      <c r="A526" s="76">
        <v>13</v>
      </c>
      <c r="B526" s="237"/>
      <c r="C526" s="18"/>
      <c r="D526" s="19" t="s">
        <v>1371</v>
      </c>
      <c r="E526" s="20">
        <v>5</v>
      </c>
      <c r="F526" s="24" t="s">
        <v>854</v>
      </c>
      <c r="G526" s="238"/>
      <c r="H526" s="121"/>
      <c r="I526" s="24">
        <v>2976667</v>
      </c>
      <c r="J526" s="199"/>
      <c r="K526" s="24">
        <v>2976667</v>
      </c>
      <c r="L526" s="24"/>
      <c r="M526" s="24"/>
      <c r="N526" s="129">
        <v>2976667</v>
      </c>
      <c r="O526" s="108"/>
      <c r="P526" s="125"/>
      <c r="Q526" s="125"/>
      <c r="R526" s="125"/>
      <c r="S526" s="125"/>
      <c r="T526" s="125"/>
      <c r="U526" s="125"/>
      <c r="V526" s="187"/>
      <c r="W526" s="188"/>
      <c r="X526" s="125"/>
      <c r="Y526" s="125"/>
      <c r="Z526" s="125"/>
      <c r="AA526" s="125"/>
      <c r="AB526" s="125"/>
      <c r="AC526" s="187"/>
      <c r="AD526" s="188"/>
      <c r="AE526" s="189"/>
      <c r="AF526" s="190"/>
      <c r="AG526" s="191"/>
      <c r="AH526" s="191"/>
      <c r="AI526" s="192"/>
      <c r="AJ526" s="182"/>
      <c r="AK526" s="183"/>
      <c r="AL526" s="183"/>
      <c r="AM526" s="125"/>
      <c r="AN526" s="184"/>
      <c r="AO526" s="185"/>
      <c r="AP526" s="186"/>
      <c r="AQ526" s="125"/>
      <c r="AR526" s="125"/>
      <c r="AS526" s="125"/>
      <c r="AT526" s="125"/>
      <c r="AU526" s="125"/>
      <c r="AV526" s="125"/>
      <c r="AW526" s="125"/>
      <c r="AX526" s="125"/>
      <c r="AY526" s="125"/>
      <c r="AZ526" s="125"/>
      <c r="BA526" s="187"/>
      <c r="BB526" s="188"/>
      <c r="BC526" s="189"/>
      <c r="BD526" s="190"/>
      <c r="BE526" s="191"/>
      <c r="BF526" s="191"/>
      <c r="BG526" s="192"/>
      <c r="BH526" s="182"/>
      <c r="BI526" s="183"/>
      <c r="BJ526" s="183"/>
      <c r="BK526" s="125"/>
      <c r="BL526" s="184"/>
      <c r="BM526" s="185"/>
      <c r="BN526" s="186"/>
      <c r="BO526" s="125"/>
      <c r="BP526" s="125"/>
      <c r="BQ526" s="125"/>
      <c r="BR526" s="125"/>
      <c r="BS526" s="125"/>
      <c r="BT526" s="125"/>
      <c r="BU526" s="125"/>
      <c r="BV526" s="125"/>
      <c r="BW526" s="125"/>
      <c r="BX526" s="125"/>
      <c r="BY526" s="187"/>
      <c r="BZ526" s="188"/>
      <c r="CA526" s="189"/>
      <c r="CB526" s="190"/>
      <c r="CC526" s="191"/>
      <c r="CD526" s="191"/>
      <c r="CE526" s="192"/>
      <c r="CF526" s="182"/>
      <c r="CG526" s="183"/>
      <c r="CH526" s="183"/>
      <c r="CI526" s="125"/>
      <c r="CJ526" s="184"/>
      <c r="CK526" s="185"/>
      <c r="CL526" s="186"/>
      <c r="CM526" s="125"/>
      <c r="CN526" s="125"/>
      <c r="CO526" s="125"/>
      <c r="CP526" s="125"/>
      <c r="CQ526" s="125"/>
      <c r="CR526" s="125"/>
      <c r="CS526" s="125"/>
      <c r="CT526" s="125"/>
      <c r="CU526" s="125"/>
      <c r="CV526" s="125"/>
      <c r="CW526" s="187"/>
      <c r="CX526" s="188"/>
      <c r="CY526" s="189"/>
      <c r="CZ526" s="190"/>
      <c r="DA526" s="191"/>
      <c r="DB526" s="191"/>
      <c r="DC526" s="192"/>
      <c r="DD526" s="182"/>
      <c r="DE526" s="183"/>
      <c r="DF526" s="183"/>
      <c r="DG526" s="125"/>
      <c r="DH526" s="184"/>
      <c r="DI526" s="185"/>
      <c r="DJ526" s="186"/>
      <c r="DK526" s="125"/>
      <c r="DL526" s="125"/>
      <c r="DM526" s="125"/>
      <c r="DN526" s="125"/>
      <c r="DO526" s="125"/>
      <c r="DP526" s="125"/>
      <c r="DQ526" s="125"/>
      <c r="DR526" s="125"/>
      <c r="DS526" s="125"/>
      <c r="DT526" s="125"/>
      <c r="DU526" s="187"/>
      <c r="DV526" s="188"/>
      <c r="DW526" s="189"/>
      <c r="DX526" s="190"/>
      <c r="DY526" s="191"/>
      <c r="DZ526" s="191"/>
      <c r="EA526" s="192"/>
      <c r="EB526" s="182"/>
      <c r="EC526" s="183"/>
      <c r="ED526" s="183"/>
      <c r="EE526" s="125"/>
      <c r="EF526" s="184"/>
      <c r="EG526" s="185"/>
      <c r="EH526" s="186"/>
      <c r="EI526" s="125"/>
      <c r="EJ526" s="125"/>
      <c r="EK526" s="125"/>
      <c r="EL526" s="125"/>
      <c r="EM526" s="125"/>
      <c r="EN526" s="125"/>
      <c r="EO526" s="125"/>
      <c r="EP526" s="125"/>
      <c r="EQ526" s="125"/>
      <c r="ER526" s="125"/>
      <c r="ES526" s="187"/>
      <c r="ET526" s="188"/>
      <c r="EU526" s="189"/>
      <c r="EV526" s="190"/>
      <c r="EW526" s="191"/>
      <c r="EX526" s="191"/>
      <c r="EY526" s="192"/>
      <c r="EZ526" s="182"/>
      <c r="FA526" s="183"/>
      <c r="FB526" s="183"/>
      <c r="FC526" s="125"/>
      <c r="FD526" s="184"/>
      <c r="FE526" s="185"/>
      <c r="FF526" s="186"/>
      <c r="FG526" s="125"/>
      <c r="FH526" s="125"/>
      <c r="FI526" s="125"/>
      <c r="FJ526" s="125"/>
      <c r="FK526" s="125"/>
      <c r="FL526" s="125"/>
      <c r="FM526" s="125"/>
      <c r="FN526" s="125"/>
      <c r="FO526" s="125"/>
      <c r="FP526" s="125"/>
      <c r="FQ526" s="187"/>
      <c r="FR526" s="188"/>
      <c r="FS526" s="189"/>
      <c r="FT526" s="190"/>
      <c r="FU526" s="191"/>
      <c r="FV526" s="191"/>
      <c r="FW526" s="192"/>
      <c r="FX526" s="182"/>
      <c r="FY526" s="183"/>
      <c r="FZ526" s="183"/>
      <c r="GA526" s="125"/>
      <c r="GB526" s="184"/>
      <c r="GC526" s="185"/>
      <c r="GD526" s="186"/>
      <c r="GE526" s="125"/>
      <c r="GF526" s="125"/>
    </row>
    <row r="527" spans="1:188" s="125" customFormat="1">
      <c r="A527" s="76">
        <v>14</v>
      </c>
      <c r="B527" s="237"/>
      <c r="C527" s="18"/>
      <c r="D527" s="19" t="s">
        <v>1371</v>
      </c>
      <c r="E527" s="20">
        <v>5</v>
      </c>
      <c r="F527" s="24" t="s">
        <v>855</v>
      </c>
      <c r="G527" s="238"/>
      <c r="H527" s="121"/>
      <c r="I527" s="24"/>
      <c r="J527" s="24">
        <v>2822857</v>
      </c>
      <c r="K527" s="24">
        <v>2822857</v>
      </c>
      <c r="L527" s="24"/>
      <c r="M527" s="24"/>
      <c r="N527" s="129">
        <v>2822857</v>
      </c>
      <c r="O527" s="108"/>
      <c r="AE527" s="167"/>
      <c r="AF527" s="167"/>
      <c r="AG527" s="167"/>
      <c r="AH527" s="167"/>
      <c r="AI527" s="167"/>
      <c r="AJ527" s="167"/>
      <c r="AK527" s="167"/>
      <c r="AL527" s="167"/>
      <c r="BC527" s="167"/>
      <c r="BD527" s="167"/>
      <c r="BE527" s="167"/>
      <c r="BF527" s="167"/>
      <c r="BG527" s="167"/>
      <c r="BH527" s="167"/>
      <c r="BI527" s="167"/>
      <c r="BJ527" s="167"/>
      <c r="CA527" s="167"/>
      <c r="CB527" s="167"/>
      <c r="CC527" s="167"/>
      <c r="CD527" s="167"/>
      <c r="CE527" s="167"/>
      <c r="CF527" s="167"/>
      <c r="CG527" s="167"/>
      <c r="CH527" s="167"/>
      <c r="CY527" s="167"/>
      <c r="CZ527" s="167"/>
      <c r="DA527" s="167"/>
      <c r="DB527" s="167"/>
      <c r="DC527" s="167"/>
      <c r="DD527" s="167"/>
      <c r="DE527" s="167"/>
      <c r="DF527" s="167"/>
      <c r="DW527" s="167"/>
      <c r="DX527" s="167"/>
      <c r="DY527" s="167"/>
      <c r="DZ527" s="167"/>
      <c r="EA527" s="167"/>
      <c r="EB527" s="167"/>
      <c r="EC527" s="167"/>
      <c r="ED527" s="167"/>
      <c r="EU527" s="167"/>
      <c r="EV527" s="167"/>
      <c r="EW527" s="167"/>
      <c r="EX527" s="167"/>
      <c r="EY527" s="167"/>
      <c r="EZ527" s="167"/>
      <c r="FA527" s="167"/>
      <c r="FB527" s="167"/>
      <c r="FS527" s="167"/>
      <c r="FT527" s="167"/>
      <c r="FU527" s="167"/>
      <c r="FV527" s="167"/>
      <c r="FW527" s="167"/>
      <c r="FX527" s="167"/>
      <c r="FY527" s="167"/>
      <c r="FZ527" s="167"/>
    </row>
    <row r="528" spans="1:188" s="3" customFormat="1">
      <c r="A528" s="76">
        <v>15</v>
      </c>
      <c r="B528" s="237"/>
      <c r="C528" s="18"/>
      <c r="D528" s="19" t="s">
        <v>1371</v>
      </c>
      <c r="E528" s="20">
        <v>5</v>
      </c>
      <c r="F528" s="197" t="s">
        <v>1380</v>
      </c>
      <c r="G528" s="181"/>
      <c r="H528" s="121"/>
      <c r="I528" s="24">
        <v>2343333</v>
      </c>
      <c r="J528" s="24"/>
      <c r="K528" s="24">
        <f t="shared" ref="K528:K539" si="39">I528+J528</f>
        <v>2343333</v>
      </c>
      <c r="L528" s="123">
        <v>1</v>
      </c>
      <c r="M528" s="24"/>
      <c r="N528" s="129">
        <f t="shared" ref="N528:N539" si="40">K528-M528</f>
        <v>2343333</v>
      </c>
      <c r="O528" s="108"/>
      <c r="AE528" s="130"/>
      <c r="AF528" s="130"/>
      <c r="AG528" s="130"/>
      <c r="AH528" s="130"/>
      <c r="AI528" s="130"/>
      <c r="AJ528" s="130"/>
      <c r="AK528" s="130"/>
      <c r="AL528" s="130"/>
      <c r="BC528" s="130"/>
      <c r="BD528" s="130"/>
      <c r="BE528" s="130"/>
      <c r="BF528" s="130"/>
      <c r="BG528" s="130"/>
      <c r="BH528" s="130"/>
      <c r="BI528" s="130"/>
      <c r="BJ528" s="130"/>
      <c r="CA528" s="130"/>
      <c r="CB528" s="130"/>
      <c r="CC528" s="130"/>
      <c r="CD528" s="130"/>
      <c r="CE528" s="130"/>
      <c r="CF528" s="130"/>
      <c r="CG528" s="130"/>
      <c r="CH528" s="130"/>
      <c r="CY528" s="130"/>
      <c r="CZ528" s="130"/>
      <c r="DA528" s="130"/>
      <c r="DB528" s="130"/>
      <c r="DC528" s="130"/>
      <c r="DD528" s="130"/>
      <c r="DE528" s="130"/>
      <c r="DF528" s="130"/>
      <c r="DW528" s="130"/>
      <c r="DX528" s="130"/>
      <c r="DY528" s="130"/>
      <c r="DZ528" s="130"/>
      <c r="EA528" s="130"/>
      <c r="EB528" s="130"/>
      <c r="EC528" s="130"/>
      <c r="ED528" s="130"/>
      <c r="EU528" s="130"/>
      <c r="EV528" s="130"/>
      <c r="EW528" s="130"/>
      <c r="EX528" s="130"/>
      <c r="EY528" s="130"/>
      <c r="EZ528" s="130"/>
      <c r="FA528" s="130"/>
      <c r="FB528" s="130"/>
      <c r="FS528" s="130"/>
      <c r="FT528" s="130"/>
      <c r="FU528" s="130"/>
      <c r="FV528" s="130"/>
      <c r="FW528" s="130"/>
      <c r="FX528" s="130"/>
      <c r="FY528" s="130"/>
      <c r="FZ528" s="130"/>
    </row>
    <row r="529" spans="1:188" s="3" customFormat="1">
      <c r="A529" s="76">
        <v>16</v>
      </c>
      <c r="B529" s="237"/>
      <c r="C529" s="18"/>
      <c r="D529" s="19" t="s">
        <v>1371</v>
      </c>
      <c r="E529" s="20">
        <v>5</v>
      </c>
      <c r="F529" s="62" t="s">
        <v>1381</v>
      </c>
      <c r="G529" s="63"/>
      <c r="H529" s="121"/>
      <c r="I529" s="24">
        <v>2343333</v>
      </c>
      <c r="J529" s="24"/>
      <c r="K529" s="24">
        <f t="shared" si="39"/>
        <v>2343333</v>
      </c>
      <c r="L529" s="123"/>
      <c r="M529" s="24"/>
      <c r="N529" s="129">
        <f t="shared" si="40"/>
        <v>2343333</v>
      </c>
      <c r="O529" s="108"/>
      <c r="AE529" s="130"/>
      <c r="AF529" s="130"/>
      <c r="AG529" s="130"/>
      <c r="AH529" s="130"/>
      <c r="AI529" s="130"/>
      <c r="AJ529" s="130"/>
      <c r="AK529" s="130"/>
      <c r="AL529" s="130"/>
      <c r="BC529" s="130"/>
      <c r="BD529" s="130"/>
      <c r="BE529" s="130"/>
      <c r="BF529" s="130"/>
      <c r="BG529" s="130"/>
      <c r="BH529" s="130"/>
      <c r="BI529" s="130"/>
      <c r="BJ529" s="130"/>
      <c r="CA529" s="130"/>
      <c r="CB529" s="130"/>
      <c r="CC529" s="130"/>
      <c r="CD529" s="130"/>
      <c r="CE529" s="130"/>
      <c r="CF529" s="130"/>
      <c r="CG529" s="130"/>
      <c r="CH529" s="130"/>
      <c r="CY529" s="130"/>
      <c r="CZ529" s="130"/>
      <c r="DA529" s="130"/>
      <c r="DB529" s="130"/>
      <c r="DC529" s="130"/>
      <c r="DD529" s="130"/>
      <c r="DE529" s="130"/>
      <c r="DF529" s="130"/>
      <c r="DW529" s="130"/>
      <c r="DX529" s="130"/>
      <c r="DY529" s="130"/>
      <c r="DZ529" s="130"/>
      <c r="EA529" s="130"/>
      <c r="EB529" s="130"/>
      <c r="EC529" s="130"/>
      <c r="ED529" s="130"/>
      <c r="EU529" s="130"/>
      <c r="EV529" s="130"/>
      <c r="EW529" s="130"/>
      <c r="EX529" s="130"/>
      <c r="EY529" s="130"/>
      <c r="EZ529" s="130"/>
      <c r="FA529" s="130"/>
      <c r="FB529" s="130"/>
      <c r="FS529" s="130"/>
      <c r="FT529" s="130"/>
      <c r="FU529" s="130"/>
      <c r="FV529" s="130"/>
      <c r="FW529" s="130"/>
      <c r="FX529" s="130"/>
      <c r="FY529" s="130"/>
      <c r="FZ529" s="130"/>
    </row>
    <row r="530" spans="1:188" s="3" customFormat="1">
      <c r="A530" s="76">
        <v>17</v>
      </c>
      <c r="B530" s="237"/>
      <c r="C530" s="18"/>
      <c r="D530" s="19" t="s">
        <v>1371</v>
      </c>
      <c r="E530" s="20">
        <v>5</v>
      </c>
      <c r="F530" s="57" t="s">
        <v>1382</v>
      </c>
      <c r="G530" s="58"/>
      <c r="H530" s="121"/>
      <c r="I530" s="24">
        <v>2343333</v>
      </c>
      <c r="J530" s="24"/>
      <c r="K530" s="199">
        <f t="shared" si="39"/>
        <v>2343333</v>
      </c>
      <c r="L530" s="26"/>
      <c r="M530" s="24"/>
      <c r="N530" s="129">
        <f t="shared" si="40"/>
        <v>2343333</v>
      </c>
      <c r="O530" s="108"/>
      <c r="AE530" s="130"/>
      <c r="AF530" s="130"/>
      <c r="AG530" s="130"/>
      <c r="AH530" s="130"/>
      <c r="AI530" s="130"/>
      <c r="AJ530" s="130"/>
      <c r="AK530" s="130"/>
      <c r="AL530" s="130"/>
      <c r="BC530" s="130"/>
      <c r="BD530" s="130"/>
      <c r="BE530" s="130"/>
      <c r="BF530" s="130"/>
      <c r="BG530" s="130"/>
      <c r="BH530" s="130"/>
      <c r="BI530" s="130"/>
      <c r="BJ530" s="130"/>
      <c r="CA530" s="130"/>
      <c r="CB530" s="130"/>
      <c r="CC530" s="130"/>
      <c r="CD530" s="130"/>
      <c r="CE530" s="130"/>
      <c r="CF530" s="130"/>
      <c r="CG530" s="130"/>
      <c r="CH530" s="130"/>
      <c r="CY530" s="130"/>
      <c r="CZ530" s="130"/>
      <c r="DA530" s="130"/>
      <c r="DB530" s="130"/>
      <c r="DC530" s="130"/>
      <c r="DD530" s="130"/>
      <c r="DE530" s="130"/>
      <c r="DF530" s="130"/>
      <c r="DW530" s="130"/>
      <c r="DX530" s="130"/>
      <c r="DY530" s="130"/>
      <c r="DZ530" s="130"/>
      <c r="EA530" s="130"/>
      <c r="EB530" s="130"/>
      <c r="EC530" s="130"/>
      <c r="ED530" s="130"/>
      <c r="EU530" s="130"/>
      <c r="EV530" s="130"/>
      <c r="EW530" s="130"/>
      <c r="EX530" s="130"/>
      <c r="EY530" s="130"/>
      <c r="EZ530" s="130"/>
      <c r="FA530" s="130"/>
      <c r="FB530" s="130"/>
      <c r="FS530" s="130"/>
      <c r="FT530" s="130"/>
      <c r="FU530" s="130"/>
      <c r="FV530" s="130"/>
      <c r="FW530" s="130"/>
      <c r="FX530" s="130"/>
      <c r="FY530" s="130"/>
      <c r="FZ530" s="130"/>
    </row>
    <row r="531" spans="1:188" s="3" customFormat="1">
      <c r="A531" s="76">
        <v>18</v>
      </c>
      <c r="B531" s="237"/>
      <c r="C531" s="18"/>
      <c r="D531" s="19" t="s">
        <v>1371</v>
      </c>
      <c r="E531" s="20">
        <v>5</v>
      </c>
      <c r="F531" s="57" t="s">
        <v>1383</v>
      </c>
      <c r="G531" s="58"/>
      <c r="H531" s="121"/>
      <c r="I531" s="24">
        <v>2343333</v>
      </c>
      <c r="J531" s="24"/>
      <c r="K531" s="199">
        <f t="shared" si="39"/>
        <v>2343333</v>
      </c>
      <c r="L531" s="26"/>
      <c r="M531" s="24"/>
      <c r="N531" s="129">
        <f t="shared" si="40"/>
        <v>2343333</v>
      </c>
      <c r="O531" s="108"/>
      <c r="AE531" s="130"/>
      <c r="AF531" s="130"/>
      <c r="AG531" s="130"/>
      <c r="AH531" s="130"/>
      <c r="AI531" s="130"/>
      <c r="AJ531" s="130"/>
      <c r="AK531" s="130"/>
      <c r="AL531" s="130"/>
      <c r="BC531" s="130"/>
      <c r="BD531" s="130"/>
      <c r="BE531" s="130"/>
      <c r="BF531" s="130"/>
      <c r="BG531" s="130"/>
      <c r="BH531" s="130"/>
      <c r="BI531" s="130"/>
      <c r="BJ531" s="130"/>
      <c r="CA531" s="130"/>
      <c r="CB531" s="130"/>
      <c r="CC531" s="130"/>
      <c r="CD531" s="130"/>
      <c r="CE531" s="130"/>
      <c r="CF531" s="130"/>
      <c r="CG531" s="130"/>
      <c r="CH531" s="130"/>
      <c r="CY531" s="130"/>
      <c r="CZ531" s="130"/>
      <c r="DA531" s="130"/>
      <c r="DB531" s="130"/>
      <c r="DC531" s="130"/>
      <c r="DD531" s="130"/>
      <c r="DE531" s="130"/>
      <c r="DF531" s="130"/>
      <c r="DW531" s="130"/>
      <c r="DX531" s="130"/>
      <c r="DY531" s="130"/>
      <c r="DZ531" s="130"/>
      <c r="EA531" s="130"/>
      <c r="EB531" s="130"/>
      <c r="EC531" s="130"/>
      <c r="ED531" s="130"/>
      <c r="EU531" s="130"/>
      <c r="EV531" s="130"/>
      <c r="EW531" s="130"/>
      <c r="EX531" s="130"/>
      <c r="EY531" s="130"/>
      <c r="EZ531" s="130"/>
      <c r="FA531" s="130"/>
      <c r="FB531" s="130"/>
      <c r="FS531" s="130"/>
      <c r="FT531" s="130"/>
      <c r="FU531" s="130"/>
      <c r="FV531" s="130"/>
      <c r="FW531" s="130"/>
      <c r="FX531" s="130"/>
      <c r="FY531" s="130"/>
      <c r="FZ531" s="130"/>
    </row>
    <row r="532" spans="1:188" s="3" customFormat="1">
      <c r="A532" s="76">
        <v>19</v>
      </c>
      <c r="B532" s="237"/>
      <c r="C532" s="18"/>
      <c r="D532" s="19" t="s">
        <v>1371</v>
      </c>
      <c r="E532" s="20">
        <v>5</v>
      </c>
      <c r="F532" s="82" t="s">
        <v>1384</v>
      </c>
      <c r="G532" s="58"/>
      <c r="H532" s="121"/>
      <c r="I532" s="24">
        <v>2190476</v>
      </c>
      <c r="J532" s="24"/>
      <c r="K532" s="199">
        <f t="shared" si="39"/>
        <v>2190476</v>
      </c>
      <c r="L532" s="26">
        <v>1</v>
      </c>
      <c r="M532" s="24"/>
      <c r="N532" s="129">
        <f t="shared" si="40"/>
        <v>2190476</v>
      </c>
      <c r="O532" s="108"/>
      <c r="AE532" s="130"/>
      <c r="AF532" s="130"/>
      <c r="AG532" s="130"/>
      <c r="AH532" s="130"/>
      <c r="AI532" s="130"/>
      <c r="AJ532" s="130"/>
      <c r="AK532" s="130"/>
      <c r="AL532" s="130"/>
      <c r="BC532" s="130"/>
      <c r="BD532" s="130"/>
      <c r="BE532" s="130"/>
      <c r="BF532" s="130"/>
      <c r="BG532" s="130"/>
      <c r="BH532" s="130"/>
      <c r="BI532" s="130"/>
      <c r="BJ532" s="130"/>
      <c r="CA532" s="130"/>
      <c r="CB532" s="130"/>
      <c r="CC532" s="130"/>
      <c r="CD532" s="130"/>
      <c r="CE532" s="130"/>
      <c r="CF532" s="130"/>
      <c r="CG532" s="130"/>
      <c r="CH532" s="130"/>
      <c r="CY532" s="130"/>
      <c r="CZ532" s="130"/>
      <c r="DA532" s="130"/>
      <c r="DB532" s="130"/>
      <c r="DC532" s="130"/>
      <c r="DD532" s="130"/>
      <c r="DE532" s="130"/>
      <c r="DF532" s="130"/>
      <c r="DW532" s="130"/>
      <c r="DX532" s="130"/>
      <c r="DY532" s="130"/>
      <c r="DZ532" s="130"/>
      <c r="EA532" s="130"/>
      <c r="EB532" s="130"/>
      <c r="EC532" s="130"/>
      <c r="ED532" s="130"/>
      <c r="EU532" s="130"/>
      <c r="EV532" s="130"/>
      <c r="EW532" s="130"/>
      <c r="EX532" s="130"/>
      <c r="EY532" s="130"/>
      <c r="EZ532" s="130"/>
      <c r="FA532" s="130"/>
      <c r="FB532" s="130"/>
      <c r="FS532" s="130"/>
      <c r="FT532" s="130"/>
      <c r="FU532" s="130"/>
      <c r="FV532" s="130"/>
      <c r="FW532" s="130"/>
      <c r="FX532" s="130"/>
      <c r="FY532" s="130"/>
      <c r="FZ532" s="130"/>
    </row>
    <row r="533" spans="1:188" s="3" customFormat="1">
      <c r="A533" s="76">
        <v>20</v>
      </c>
      <c r="B533" s="237"/>
      <c r="C533" s="18"/>
      <c r="D533" s="19" t="s">
        <v>1371</v>
      </c>
      <c r="E533" s="20">
        <v>5</v>
      </c>
      <c r="F533" s="57" t="s">
        <v>1385</v>
      </c>
      <c r="G533" s="58"/>
      <c r="H533" s="121"/>
      <c r="I533" s="24">
        <v>1884952</v>
      </c>
      <c r="J533" s="24"/>
      <c r="K533" s="24">
        <f t="shared" si="39"/>
        <v>1884952</v>
      </c>
      <c r="L533" s="123"/>
      <c r="M533" s="24"/>
      <c r="N533" s="129">
        <f t="shared" si="40"/>
        <v>1884952</v>
      </c>
      <c r="O533" s="108"/>
      <c r="AE533" s="130"/>
      <c r="AF533" s="130"/>
      <c r="AG533" s="130"/>
      <c r="AH533" s="130"/>
      <c r="AI533" s="130"/>
      <c r="AJ533" s="130"/>
      <c r="AK533" s="130"/>
      <c r="AL533" s="130"/>
      <c r="BC533" s="130"/>
      <c r="BD533" s="130"/>
      <c r="BE533" s="130"/>
      <c r="BF533" s="130"/>
      <c r="BG533" s="130"/>
      <c r="BH533" s="130"/>
      <c r="BI533" s="130"/>
      <c r="BJ533" s="130"/>
      <c r="CA533" s="130"/>
      <c r="CB533" s="130"/>
      <c r="CC533" s="130"/>
      <c r="CD533" s="130"/>
      <c r="CE533" s="130"/>
      <c r="CF533" s="130"/>
      <c r="CG533" s="130"/>
      <c r="CH533" s="130"/>
      <c r="CY533" s="130"/>
      <c r="CZ533" s="130"/>
      <c r="DA533" s="130"/>
      <c r="DB533" s="130"/>
      <c r="DC533" s="130"/>
      <c r="DD533" s="130"/>
      <c r="DE533" s="130"/>
      <c r="DF533" s="130"/>
      <c r="DW533" s="130"/>
      <c r="DX533" s="130"/>
      <c r="DY533" s="130"/>
      <c r="DZ533" s="130"/>
      <c r="EA533" s="130"/>
      <c r="EB533" s="130"/>
      <c r="EC533" s="130"/>
      <c r="ED533" s="130"/>
      <c r="EU533" s="130"/>
      <c r="EV533" s="130"/>
      <c r="EW533" s="130"/>
      <c r="EX533" s="130"/>
      <c r="EY533" s="130"/>
      <c r="EZ533" s="130"/>
      <c r="FA533" s="130"/>
      <c r="FB533" s="130"/>
      <c r="FS533" s="130"/>
      <c r="FT533" s="130"/>
      <c r="FU533" s="130"/>
      <c r="FV533" s="130"/>
      <c r="FW533" s="130"/>
      <c r="FX533" s="130"/>
      <c r="FY533" s="130"/>
      <c r="FZ533" s="130"/>
    </row>
    <row r="534" spans="1:188" s="3" customFormat="1">
      <c r="A534" s="76">
        <v>21</v>
      </c>
      <c r="B534" s="237"/>
      <c r="C534" s="18"/>
      <c r="D534" s="19" t="s">
        <v>1371</v>
      </c>
      <c r="E534" s="20">
        <v>5</v>
      </c>
      <c r="F534" s="57" t="s">
        <v>1386</v>
      </c>
      <c r="G534" s="58"/>
      <c r="H534" s="121"/>
      <c r="I534" s="24">
        <v>1884952</v>
      </c>
      <c r="J534" s="24"/>
      <c r="K534" s="24">
        <f t="shared" si="39"/>
        <v>1884952</v>
      </c>
      <c r="L534" s="123"/>
      <c r="M534" s="24"/>
      <c r="N534" s="129">
        <f t="shared" si="40"/>
        <v>1884952</v>
      </c>
      <c r="O534" s="108"/>
      <c r="AE534" s="130"/>
      <c r="AF534" s="130"/>
      <c r="AG534" s="130"/>
      <c r="AH534" s="130"/>
      <c r="AI534" s="130"/>
      <c r="AJ534" s="130"/>
      <c r="AK534" s="130"/>
      <c r="AL534" s="130"/>
      <c r="BC534" s="130"/>
      <c r="BD534" s="130"/>
      <c r="BE534" s="130"/>
      <c r="BF534" s="130"/>
      <c r="BG534" s="130"/>
      <c r="BH534" s="130"/>
      <c r="BI534" s="130"/>
      <c r="BJ534" s="130"/>
      <c r="CA534" s="130"/>
      <c r="CB534" s="130"/>
      <c r="CC534" s="130"/>
      <c r="CD534" s="130"/>
      <c r="CE534" s="130"/>
      <c r="CF534" s="130"/>
      <c r="CG534" s="130"/>
      <c r="CH534" s="130"/>
      <c r="CY534" s="130"/>
      <c r="CZ534" s="130"/>
      <c r="DA534" s="130"/>
      <c r="DB534" s="130"/>
      <c r="DC534" s="130"/>
      <c r="DD534" s="130"/>
      <c r="DE534" s="130"/>
      <c r="DF534" s="130"/>
      <c r="DW534" s="130"/>
      <c r="DX534" s="130"/>
      <c r="DY534" s="130"/>
      <c r="DZ534" s="130"/>
      <c r="EA534" s="130"/>
      <c r="EB534" s="130"/>
      <c r="EC534" s="130"/>
      <c r="ED534" s="130"/>
      <c r="EU534" s="130"/>
      <c r="EV534" s="130"/>
      <c r="EW534" s="130"/>
      <c r="EX534" s="130"/>
      <c r="EY534" s="130"/>
      <c r="EZ534" s="130"/>
      <c r="FA534" s="130"/>
      <c r="FB534" s="130"/>
      <c r="FS534" s="130"/>
      <c r="FT534" s="130"/>
      <c r="FU534" s="130"/>
      <c r="FV534" s="130"/>
      <c r="FW534" s="130"/>
      <c r="FX534" s="130"/>
      <c r="FY534" s="130"/>
      <c r="FZ534" s="130"/>
    </row>
    <row r="535" spans="1:188" s="125" customFormat="1">
      <c r="A535" s="76">
        <v>22</v>
      </c>
      <c r="B535" s="237"/>
      <c r="C535" s="18"/>
      <c r="D535" s="19" t="s">
        <v>1371</v>
      </c>
      <c r="E535" s="20">
        <v>5</v>
      </c>
      <c r="F535" s="82" t="s">
        <v>1387</v>
      </c>
      <c r="G535" s="58"/>
      <c r="H535" s="121"/>
      <c r="I535" s="24">
        <v>1884952</v>
      </c>
      <c r="J535" s="24"/>
      <c r="K535" s="24">
        <f t="shared" si="39"/>
        <v>1884952</v>
      </c>
      <c r="L535" s="123"/>
      <c r="M535" s="24"/>
      <c r="N535" s="129">
        <f t="shared" si="40"/>
        <v>1884952</v>
      </c>
      <c r="O535" s="264"/>
      <c r="AE535" s="167"/>
      <c r="AF535" s="167"/>
      <c r="AG535" s="167"/>
      <c r="AH535" s="167"/>
      <c r="AI535" s="167"/>
      <c r="AJ535" s="167"/>
      <c r="AK535" s="167"/>
      <c r="AL535" s="167"/>
      <c r="BC535" s="167"/>
      <c r="BD535" s="167"/>
      <c r="BE535" s="167"/>
      <c r="BF535" s="167"/>
      <c r="BG535" s="167"/>
      <c r="BH535" s="167"/>
      <c r="BI535" s="167"/>
      <c r="BJ535" s="167"/>
      <c r="CA535" s="167"/>
      <c r="CB535" s="167"/>
      <c r="CC535" s="167"/>
      <c r="CD535" s="167"/>
      <c r="CE535" s="167"/>
      <c r="CF535" s="167"/>
      <c r="CG535" s="167"/>
      <c r="CH535" s="167"/>
      <c r="CY535" s="167"/>
      <c r="CZ535" s="167"/>
      <c r="DA535" s="167"/>
      <c r="DB535" s="167"/>
      <c r="DC535" s="167"/>
      <c r="DD535" s="167"/>
      <c r="DE535" s="167"/>
      <c r="DF535" s="167"/>
      <c r="DW535" s="167"/>
      <c r="DX535" s="167"/>
      <c r="DY535" s="167"/>
      <c r="DZ535" s="167"/>
      <c r="EA535" s="167"/>
      <c r="EB535" s="167"/>
      <c r="EC535" s="167"/>
      <c r="ED535" s="167"/>
      <c r="EU535" s="167"/>
      <c r="EV535" s="167"/>
      <c r="EW535" s="167"/>
      <c r="EX535" s="167"/>
      <c r="EY535" s="167"/>
      <c r="EZ535" s="167"/>
      <c r="FA535" s="167"/>
      <c r="FB535" s="167"/>
      <c r="FS535" s="167"/>
      <c r="FT535" s="167"/>
      <c r="FU535" s="167"/>
      <c r="FV535" s="167"/>
      <c r="FW535" s="167"/>
      <c r="FX535" s="167"/>
      <c r="FY535" s="167"/>
      <c r="FZ535" s="167"/>
    </row>
    <row r="536" spans="1:188" s="125" customFormat="1">
      <c r="A536" s="76">
        <v>23</v>
      </c>
      <c r="B536" s="237"/>
      <c r="C536" s="18"/>
      <c r="D536" s="19" t="s">
        <v>1371</v>
      </c>
      <c r="E536" s="20">
        <v>5</v>
      </c>
      <c r="F536" s="82" t="s">
        <v>1388</v>
      </c>
      <c r="G536" s="58"/>
      <c r="H536" s="121"/>
      <c r="I536" s="24">
        <v>2190476</v>
      </c>
      <c r="J536" s="24"/>
      <c r="K536" s="24">
        <f t="shared" si="39"/>
        <v>2190476</v>
      </c>
      <c r="L536" s="123"/>
      <c r="M536" s="24"/>
      <c r="N536" s="129">
        <f t="shared" si="40"/>
        <v>2190476</v>
      </c>
      <c r="O536" s="108"/>
      <c r="P536" s="3"/>
      <c r="Q536" s="3"/>
      <c r="R536" s="3"/>
      <c r="S536" s="3"/>
      <c r="T536" s="3"/>
      <c r="U536" s="3"/>
      <c r="V536" s="131"/>
      <c r="W536" s="15"/>
      <c r="X536" s="3"/>
      <c r="Y536" s="3"/>
      <c r="Z536" s="3"/>
      <c r="AA536" s="3"/>
      <c r="AB536" s="3"/>
      <c r="AC536" s="131"/>
      <c r="AD536" s="15"/>
      <c r="AE536" s="99"/>
      <c r="AF536" s="149"/>
      <c r="AG536" s="134"/>
      <c r="AH536" s="134"/>
      <c r="AI536" s="137"/>
      <c r="AJ536" s="150"/>
      <c r="AK536" s="137"/>
      <c r="AL536" s="137"/>
      <c r="AM536" s="3"/>
      <c r="AN536" s="138"/>
      <c r="AO536" s="2"/>
      <c r="AP536" s="139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131"/>
      <c r="BB536" s="15"/>
      <c r="BC536" s="99"/>
      <c r="BD536" s="149"/>
      <c r="BE536" s="134"/>
      <c r="BF536" s="134"/>
      <c r="BG536" s="137"/>
      <c r="BH536" s="150"/>
      <c r="BI536" s="137"/>
      <c r="BJ536" s="137"/>
      <c r="BK536" s="3"/>
      <c r="BL536" s="138"/>
      <c r="BM536" s="2"/>
      <c r="BN536" s="139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131"/>
      <c r="BZ536" s="15"/>
      <c r="CA536" s="99"/>
      <c r="CB536" s="149"/>
      <c r="CC536" s="134"/>
      <c r="CD536" s="134"/>
      <c r="CE536" s="137"/>
      <c r="CF536" s="150"/>
      <c r="CG536" s="137"/>
      <c r="CH536" s="137"/>
      <c r="CI536" s="3"/>
      <c r="CJ536" s="138"/>
      <c r="CK536" s="2"/>
      <c r="CL536" s="139"/>
      <c r="CM536" s="3"/>
      <c r="CN536" s="3"/>
      <c r="CO536" s="3"/>
      <c r="CP536" s="3"/>
      <c r="CQ536" s="3"/>
      <c r="CR536" s="3"/>
      <c r="CS536" s="3"/>
      <c r="CT536" s="3"/>
      <c r="CU536" s="3"/>
      <c r="CV536" s="3"/>
      <c r="CW536" s="131"/>
      <c r="CX536" s="15"/>
      <c r="CY536" s="99"/>
      <c r="CZ536" s="149"/>
      <c r="DA536" s="134"/>
      <c r="DB536" s="134"/>
      <c r="DC536" s="137"/>
      <c r="DD536" s="150"/>
      <c r="DE536" s="137"/>
      <c r="DF536" s="137"/>
      <c r="DG536" s="3"/>
      <c r="DH536" s="138"/>
      <c r="DI536" s="2"/>
      <c r="DJ536" s="139"/>
      <c r="DK536" s="3"/>
      <c r="DL536" s="3"/>
      <c r="DM536" s="3"/>
      <c r="DN536" s="3"/>
      <c r="DO536" s="3"/>
      <c r="DP536" s="3"/>
      <c r="DQ536" s="3"/>
      <c r="DR536" s="3"/>
      <c r="DS536" s="3"/>
      <c r="DT536" s="3"/>
      <c r="DU536" s="131"/>
      <c r="DV536" s="15"/>
      <c r="DW536" s="99"/>
      <c r="DX536" s="149"/>
      <c r="DY536" s="134"/>
      <c r="DZ536" s="134"/>
      <c r="EA536" s="137"/>
      <c r="EB536" s="150"/>
      <c r="EC536" s="137"/>
      <c r="ED536" s="137"/>
      <c r="EE536" s="3"/>
      <c r="EF536" s="138"/>
      <c r="EG536" s="2"/>
      <c r="EH536" s="139"/>
      <c r="EI536" s="3"/>
      <c r="EJ536" s="3"/>
      <c r="EK536" s="3"/>
      <c r="EL536" s="3"/>
      <c r="EM536" s="3"/>
      <c r="EN536" s="3"/>
      <c r="EO536" s="3"/>
      <c r="EP536" s="3"/>
      <c r="EQ536" s="3"/>
      <c r="ER536" s="3"/>
      <c r="ES536" s="131"/>
      <c r="ET536" s="15"/>
      <c r="EU536" s="99"/>
      <c r="EV536" s="149"/>
      <c r="EW536" s="134"/>
      <c r="EX536" s="134"/>
      <c r="EY536" s="137"/>
      <c r="EZ536" s="150"/>
      <c r="FA536" s="137"/>
      <c r="FB536" s="137"/>
      <c r="FC536" s="3"/>
      <c r="FD536" s="138"/>
      <c r="FE536" s="2"/>
      <c r="FF536" s="139"/>
      <c r="FG536" s="3"/>
      <c r="FH536" s="3"/>
      <c r="FI536" s="3"/>
      <c r="FJ536" s="3"/>
      <c r="FK536" s="3"/>
      <c r="FL536" s="3"/>
      <c r="FM536" s="3"/>
      <c r="FN536" s="3"/>
      <c r="FO536" s="3"/>
      <c r="FP536" s="3"/>
      <c r="FQ536" s="131"/>
      <c r="FR536" s="15"/>
      <c r="FS536" s="99"/>
      <c r="FT536" s="149"/>
      <c r="FU536" s="134"/>
      <c r="FV536" s="134"/>
      <c r="FW536" s="137"/>
      <c r="FX536" s="150"/>
      <c r="FY536" s="137"/>
      <c r="FZ536" s="137"/>
      <c r="GA536" s="3"/>
      <c r="GB536" s="138"/>
      <c r="GC536" s="2"/>
      <c r="GD536" s="139"/>
      <c r="GE536" s="3"/>
      <c r="GF536" s="3"/>
    </row>
    <row r="537" spans="1:188" s="125" customFormat="1">
      <c r="A537" s="76">
        <v>24</v>
      </c>
      <c r="B537" s="237"/>
      <c r="C537" s="18"/>
      <c r="D537" s="19" t="s">
        <v>1371</v>
      </c>
      <c r="E537" s="20">
        <v>5</v>
      </c>
      <c r="F537" s="82" t="s">
        <v>1389</v>
      </c>
      <c r="G537" s="58"/>
      <c r="H537" s="121"/>
      <c r="I537" s="24">
        <v>2190476</v>
      </c>
      <c r="J537" s="24"/>
      <c r="K537" s="199">
        <f t="shared" si="39"/>
        <v>2190476</v>
      </c>
      <c r="L537" s="26"/>
      <c r="M537" s="24"/>
      <c r="N537" s="129">
        <f t="shared" si="40"/>
        <v>2190476</v>
      </c>
      <c r="O537" s="108"/>
      <c r="AE537" s="167"/>
      <c r="AF537" s="167"/>
      <c r="AG537" s="167"/>
      <c r="AH537" s="167"/>
      <c r="AI537" s="167"/>
      <c r="AJ537" s="167"/>
      <c r="AK537" s="167"/>
      <c r="AL537" s="167"/>
      <c r="BC537" s="167"/>
      <c r="BD537" s="167"/>
      <c r="BE537" s="167"/>
      <c r="BF537" s="167"/>
      <c r="BG537" s="167"/>
      <c r="BH537" s="167"/>
      <c r="BI537" s="167"/>
      <c r="BJ537" s="167"/>
      <c r="CA537" s="167"/>
      <c r="CB537" s="167"/>
      <c r="CC537" s="167"/>
      <c r="CD537" s="167"/>
      <c r="CE537" s="167"/>
      <c r="CF537" s="167"/>
      <c r="CG537" s="167"/>
      <c r="CH537" s="167"/>
      <c r="CY537" s="167"/>
      <c r="CZ537" s="167"/>
      <c r="DA537" s="167"/>
      <c r="DB537" s="167"/>
      <c r="DC537" s="167"/>
      <c r="DD537" s="167"/>
      <c r="DE537" s="167"/>
      <c r="DF537" s="167"/>
      <c r="DW537" s="167"/>
      <c r="DX537" s="167"/>
      <c r="DY537" s="167"/>
      <c r="DZ537" s="167"/>
      <c r="EA537" s="167"/>
      <c r="EB537" s="167"/>
      <c r="EC537" s="167"/>
      <c r="ED537" s="167"/>
      <c r="EU537" s="167"/>
      <c r="EV537" s="167"/>
      <c r="EW537" s="167"/>
      <c r="EX537" s="167"/>
      <c r="EY537" s="167"/>
      <c r="EZ537" s="167"/>
      <c r="FA537" s="167"/>
      <c r="FB537" s="167"/>
      <c r="FS537" s="167"/>
      <c r="FT537" s="167"/>
      <c r="FU537" s="167"/>
      <c r="FV537" s="167"/>
      <c r="FW537" s="167"/>
      <c r="FX537" s="167"/>
      <c r="FY537" s="167"/>
      <c r="FZ537" s="167"/>
    </row>
    <row r="538" spans="1:188" s="125" customFormat="1">
      <c r="A538" s="76">
        <v>25</v>
      </c>
      <c r="B538" s="237"/>
      <c r="C538" s="18"/>
      <c r="D538" s="19" t="s">
        <v>1371</v>
      </c>
      <c r="E538" s="20">
        <v>5</v>
      </c>
      <c r="F538" s="82" t="s">
        <v>1390</v>
      </c>
      <c r="G538" s="58"/>
      <c r="H538" s="121"/>
      <c r="I538" s="24">
        <v>1884952</v>
      </c>
      <c r="J538" s="24"/>
      <c r="K538" s="24">
        <f t="shared" si="39"/>
        <v>1884952</v>
      </c>
      <c r="L538" s="123"/>
      <c r="M538" s="24"/>
      <c r="N538" s="129">
        <f t="shared" si="40"/>
        <v>1884952</v>
      </c>
      <c r="O538" s="108"/>
      <c r="AE538" s="167"/>
      <c r="AF538" s="167"/>
      <c r="AG538" s="167"/>
      <c r="AH538" s="167"/>
      <c r="AI538" s="167"/>
      <c r="AJ538" s="167"/>
      <c r="AK538" s="167"/>
      <c r="AL538" s="167"/>
      <c r="BC538" s="167"/>
      <c r="BD538" s="167"/>
      <c r="BE538" s="167"/>
      <c r="BF538" s="167"/>
      <c r="BG538" s="167"/>
      <c r="BH538" s="167"/>
      <c r="BI538" s="167"/>
      <c r="BJ538" s="167"/>
      <c r="CA538" s="167"/>
      <c r="CB538" s="167"/>
      <c r="CC538" s="167"/>
      <c r="CD538" s="167"/>
      <c r="CE538" s="167"/>
      <c r="CF538" s="167"/>
      <c r="CG538" s="167"/>
      <c r="CH538" s="167"/>
      <c r="CY538" s="167"/>
      <c r="CZ538" s="167"/>
      <c r="DA538" s="167"/>
      <c r="DB538" s="167"/>
      <c r="DC538" s="167"/>
      <c r="DD538" s="167"/>
      <c r="DE538" s="167"/>
      <c r="DF538" s="167"/>
      <c r="DW538" s="167"/>
      <c r="DX538" s="167"/>
      <c r="DY538" s="167"/>
      <c r="DZ538" s="167"/>
      <c r="EA538" s="167"/>
      <c r="EB538" s="167"/>
      <c r="EC538" s="167"/>
      <c r="ED538" s="167"/>
      <c r="EU538" s="167"/>
      <c r="EV538" s="167"/>
      <c r="EW538" s="167"/>
      <c r="EX538" s="167"/>
      <c r="EY538" s="167"/>
      <c r="EZ538" s="167"/>
      <c r="FA538" s="167"/>
      <c r="FB538" s="167"/>
      <c r="FS538" s="167"/>
      <c r="FT538" s="167"/>
      <c r="FU538" s="167"/>
      <c r="FV538" s="167"/>
      <c r="FW538" s="167"/>
      <c r="FX538" s="167"/>
      <c r="FY538" s="167"/>
      <c r="FZ538" s="167"/>
    </row>
    <row r="539" spans="1:188" s="3" customFormat="1">
      <c r="A539" s="76">
        <v>26</v>
      </c>
      <c r="B539" s="237"/>
      <c r="C539" s="18"/>
      <c r="D539" s="19" t="s">
        <v>1371</v>
      </c>
      <c r="E539" s="20">
        <v>5</v>
      </c>
      <c r="F539" s="82" t="s">
        <v>1391</v>
      </c>
      <c r="G539" s="58"/>
      <c r="H539" s="121"/>
      <c r="I539" s="24">
        <v>2190476</v>
      </c>
      <c r="J539" s="24"/>
      <c r="K539" s="24">
        <f t="shared" si="39"/>
        <v>2190476</v>
      </c>
      <c r="L539" s="123"/>
      <c r="M539" s="24"/>
      <c r="N539" s="129">
        <f t="shared" si="40"/>
        <v>2190476</v>
      </c>
      <c r="O539" s="108"/>
      <c r="P539" s="125"/>
      <c r="Q539" s="125"/>
      <c r="R539" s="125"/>
      <c r="S539" s="125"/>
      <c r="T539" s="125"/>
      <c r="U539" s="125"/>
      <c r="V539" s="125"/>
      <c r="W539" s="125"/>
      <c r="X539" s="125"/>
      <c r="Y539" s="125"/>
      <c r="Z539" s="125"/>
      <c r="AA539" s="125"/>
      <c r="AB539" s="125"/>
      <c r="AC539" s="125"/>
      <c r="AD539" s="125"/>
      <c r="AE539" s="179"/>
      <c r="AF539" s="177"/>
      <c r="AG539" s="177"/>
      <c r="AH539" s="177"/>
      <c r="AI539" s="177"/>
      <c r="AJ539" s="177"/>
      <c r="AK539" s="177"/>
      <c r="AL539" s="178"/>
      <c r="AM539" s="125"/>
      <c r="AN539" s="125"/>
      <c r="AO539" s="125"/>
      <c r="AP539" s="125"/>
      <c r="AQ539" s="125"/>
      <c r="AR539" s="125"/>
      <c r="AS539" s="125"/>
      <c r="AT539" s="125"/>
      <c r="AU539" s="125"/>
      <c r="AV539" s="125"/>
      <c r="AW539" s="125"/>
      <c r="AX539" s="125"/>
      <c r="AY539" s="125"/>
      <c r="AZ539" s="125"/>
      <c r="BA539" s="125"/>
      <c r="BB539" s="125"/>
      <c r="BC539" s="179"/>
      <c r="BD539" s="177"/>
      <c r="BE539" s="177"/>
      <c r="BF539" s="177"/>
      <c r="BG539" s="177"/>
      <c r="BH539" s="177"/>
      <c r="BI539" s="177"/>
      <c r="BJ539" s="178"/>
      <c r="BK539" s="125"/>
      <c r="BL539" s="125"/>
      <c r="BM539" s="125"/>
      <c r="BN539" s="125"/>
      <c r="BO539" s="125"/>
      <c r="BP539" s="125"/>
      <c r="BQ539" s="125"/>
      <c r="BR539" s="125"/>
      <c r="BS539" s="125"/>
      <c r="BT539" s="125"/>
      <c r="BU539" s="125"/>
      <c r="BV539" s="125"/>
      <c r="BW539" s="125"/>
      <c r="BX539" s="125"/>
      <c r="BY539" s="125"/>
      <c r="BZ539" s="125"/>
      <c r="CA539" s="179"/>
      <c r="CB539" s="177"/>
      <c r="CC539" s="177"/>
      <c r="CD539" s="177"/>
      <c r="CE539" s="177"/>
      <c r="CF539" s="177"/>
      <c r="CG539" s="177"/>
      <c r="CH539" s="178"/>
      <c r="CI539" s="125"/>
      <c r="CJ539" s="125"/>
      <c r="CK539" s="125"/>
      <c r="CL539" s="125"/>
      <c r="CM539" s="125"/>
      <c r="CN539" s="125"/>
      <c r="CO539" s="125"/>
      <c r="CP539" s="125"/>
      <c r="CQ539" s="125"/>
      <c r="CR539" s="125"/>
      <c r="CS539" s="125"/>
      <c r="CT539" s="125"/>
      <c r="CU539" s="125"/>
      <c r="CV539" s="125"/>
      <c r="CW539" s="125"/>
      <c r="CX539" s="125"/>
      <c r="CY539" s="179"/>
      <c r="CZ539" s="177"/>
      <c r="DA539" s="177"/>
      <c r="DB539" s="177"/>
      <c r="DC539" s="177"/>
      <c r="DD539" s="177"/>
      <c r="DE539" s="177"/>
      <c r="DF539" s="178"/>
      <c r="DG539" s="125"/>
      <c r="DH539" s="125"/>
      <c r="DI539" s="125"/>
      <c r="DJ539" s="125"/>
      <c r="DK539" s="125"/>
      <c r="DL539" s="125"/>
      <c r="DM539" s="125"/>
      <c r="DN539" s="125"/>
      <c r="DO539" s="125"/>
      <c r="DP539" s="125"/>
      <c r="DQ539" s="125"/>
      <c r="DR539" s="125"/>
      <c r="DS539" s="125"/>
      <c r="DT539" s="125"/>
      <c r="DU539" s="125"/>
      <c r="DV539" s="125"/>
      <c r="DW539" s="179"/>
      <c r="DX539" s="177"/>
      <c r="DY539" s="177"/>
      <c r="DZ539" s="177"/>
      <c r="EA539" s="177"/>
      <c r="EB539" s="177"/>
      <c r="EC539" s="177"/>
      <c r="ED539" s="178"/>
      <c r="EE539" s="125"/>
      <c r="EF539" s="125"/>
      <c r="EG539" s="125"/>
      <c r="EH539" s="125"/>
      <c r="EI539" s="125"/>
      <c r="EJ539" s="125"/>
      <c r="EK539" s="125"/>
      <c r="EL539" s="125"/>
      <c r="EM539" s="125"/>
      <c r="EN539" s="125"/>
      <c r="EO539" s="125"/>
      <c r="EP539" s="125"/>
      <c r="EQ539" s="125"/>
      <c r="ER539" s="125"/>
      <c r="ES539" s="125"/>
      <c r="ET539" s="125"/>
      <c r="EU539" s="179"/>
      <c r="EV539" s="177"/>
      <c r="EW539" s="177"/>
      <c r="EX539" s="177"/>
      <c r="EY539" s="177"/>
      <c r="EZ539" s="177"/>
      <c r="FA539" s="177"/>
      <c r="FB539" s="178"/>
      <c r="FC539" s="125"/>
      <c r="FD539" s="125"/>
      <c r="FE539" s="125"/>
      <c r="FF539" s="125"/>
      <c r="FG539" s="125"/>
      <c r="FH539" s="125"/>
      <c r="FI539" s="125"/>
      <c r="FJ539" s="125"/>
      <c r="FK539" s="125"/>
      <c r="FL539" s="125"/>
      <c r="FM539" s="125"/>
      <c r="FN539" s="125"/>
      <c r="FO539" s="125"/>
      <c r="FP539" s="125"/>
      <c r="FQ539" s="125"/>
      <c r="FR539" s="125"/>
      <c r="FS539" s="179"/>
      <c r="FT539" s="177"/>
      <c r="FU539" s="177"/>
      <c r="FV539" s="177"/>
      <c r="FW539" s="177"/>
      <c r="FX539" s="177"/>
      <c r="FY539" s="177"/>
      <c r="FZ539" s="178"/>
      <c r="GA539" s="125"/>
      <c r="GB539" s="125"/>
      <c r="GC539" s="125"/>
      <c r="GD539" s="125"/>
      <c r="GE539" s="125"/>
      <c r="GF539" s="125"/>
    </row>
    <row r="540" spans="1:188" s="125" customFormat="1">
      <c r="A540" s="76">
        <v>27</v>
      </c>
      <c r="B540" s="237"/>
      <c r="C540" s="18"/>
      <c r="D540" s="19" t="s">
        <v>1371</v>
      </c>
      <c r="E540" s="265">
        <v>5</v>
      </c>
      <c r="F540" s="24" t="s">
        <v>868</v>
      </c>
      <c r="G540" s="238"/>
      <c r="H540" s="121"/>
      <c r="I540" s="24">
        <v>2190476</v>
      </c>
      <c r="J540" s="24"/>
      <c r="K540" s="24">
        <v>2190476</v>
      </c>
      <c r="L540" s="24"/>
      <c r="M540" s="24"/>
      <c r="N540" s="129">
        <v>2190476</v>
      </c>
      <c r="O540" s="108"/>
      <c r="AE540" s="167"/>
      <c r="AF540" s="167"/>
      <c r="AG540" s="167"/>
      <c r="AH540" s="167"/>
      <c r="AI540" s="167"/>
      <c r="AJ540" s="167"/>
      <c r="AK540" s="167"/>
      <c r="AL540" s="167"/>
      <c r="BC540" s="167"/>
      <c r="BD540" s="167"/>
      <c r="BE540" s="167"/>
      <c r="BF540" s="167"/>
      <c r="BG540" s="167"/>
      <c r="BH540" s="167"/>
      <c r="BI540" s="167"/>
      <c r="BJ540" s="167"/>
      <c r="CA540" s="167"/>
      <c r="CB540" s="167"/>
      <c r="CC540" s="167"/>
      <c r="CD540" s="167"/>
      <c r="CE540" s="167"/>
      <c r="CF540" s="167"/>
      <c r="CG540" s="167"/>
      <c r="CH540" s="167"/>
      <c r="CY540" s="167"/>
      <c r="CZ540" s="167"/>
      <c r="DA540" s="167"/>
      <c r="DB540" s="167"/>
      <c r="DC540" s="167"/>
      <c r="DD540" s="167"/>
      <c r="DE540" s="167"/>
      <c r="DF540" s="167"/>
      <c r="DW540" s="167"/>
      <c r="DX540" s="167"/>
      <c r="DY540" s="167"/>
      <c r="DZ540" s="167"/>
      <c r="EA540" s="167"/>
      <c r="EB540" s="167"/>
      <c r="EC540" s="167"/>
      <c r="ED540" s="167"/>
      <c r="EU540" s="167"/>
      <c r="EV540" s="167"/>
      <c r="EW540" s="167"/>
      <c r="EX540" s="167"/>
      <c r="EY540" s="167"/>
      <c r="EZ540" s="167"/>
      <c r="FA540" s="167"/>
      <c r="FB540" s="167"/>
      <c r="FS540" s="167"/>
      <c r="FT540" s="167"/>
      <c r="FU540" s="167"/>
      <c r="FV540" s="167"/>
      <c r="FW540" s="167"/>
      <c r="FX540" s="167"/>
      <c r="FY540" s="167"/>
      <c r="FZ540" s="167"/>
    </row>
    <row r="541" spans="1:188" s="125" customFormat="1">
      <c r="A541" s="76">
        <v>28</v>
      </c>
      <c r="B541" s="237"/>
      <c r="C541" s="18"/>
      <c r="D541" s="19" t="s">
        <v>1371</v>
      </c>
      <c r="E541" s="20">
        <v>5</v>
      </c>
      <c r="F541" s="24" t="s">
        <v>869</v>
      </c>
      <c r="G541" s="238"/>
      <c r="H541" s="121"/>
      <c r="I541" s="24">
        <v>2190476</v>
      </c>
      <c r="J541" s="24"/>
      <c r="K541" s="24">
        <v>2190476</v>
      </c>
      <c r="L541" s="24"/>
      <c r="M541" s="24"/>
      <c r="N541" s="124">
        <v>2190476</v>
      </c>
      <c r="O541" s="108"/>
      <c r="V541" s="187"/>
      <c r="W541" s="188"/>
      <c r="AC541" s="187"/>
      <c r="AD541" s="188"/>
      <c r="AE541" s="194"/>
      <c r="AF541" s="195"/>
      <c r="AG541" s="191"/>
      <c r="AH541" s="191"/>
      <c r="AI541" s="183"/>
      <c r="AJ541" s="193"/>
      <c r="AK541" s="183"/>
      <c r="AL541" s="183"/>
      <c r="AN541" s="184"/>
      <c r="AO541" s="185"/>
      <c r="AP541" s="186"/>
      <c r="BA541" s="187"/>
      <c r="BB541" s="188"/>
      <c r="BC541" s="194"/>
      <c r="BD541" s="195"/>
      <c r="BE541" s="191"/>
      <c r="BF541" s="191"/>
      <c r="BG541" s="183"/>
      <c r="BH541" s="193"/>
      <c r="BI541" s="183"/>
      <c r="BJ541" s="183"/>
      <c r="BL541" s="184"/>
      <c r="BM541" s="185"/>
      <c r="BN541" s="186"/>
      <c r="BY541" s="187"/>
      <c r="BZ541" s="188"/>
      <c r="CA541" s="194"/>
      <c r="CB541" s="195"/>
      <c r="CC541" s="191"/>
      <c r="CD541" s="191"/>
      <c r="CE541" s="183"/>
      <c r="CF541" s="193"/>
      <c r="CG541" s="183"/>
      <c r="CH541" s="183"/>
      <c r="CJ541" s="184"/>
      <c r="CK541" s="185"/>
      <c r="CL541" s="186"/>
      <c r="CW541" s="187"/>
      <c r="CX541" s="188"/>
      <c r="CY541" s="194"/>
      <c r="CZ541" s="195"/>
      <c r="DA541" s="191"/>
      <c r="DB541" s="191"/>
      <c r="DC541" s="183"/>
      <c r="DD541" s="193"/>
      <c r="DE541" s="183"/>
      <c r="DF541" s="183"/>
      <c r="DH541" s="184"/>
      <c r="DI541" s="185"/>
      <c r="DJ541" s="186"/>
      <c r="DU541" s="187"/>
      <c r="DV541" s="188"/>
      <c r="DW541" s="194"/>
      <c r="DX541" s="195"/>
      <c r="DY541" s="191"/>
      <c r="DZ541" s="191"/>
      <c r="EA541" s="183"/>
      <c r="EB541" s="193"/>
      <c r="EC541" s="183"/>
      <c r="ED541" s="183"/>
      <c r="EF541" s="184"/>
      <c r="EG541" s="185"/>
      <c r="EH541" s="186"/>
      <c r="ES541" s="187"/>
      <c r="ET541" s="188"/>
      <c r="EU541" s="194"/>
      <c r="EV541" s="195"/>
      <c r="EW541" s="191"/>
      <c r="EX541" s="191"/>
      <c r="EY541" s="183"/>
      <c r="EZ541" s="193"/>
      <c r="FA541" s="183"/>
      <c r="FB541" s="183"/>
      <c r="FD541" s="184"/>
      <c r="FE541" s="185"/>
      <c r="FF541" s="186"/>
      <c r="FQ541" s="187"/>
      <c r="FR541" s="188"/>
      <c r="FS541" s="194"/>
      <c r="FT541" s="195"/>
      <c r="FU541" s="191"/>
      <c r="FV541" s="191"/>
      <c r="FW541" s="183"/>
      <c r="FX541" s="193"/>
      <c r="FY541" s="183"/>
      <c r="FZ541" s="183"/>
      <c r="GB541" s="184"/>
      <c r="GC541" s="185"/>
      <c r="GD541" s="186"/>
    </row>
    <row r="542" spans="1:188" s="125" customFormat="1">
      <c r="A542" s="76">
        <v>29</v>
      </c>
      <c r="B542" s="237"/>
      <c r="C542" s="18"/>
      <c r="D542" s="19" t="s">
        <v>1371</v>
      </c>
      <c r="E542" s="20">
        <v>5</v>
      </c>
      <c r="F542" s="82" t="s">
        <v>1392</v>
      </c>
      <c r="G542" s="58"/>
      <c r="H542" s="121"/>
      <c r="I542" s="24">
        <v>2190476</v>
      </c>
      <c r="J542" s="24"/>
      <c r="K542" s="24">
        <f>I542+J542</f>
        <v>2190476</v>
      </c>
      <c r="L542" s="123"/>
      <c r="M542" s="24"/>
      <c r="N542" s="124">
        <f>K542-M542</f>
        <v>2190476</v>
      </c>
      <c r="O542" s="108"/>
      <c r="AE542" s="167"/>
      <c r="AF542" s="167"/>
      <c r="AG542" s="167"/>
      <c r="AH542" s="167"/>
      <c r="AI542" s="167"/>
      <c r="AJ542" s="167"/>
      <c r="AK542" s="167"/>
      <c r="AL542" s="167"/>
      <c r="BC542" s="167"/>
      <c r="BD542" s="167"/>
      <c r="BE542" s="167"/>
      <c r="BF542" s="167"/>
      <c r="BG542" s="167"/>
      <c r="BH542" s="167"/>
      <c r="BI542" s="167"/>
      <c r="BJ542" s="167"/>
      <c r="CA542" s="167"/>
      <c r="CB542" s="167"/>
      <c r="CC542" s="167"/>
      <c r="CD542" s="167"/>
      <c r="CE542" s="167"/>
      <c r="CF542" s="167"/>
      <c r="CG542" s="167"/>
      <c r="CH542" s="167"/>
      <c r="CY542" s="167"/>
      <c r="CZ542" s="167"/>
      <c r="DA542" s="167"/>
      <c r="DB542" s="167"/>
      <c r="DC542" s="167"/>
      <c r="DD542" s="167"/>
      <c r="DE542" s="167"/>
      <c r="DF542" s="167"/>
      <c r="DW542" s="167"/>
      <c r="DX542" s="167"/>
      <c r="DY542" s="167"/>
      <c r="DZ542" s="167"/>
      <c r="EA542" s="167"/>
      <c r="EB542" s="167"/>
      <c r="EC542" s="167"/>
      <c r="ED542" s="167"/>
      <c r="EU542" s="167"/>
      <c r="EV542" s="167"/>
      <c r="EW542" s="167"/>
      <c r="EX542" s="167"/>
      <c r="EY542" s="167"/>
      <c r="EZ542" s="167"/>
      <c r="FA542" s="167"/>
      <c r="FB542" s="167"/>
      <c r="FS542" s="167"/>
      <c r="FT542" s="167"/>
      <c r="FU542" s="167"/>
      <c r="FV542" s="167"/>
      <c r="FW542" s="167"/>
      <c r="FX542" s="167"/>
      <c r="FY542" s="167"/>
      <c r="FZ542" s="167"/>
    </row>
    <row r="543" spans="1:188" s="125" customFormat="1">
      <c r="A543" s="76">
        <v>30</v>
      </c>
      <c r="B543" s="237"/>
      <c r="C543" s="18"/>
      <c r="D543" s="19" t="s">
        <v>1371</v>
      </c>
      <c r="E543" s="20">
        <v>7</v>
      </c>
      <c r="F543" s="82" t="s">
        <v>1393</v>
      </c>
      <c r="G543" s="58"/>
      <c r="H543" s="121"/>
      <c r="I543" s="24">
        <v>3943809</v>
      </c>
      <c r="J543" s="24"/>
      <c r="K543" s="24">
        <f>I543+J543</f>
        <v>3943809</v>
      </c>
      <c r="L543" s="123"/>
      <c r="M543" s="24"/>
      <c r="N543" s="129">
        <f>K543-M543</f>
        <v>3943809</v>
      </c>
      <c r="O543" s="108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130"/>
      <c r="AF543" s="130"/>
      <c r="AG543" s="130"/>
      <c r="AH543" s="130"/>
      <c r="AI543" s="130"/>
      <c r="AJ543" s="130"/>
      <c r="AK543" s="130"/>
      <c r="AL543" s="130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130"/>
      <c r="BD543" s="130"/>
      <c r="BE543" s="130"/>
      <c r="BF543" s="130"/>
      <c r="BG543" s="130"/>
      <c r="BH543" s="130"/>
      <c r="BI543" s="130"/>
      <c r="BJ543" s="130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130"/>
      <c r="CB543" s="130"/>
      <c r="CC543" s="130"/>
      <c r="CD543" s="130"/>
      <c r="CE543" s="130"/>
      <c r="CF543" s="130"/>
      <c r="CG543" s="130"/>
      <c r="CH543" s="130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  <c r="CW543" s="3"/>
      <c r="CX543" s="3"/>
      <c r="CY543" s="130"/>
      <c r="CZ543" s="130"/>
      <c r="DA543" s="130"/>
      <c r="DB543" s="130"/>
      <c r="DC543" s="130"/>
      <c r="DD543" s="130"/>
      <c r="DE543" s="130"/>
      <c r="DF543" s="130"/>
      <c r="DG543" s="3"/>
      <c r="DH543" s="3"/>
      <c r="DI543" s="3"/>
      <c r="DJ543" s="3"/>
      <c r="DK543" s="3"/>
      <c r="DL543" s="3"/>
      <c r="DM543" s="3"/>
      <c r="DN543" s="3"/>
      <c r="DO543" s="3"/>
      <c r="DP543" s="3"/>
      <c r="DQ543" s="3"/>
      <c r="DR543" s="3"/>
      <c r="DS543" s="3"/>
      <c r="DT543" s="3"/>
      <c r="DU543" s="3"/>
      <c r="DV543" s="3"/>
      <c r="DW543" s="130"/>
      <c r="DX543" s="130"/>
      <c r="DY543" s="130"/>
      <c r="DZ543" s="130"/>
      <c r="EA543" s="130"/>
      <c r="EB543" s="130"/>
      <c r="EC543" s="130"/>
      <c r="ED543" s="130"/>
      <c r="EE543" s="3"/>
      <c r="EF543" s="3"/>
      <c r="EG543" s="3"/>
      <c r="EH543" s="3"/>
      <c r="EI543" s="3"/>
      <c r="EJ543" s="3"/>
      <c r="EK543" s="3"/>
      <c r="EL543" s="3"/>
      <c r="EM543" s="3"/>
      <c r="EN543" s="3"/>
      <c r="EO543" s="3"/>
      <c r="EP543" s="3"/>
      <c r="EQ543" s="3"/>
      <c r="ER543" s="3"/>
      <c r="ES543" s="3"/>
      <c r="ET543" s="3"/>
      <c r="EU543" s="130"/>
      <c r="EV543" s="130"/>
      <c r="EW543" s="130"/>
      <c r="EX543" s="130"/>
      <c r="EY543" s="130"/>
      <c r="EZ543" s="130"/>
      <c r="FA543" s="130"/>
      <c r="FB543" s="130"/>
      <c r="FC543" s="3"/>
      <c r="FD543" s="3"/>
      <c r="FE543" s="3"/>
      <c r="FF543" s="3"/>
      <c r="FG543" s="3"/>
      <c r="FH543" s="3"/>
      <c r="FI543" s="3"/>
      <c r="FJ543" s="3"/>
      <c r="FK543" s="3"/>
      <c r="FL543" s="3"/>
      <c r="FM543" s="3"/>
      <c r="FN543" s="3"/>
      <c r="FO543" s="3"/>
      <c r="FP543" s="3"/>
      <c r="FQ543" s="3"/>
      <c r="FR543" s="3"/>
      <c r="FS543" s="130"/>
      <c r="FT543" s="130"/>
      <c r="FU543" s="130"/>
      <c r="FV543" s="130"/>
      <c r="FW543" s="130"/>
      <c r="FX543" s="130"/>
      <c r="FY543" s="130"/>
      <c r="FZ543" s="130"/>
      <c r="GA543" s="3"/>
      <c r="GB543" s="3"/>
      <c r="GC543" s="3"/>
      <c r="GD543" s="3"/>
      <c r="GE543" s="3"/>
      <c r="GF543" s="3"/>
    </row>
    <row r="544" spans="1:188" s="125" customFormat="1">
      <c r="A544" s="76">
        <v>31</v>
      </c>
      <c r="B544" s="237"/>
      <c r="C544" s="18"/>
      <c r="D544" s="19" t="s">
        <v>1371</v>
      </c>
      <c r="E544" s="20">
        <v>7</v>
      </c>
      <c r="F544" s="24" t="s">
        <v>872</v>
      </c>
      <c r="G544" s="238"/>
      <c r="H544" s="121"/>
      <c r="I544" s="24">
        <v>4460476</v>
      </c>
      <c r="J544" s="199"/>
      <c r="K544" s="24">
        <v>4460476</v>
      </c>
      <c r="L544" s="24"/>
      <c r="M544" s="24"/>
      <c r="N544" s="129">
        <v>4460476</v>
      </c>
      <c r="O544" s="108"/>
      <c r="AE544" s="167"/>
      <c r="AF544" s="167"/>
      <c r="AG544" s="167"/>
      <c r="AH544" s="167"/>
      <c r="AI544" s="167"/>
      <c r="AJ544" s="167"/>
      <c r="AK544" s="167"/>
      <c r="AL544" s="167"/>
      <c r="BC544" s="167"/>
      <c r="BD544" s="167"/>
      <c r="BE544" s="167"/>
      <c r="BF544" s="167"/>
      <c r="BG544" s="167"/>
      <c r="BH544" s="167"/>
      <c r="BI544" s="167"/>
      <c r="BJ544" s="167"/>
      <c r="CA544" s="167"/>
      <c r="CB544" s="167"/>
      <c r="CC544" s="167"/>
      <c r="CD544" s="167"/>
      <c r="CE544" s="167"/>
      <c r="CF544" s="167"/>
      <c r="CG544" s="167"/>
      <c r="CH544" s="167"/>
      <c r="CY544" s="167"/>
      <c r="CZ544" s="167"/>
      <c r="DA544" s="167"/>
      <c r="DB544" s="167"/>
      <c r="DC544" s="167"/>
      <c r="DD544" s="167"/>
      <c r="DE544" s="167"/>
      <c r="DF544" s="167"/>
      <c r="DW544" s="167"/>
      <c r="DX544" s="167"/>
      <c r="DY544" s="167"/>
      <c r="DZ544" s="167"/>
      <c r="EA544" s="167"/>
      <c r="EB544" s="167"/>
      <c r="EC544" s="167"/>
      <c r="ED544" s="167"/>
      <c r="EU544" s="167"/>
      <c r="EV544" s="167"/>
      <c r="EW544" s="167"/>
      <c r="EX544" s="167"/>
      <c r="EY544" s="167"/>
      <c r="EZ544" s="167"/>
      <c r="FA544" s="167"/>
      <c r="FB544" s="167"/>
      <c r="FS544" s="167"/>
      <c r="FT544" s="167"/>
      <c r="FU544" s="167"/>
      <c r="FV544" s="167"/>
      <c r="FW544" s="167"/>
      <c r="FX544" s="167"/>
      <c r="FY544" s="167"/>
      <c r="FZ544" s="167"/>
    </row>
    <row r="545" spans="1:188" s="125" customFormat="1">
      <c r="A545" s="76">
        <v>32</v>
      </c>
      <c r="B545" s="237"/>
      <c r="C545" s="18"/>
      <c r="D545" s="19" t="s">
        <v>1371</v>
      </c>
      <c r="E545" s="20">
        <v>7</v>
      </c>
      <c r="F545" s="24" t="s">
        <v>873</v>
      </c>
      <c r="G545" s="238"/>
      <c r="H545" s="121"/>
      <c r="I545" s="24">
        <v>3474286</v>
      </c>
      <c r="J545" s="24"/>
      <c r="K545" s="24">
        <v>3474286</v>
      </c>
      <c r="L545" s="24"/>
      <c r="M545" s="24"/>
      <c r="N545" s="129">
        <v>3474286</v>
      </c>
      <c r="O545" s="108"/>
      <c r="AE545" s="167"/>
      <c r="AF545" s="167"/>
      <c r="AG545" s="167"/>
      <c r="AH545" s="167"/>
      <c r="AI545" s="167"/>
      <c r="AJ545" s="167"/>
      <c r="AK545" s="167"/>
      <c r="AL545" s="167"/>
      <c r="BC545" s="167"/>
      <c r="BD545" s="167"/>
      <c r="BE545" s="167"/>
      <c r="BF545" s="167"/>
      <c r="BG545" s="167"/>
      <c r="BH545" s="167"/>
      <c r="BI545" s="167"/>
      <c r="BJ545" s="167"/>
      <c r="CA545" s="167"/>
      <c r="CB545" s="167"/>
      <c r="CC545" s="167"/>
      <c r="CD545" s="167"/>
      <c r="CE545" s="167"/>
      <c r="CF545" s="167"/>
      <c r="CG545" s="167"/>
      <c r="CH545" s="167"/>
      <c r="CY545" s="167"/>
      <c r="CZ545" s="167"/>
      <c r="DA545" s="167"/>
      <c r="DB545" s="167"/>
      <c r="DC545" s="167"/>
      <c r="DD545" s="167"/>
      <c r="DE545" s="167"/>
      <c r="DF545" s="167"/>
      <c r="DW545" s="167"/>
      <c r="DX545" s="167"/>
      <c r="DY545" s="167"/>
      <c r="DZ545" s="167"/>
      <c r="EA545" s="167"/>
      <c r="EB545" s="167"/>
      <c r="EC545" s="167"/>
      <c r="ED545" s="167"/>
      <c r="EU545" s="167"/>
      <c r="EV545" s="167"/>
      <c r="EW545" s="167"/>
      <c r="EX545" s="167"/>
      <c r="EY545" s="167"/>
      <c r="EZ545" s="167"/>
      <c r="FA545" s="167"/>
      <c r="FB545" s="167"/>
      <c r="FS545" s="167"/>
      <c r="FT545" s="167"/>
      <c r="FU545" s="167"/>
      <c r="FV545" s="167"/>
      <c r="FW545" s="167"/>
      <c r="FX545" s="167"/>
      <c r="FY545" s="167"/>
      <c r="FZ545" s="167"/>
    </row>
    <row r="546" spans="1:188" s="125" customFormat="1">
      <c r="A546" s="76">
        <v>33</v>
      </c>
      <c r="B546" s="237"/>
      <c r="C546" s="18"/>
      <c r="D546" s="19" t="s">
        <v>1371</v>
      </c>
      <c r="E546" s="20">
        <v>7</v>
      </c>
      <c r="F546" s="24" t="s">
        <v>874</v>
      </c>
      <c r="G546" s="238"/>
      <c r="H546" s="121"/>
      <c r="I546" s="24">
        <v>3329524</v>
      </c>
      <c r="J546" s="24"/>
      <c r="K546" s="24">
        <v>3329524</v>
      </c>
      <c r="L546" s="24"/>
      <c r="M546" s="24"/>
      <c r="N546" s="129">
        <v>3329524</v>
      </c>
      <c r="O546" s="108"/>
      <c r="AE546" s="167"/>
      <c r="AF546" s="167"/>
      <c r="AG546" s="167"/>
      <c r="AH546" s="167"/>
      <c r="AI546" s="167"/>
      <c r="AJ546" s="167"/>
      <c r="AK546" s="167"/>
      <c r="AL546" s="167"/>
      <c r="BC546" s="167"/>
      <c r="BD546" s="167"/>
      <c r="BE546" s="167"/>
      <c r="BF546" s="167"/>
      <c r="BG546" s="167"/>
      <c r="BH546" s="167"/>
      <c r="BI546" s="167"/>
      <c r="BJ546" s="167"/>
      <c r="CA546" s="167"/>
      <c r="CB546" s="167"/>
      <c r="CC546" s="167"/>
      <c r="CD546" s="167"/>
      <c r="CE546" s="167"/>
      <c r="CF546" s="167"/>
      <c r="CG546" s="167"/>
      <c r="CH546" s="167"/>
      <c r="CY546" s="167"/>
      <c r="CZ546" s="167"/>
      <c r="DA546" s="167"/>
      <c r="DB546" s="167"/>
      <c r="DC546" s="167"/>
      <c r="DD546" s="167"/>
      <c r="DE546" s="167"/>
      <c r="DF546" s="167"/>
      <c r="DW546" s="167"/>
      <c r="DX546" s="167"/>
      <c r="DY546" s="167"/>
      <c r="DZ546" s="167"/>
      <c r="EA546" s="167"/>
      <c r="EB546" s="167"/>
      <c r="EC546" s="167"/>
      <c r="ED546" s="167"/>
      <c r="EU546" s="167"/>
      <c r="EV546" s="167"/>
      <c r="EW546" s="167"/>
      <c r="EX546" s="167"/>
      <c r="EY546" s="167"/>
      <c r="EZ546" s="167"/>
      <c r="FA546" s="167"/>
      <c r="FB546" s="167"/>
      <c r="FS546" s="167"/>
      <c r="FT546" s="167"/>
      <c r="FU546" s="167"/>
      <c r="FV546" s="167"/>
      <c r="FW546" s="167"/>
      <c r="FX546" s="167"/>
      <c r="FY546" s="167"/>
      <c r="FZ546" s="167"/>
    </row>
    <row r="547" spans="1:188" s="125" customFormat="1">
      <c r="A547" s="76">
        <v>34</v>
      </c>
      <c r="B547" s="56">
        <v>43034</v>
      </c>
      <c r="C547" s="18"/>
      <c r="D547" s="19" t="s">
        <v>1371</v>
      </c>
      <c r="E547" s="20" t="s">
        <v>285</v>
      </c>
      <c r="F547" s="24" t="s">
        <v>875</v>
      </c>
      <c r="G547" s="238">
        <v>1707</v>
      </c>
      <c r="H547" s="121">
        <f>1406000-30000</f>
        <v>1376000</v>
      </c>
      <c r="I547" s="24"/>
      <c r="J547" s="199">
        <f>SUM(H547)/1.05</f>
        <v>1310476.1904761905</v>
      </c>
      <c r="K547" s="24">
        <f t="shared" ref="K547:K555" si="41">I547+J547</f>
        <v>1310476.1904761905</v>
      </c>
      <c r="L547" s="24"/>
      <c r="M547" s="24">
        <f t="shared" ref="M547:M553" si="42">K547*L547</f>
        <v>0</v>
      </c>
      <c r="N547" s="124">
        <f t="shared" ref="N547:N555" si="43">K547-M547</f>
        <v>1310476.1904761905</v>
      </c>
      <c r="O547" s="108" t="s">
        <v>876</v>
      </c>
      <c r="AE547" s="167"/>
      <c r="AF547" s="167"/>
      <c r="AG547" s="167"/>
      <c r="AH547" s="167"/>
      <c r="AI547" s="167"/>
      <c r="AJ547" s="167"/>
      <c r="AK547" s="167"/>
      <c r="AL547" s="167"/>
      <c r="BC547" s="167"/>
      <c r="BD547" s="167"/>
      <c r="BE547" s="167"/>
      <c r="BF547" s="167"/>
      <c r="BG547" s="167"/>
      <c r="BH547" s="167"/>
      <c r="BI547" s="167"/>
      <c r="BJ547" s="167"/>
      <c r="CA547" s="167"/>
      <c r="CB547" s="167"/>
      <c r="CC547" s="167"/>
      <c r="CD547" s="167"/>
      <c r="CE547" s="167"/>
      <c r="CF547" s="167"/>
      <c r="CG547" s="167"/>
      <c r="CH547" s="167"/>
      <c r="CY547" s="167"/>
      <c r="CZ547" s="167"/>
      <c r="DA547" s="167"/>
      <c r="DB547" s="167"/>
      <c r="DC547" s="167"/>
      <c r="DD547" s="167"/>
      <c r="DE547" s="167"/>
      <c r="DF547" s="167"/>
      <c r="DW547" s="167"/>
      <c r="DX547" s="167"/>
      <c r="DY547" s="167"/>
      <c r="DZ547" s="167"/>
      <c r="EA547" s="167"/>
      <c r="EB547" s="167"/>
      <c r="EC547" s="167"/>
      <c r="ED547" s="167"/>
      <c r="EU547" s="167"/>
      <c r="EV547" s="167"/>
      <c r="EW547" s="167"/>
      <c r="EX547" s="167"/>
      <c r="EY547" s="167"/>
      <c r="EZ547" s="167"/>
      <c r="FA547" s="167"/>
      <c r="FB547" s="167"/>
      <c r="FS547" s="167"/>
      <c r="FT547" s="167"/>
      <c r="FU547" s="167"/>
      <c r="FV547" s="167"/>
      <c r="FW547" s="167"/>
      <c r="FX547" s="167"/>
      <c r="FY547" s="167"/>
      <c r="FZ547" s="167"/>
    </row>
    <row r="548" spans="1:188" s="3" customFormat="1">
      <c r="A548" s="76">
        <v>35</v>
      </c>
      <c r="B548" s="56">
        <v>43027</v>
      </c>
      <c r="C548" s="18"/>
      <c r="D548" s="19" t="s">
        <v>1371</v>
      </c>
      <c r="E548" s="20" t="s">
        <v>285</v>
      </c>
      <c r="F548" s="24" t="s">
        <v>877</v>
      </c>
      <c r="G548" s="238">
        <v>1707</v>
      </c>
      <c r="H548" s="121">
        <f>1406000-30000</f>
        <v>1376000</v>
      </c>
      <c r="I548" s="24"/>
      <c r="J548" s="199">
        <f>SUM(H548)/1.05</f>
        <v>1310476.1904761905</v>
      </c>
      <c r="K548" s="24">
        <f t="shared" si="41"/>
        <v>1310476.1904761905</v>
      </c>
      <c r="L548" s="24"/>
      <c r="M548" s="24">
        <f t="shared" si="42"/>
        <v>0</v>
      </c>
      <c r="N548" s="124">
        <f t="shared" si="43"/>
        <v>1310476.1904761905</v>
      </c>
      <c r="O548" s="108" t="s">
        <v>878</v>
      </c>
      <c r="P548" s="125"/>
      <c r="Q548" s="125"/>
      <c r="R548" s="125"/>
      <c r="S548" s="125"/>
      <c r="T548" s="125"/>
      <c r="U548" s="125"/>
      <c r="V548" s="187"/>
      <c r="W548" s="188"/>
      <c r="X548" s="125"/>
      <c r="Y548" s="125"/>
      <c r="Z548" s="125"/>
      <c r="AA548" s="125"/>
      <c r="AB548" s="125"/>
      <c r="AC548" s="187"/>
      <c r="AD548" s="188"/>
      <c r="AE548" s="194"/>
      <c r="AF548" s="195"/>
      <c r="AG548" s="191"/>
      <c r="AH548" s="191"/>
      <c r="AI548" s="183"/>
      <c r="AJ548" s="193"/>
      <c r="AK548" s="183"/>
      <c r="AL548" s="183"/>
      <c r="AM548" s="125"/>
      <c r="AN548" s="184"/>
      <c r="AO548" s="185"/>
      <c r="AP548" s="186"/>
      <c r="AQ548" s="125"/>
      <c r="AR548" s="125"/>
      <c r="AS548" s="125"/>
      <c r="AT548" s="125"/>
      <c r="AU548" s="125"/>
      <c r="AV548" s="125"/>
      <c r="AW548" s="125"/>
      <c r="AX548" s="125"/>
      <c r="AY548" s="125"/>
      <c r="AZ548" s="125"/>
      <c r="BA548" s="187"/>
      <c r="BB548" s="188"/>
      <c r="BC548" s="194"/>
      <c r="BD548" s="195"/>
      <c r="BE548" s="191"/>
      <c r="BF548" s="191"/>
      <c r="BG548" s="183"/>
      <c r="BH548" s="193"/>
      <c r="BI548" s="183"/>
      <c r="BJ548" s="183"/>
      <c r="BK548" s="125"/>
      <c r="BL548" s="184"/>
      <c r="BM548" s="185"/>
      <c r="BN548" s="186"/>
      <c r="BO548" s="125"/>
      <c r="BP548" s="125"/>
      <c r="BQ548" s="125"/>
      <c r="BR548" s="125"/>
      <c r="BS548" s="125"/>
      <c r="BT548" s="125"/>
      <c r="BU548" s="125"/>
      <c r="BV548" s="125"/>
      <c r="BW548" s="125"/>
      <c r="BX548" s="125"/>
      <c r="BY548" s="187"/>
      <c r="BZ548" s="188"/>
      <c r="CA548" s="194"/>
      <c r="CB548" s="195"/>
      <c r="CC548" s="191"/>
      <c r="CD548" s="191"/>
      <c r="CE548" s="183"/>
      <c r="CF548" s="193"/>
      <c r="CG548" s="183"/>
      <c r="CH548" s="183"/>
      <c r="CI548" s="125"/>
      <c r="CJ548" s="184"/>
      <c r="CK548" s="185"/>
      <c r="CL548" s="186"/>
      <c r="CM548" s="125"/>
      <c r="CN548" s="125"/>
      <c r="CO548" s="125"/>
      <c r="CP548" s="125"/>
      <c r="CQ548" s="125"/>
      <c r="CR548" s="125"/>
      <c r="CS548" s="125"/>
      <c r="CT548" s="125"/>
      <c r="CU548" s="125"/>
      <c r="CV548" s="125"/>
      <c r="CW548" s="187"/>
      <c r="CX548" s="188"/>
      <c r="CY548" s="194"/>
      <c r="CZ548" s="195"/>
      <c r="DA548" s="191"/>
      <c r="DB548" s="191"/>
      <c r="DC548" s="183"/>
      <c r="DD548" s="193"/>
      <c r="DE548" s="183"/>
      <c r="DF548" s="183"/>
      <c r="DG548" s="125"/>
      <c r="DH548" s="184"/>
      <c r="DI548" s="185"/>
      <c r="DJ548" s="186"/>
      <c r="DK548" s="125"/>
      <c r="DL548" s="125"/>
      <c r="DM548" s="125"/>
      <c r="DN548" s="125"/>
      <c r="DO548" s="125"/>
      <c r="DP548" s="125"/>
      <c r="DQ548" s="125"/>
      <c r="DR548" s="125"/>
      <c r="DS548" s="125"/>
      <c r="DT548" s="125"/>
      <c r="DU548" s="187"/>
      <c r="DV548" s="188"/>
      <c r="DW548" s="194"/>
      <c r="DX548" s="195"/>
      <c r="DY548" s="191"/>
      <c r="DZ548" s="191"/>
      <c r="EA548" s="183"/>
      <c r="EB548" s="193"/>
      <c r="EC548" s="183"/>
      <c r="ED548" s="183"/>
      <c r="EE548" s="125"/>
      <c r="EF548" s="184"/>
      <c r="EG548" s="185"/>
      <c r="EH548" s="186"/>
      <c r="EI548" s="125"/>
      <c r="EJ548" s="125"/>
      <c r="EK548" s="125"/>
      <c r="EL548" s="125"/>
      <c r="EM548" s="125"/>
      <c r="EN548" s="125"/>
      <c r="EO548" s="125"/>
      <c r="EP548" s="125"/>
      <c r="EQ548" s="125"/>
      <c r="ER548" s="125"/>
      <c r="ES548" s="187"/>
      <c r="ET548" s="188"/>
      <c r="EU548" s="194"/>
      <c r="EV548" s="195"/>
      <c r="EW548" s="191"/>
      <c r="EX548" s="191"/>
      <c r="EY548" s="183"/>
      <c r="EZ548" s="193"/>
      <c r="FA548" s="183"/>
      <c r="FB548" s="183"/>
      <c r="FC548" s="125"/>
      <c r="FD548" s="184"/>
      <c r="FE548" s="185"/>
      <c r="FF548" s="186"/>
      <c r="FG548" s="125"/>
      <c r="FH548" s="125"/>
      <c r="FI548" s="125"/>
      <c r="FJ548" s="125"/>
      <c r="FK548" s="125"/>
      <c r="FL548" s="125"/>
      <c r="FM548" s="125"/>
      <c r="FN548" s="125"/>
      <c r="FO548" s="125"/>
      <c r="FP548" s="125"/>
      <c r="FQ548" s="187"/>
      <c r="FR548" s="188"/>
      <c r="FS548" s="194"/>
      <c r="FT548" s="195"/>
      <c r="FU548" s="191"/>
      <c r="FV548" s="191"/>
      <c r="FW548" s="183"/>
      <c r="FX548" s="193"/>
      <c r="FY548" s="183"/>
      <c r="FZ548" s="183"/>
      <c r="GA548" s="125"/>
      <c r="GB548" s="184"/>
      <c r="GC548" s="185"/>
      <c r="GD548" s="186"/>
      <c r="GE548" s="125"/>
      <c r="GF548" s="125"/>
    </row>
    <row r="549" spans="1:188" s="3" customFormat="1">
      <c r="A549" s="76">
        <v>36</v>
      </c>
      <c r="B549" s="56">
        <v>42811</v>
      </c>
      <c r="C549" s="18"/>
      <c r="D549" s="19" t="s">
        <v>1371</v>
      </c>
      <c r="E549" s="20" t="s">
        <v>380</v>
      </c>
      <c r="F549" s="24" t="s">
        <v>879</v>
      </c>
      <c r="G549" s="238">
        <v>1701</v>
      </c>
      <c r="H549" s="121"/>
      <c r="I549" s="24">
        <v>1479143</v>
      </c>
      <c r="J549" s="199"/>
      <c r="K549" s="24">
        <f t="shared" si="41"/>
        <v>1479143</v>
      </c>
      <c r="L549" s="24"/>
      <c r="M549" s="24">
        <f t="shared" si="42"/>
        <v>0</v>
      </c>
      <c r="N549" s="129">
        <f t="shared" si="43"/>
        <v>1479143</v>
      </c>
      <c r="O549" s="108" t="s">
        <v>880</v>
      </c>
      <c r="P549" s="269"/>
      <c r="Q549" s="269"/>
      <c r="R549" s="269"/>
      <c r="S549" s="269"/>
      <c r="T549" s="269"/>
      <c r="U549" s="269"/>
      <c r="V549" s="269"/>
      <c r="W549" s="269"/>
      <c r="X549" s="269"/>
      <c r="Y549" s="269"/>
      <c r="Z549" s="269"/>
      <c r="AA549" s="269"/>
      <c r="AB549" s="269"/>
      <c r="AC549" s="269"/>
      <c r="AD549" s="269"/>
      <c r="AE549" s="268"/>
      <c r="AF549" s="268"/>
      <c r="AG549" s="268"/>
      <c r="AH549" s="268"/>
      <c r="AI549" s="268"/>
      <c r="AJ549" s="268"/>
      <c r="AK549" s="268"/>
      <c r="AL549" s="268"/>
      <c r="AM549" s="269"/>
      <c r="AN549" s="269"/>
      <c r="AO549" s="269"/>
      <c r="AP549" s="269"/>
      <c r="AQ549" s="269"/>
      <c r="AR549" s="269"/>
      <c r="AS549" s="269"/>
      <c r="AT549" s="269"/>
      <c r="AU549" s="269"/>
      <c r="AV549" s="269"/>
      <c r="AW549" s="269"/>
      <c r="AX549" s="269"/>
      <c r="AY549" s="269"/>
      <c r="AZ549" s="269"/>
      <c r="BA549" s="269"/>
      <c r="BB549" s="269"/>
      <c r="BC549" s="268"/>
      <c r="BD549" s="268"/>
      <c r="BE549" s="268"/>
      <c r="BF549" s="268"/>
      <c r="BG549" s="268"/>
      <c r="BH549" s="268"/>
      <c r="BI549" s="268"/>
      <c r="BJ549" s="268"/>
      <c r="BK549" s="269"/>
      <c r="BL549" s="269"/>
      <c r="BM549" s="269"/>
      <c r="BN549" s="269"/>
      <c r="BO549" s="269"/>
      <c r="BP549" s="269"/>
      <c r="BQ549" s="269"/>
      <c r="BR549" s="269"/>
      <c r="BS549" s="269"/>
      <c r="BT549" s="269"/>
      <c r="BU549" s="269"/>
      <c r="BV549" s="269"/>
      <c r="BW549" s="269"/>
      <c r="BX549" s="269"/>
      <c r="BY549" s="269"/>
      <c r="BZ549" s="269"/>
      <c r="CA549" s="268"/>
      <c r="CB549" s="268"/>
      <c r="CC549" s="268"/>
      <c r="CD549" s="268"/>
      <c r="CE549" s="268"/>
      <c r="CF549" s="268"/>
      <c r="CG549" s="268"/>
      <c r="CH549" s="268"/>
      <c r="CI549" s="269"/>
      <c r="CJ549" s="269"/>
      <c r="CK549" s="269"/>
      <c r="CL549" s="269"/>
      <c r="CM549" s="269"/>
      <c r="CN549" s="269"/>
      <c r="CO549" s="269"/>
      <c r="CP549" s="269"/>
      <c r="CQ549" s="269"/>
      <c r="CR549" s="269"/>
      <c r="CS549" s="269"/>
      <c r="CT549" s="269"/>
      <c r="CU549" s="269"/>
      <c r="CV549" s="269"/>
      <c r="CW549" s="269"/>
      <c r="CX549" s="269"/>
      <c r="CY549" s="268"/>
      <c r="CZ549" s="268"/>
      <c r="DA549" s="268"/>
      <c r="DB549" s="268"/>
      <c r="DC549" s="268"/>
      <c r="DD549" s="268"/>
      <c r="DE549" s="268"/>
      <c r="DF549" s="268"/>
      <c r="DG549" s="269"/>
      <c r="DH549" s="269"/>
      <c r="DI549" s="269"/>
      <c r="DJ549" s="269"/>
      <c r="DK549" s="269"/>
      <c r="DL549" s="269"/>
      <c r="DM549" s="269"/>
      <c r="DN549" s="269"/>
      <c r="DO549" s="269"/>
      <c r="DP549" s="269"/>
      <c r="DQ549" s="269"/>
      <c r="DR549" s="269"/>
      <c r="DS549" s="269"/>
      <c r="DT549" s="269"/>
      <c r="DU549" s="269"/>
      <c r="DV549" s="269"/>
      <c r="DW549" s="268"/>
      <c r="DX549" s="268"/>
      <c r="DY549" s="268"/>
      <c r="DZ549" s="268"/>
      <c r="EA549" s="268"/>
      <c r="EB549" s="268"/>
      <c r="EC549" s="268"/>
      <c r="ED549" s="268"/>
      <c r="EE549" s="269"/>
      <c r="EF549" s="269"/>
      <c r="EG549" s="269"/>
      <c r="EH549" s="269"/>
      <c r="EI549" s="269"/>
      <c r="EJ549" s="269"/>
      <c r="EK549" s="269"/>
      <c r="EL549" s="269"/>
      <c r="EM549" s="269"/>
      <c r="EN549" s="269"/>
      <c r="EO549" s="269"/>
      <c r="EP549" s="269"/>
      <c r="EQ549" s="269"/>
      <c r="ER549" s="269"/>
      <c r="ES549" s="269"/>
      <c r="ET549" s="269"/>
      <c r="EU549" s="268"/>
      <c r="EV549" s="268"/>
      <c r="EW549" s="268"/>
      <c r="EX549" s="268"/>
      <c r="EY549" s="268"/>
      <c r="EZ549" s="268"/>
      <c r="FA549" s="268"/>
      <c r="FB549" s="268"/>
      <c r="FC549" s="269"/>
      <c r="FD549" s="269"/>
      <c r="FE549" s="269"/>
      <c r="FF549" s="269"/>
      <c r="FG549" s="269"/>
      <c r="FH549" s="269"/>
      <c r="FI549" s="269"/>
      <c r="FJ549" s="269"/>
      <c r="FK549" s="269"/>
      <c r="FL549" s="269"/>
      <c r="FM549" s="269"/>
      <c r="FN549" s="269"/>
      <c r="FO549" s="269"/>
      <c r="FP549" s="269"/>
      <c r="FQ549" s="269"/>
      <c r="FR549" s="269"/>
      <c r="FS549" s="268"/>
      <c r="FT549" s="268"/>
      <c r="FU549" s="268"/>
      <c r="FV549" s="268"/>
      <c r="FW549" s="268"/>
      <c r="FX549" s="268"/>
      <c r="FY549" s="268"/>
      <c r="FZ549" s="268"/>
      <c r="GA549" s="269"/>
      <c r="GB549" s="269"/>
      <c r="GC549" s="269"/>
      <c r="GD549" s="269"/>
      <c r="GE549" s="269"/>
      <c r="GF549" s="269"/>
    </row>
    <row r="550" spans="1:188" s="125" customFormat="1">
      <c r="A550" s="76">
        <v>37</v>
      </c>
      <c r="B550" s="56">
        <v>42857</v>
      </c>
      <c r="C550" s="18"/>
      <c r="D550" s="19" t="s">
        <v>1371</v>
      </c>
      <c r="E550" s="20" t="s">
        <v>380</v>
      </c>
      <c r="F550" s="24" t="s">
        <v>881</v>
      </c>
      <c r="G550" s="238">
        <v>1702</v>
      </c>
      <c r="H550" s="121"/>
      <c r="I550" s="24">
        <v>1461429</v>
      </c>
      <c r="J550" s="199"/>
      <c r="K550" s="24">
        <f t="shared" si="41"/>
        <v>1461429</v>
      </c>
      <c r="L550" s="24"/>
      <c r="M550" s="24">
        <f t="shared" si="42"/>
        <v>0</v>
      </c>
      <c r="N550" s="129">
        <f t="shared" si="43"/>
        <v>1461429</v>
      </c>
      <c r="O550" s="108" t="s">
        <v>882</v>
      </c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130"/>
      <c r="AF550" s="130"/>
      <c r="AG550" s="130"/>
      <c r="AH550" s="130"/>
      <c r="AI550" s="130"/>
      <c r="AJ550" s="130"/>
      <c r="AK550" s="130"/>
      <c r="AL550" s="130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130"/>
      <c r="BD550" s="130"/>
      <c r="BE550" s="130"/>
      <c r="BF550" s="130"/>
      <c r="BG550" s="130"/>
      <c r="BH550" s="130"/>
      <c r="BI550" s="130"/>
      <c r="BJ550" s="130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130"/>
      <c r="CB550" s="130"/>
      <c r="CC550" s="130"/>
      <c r="CD550" s="130"/>
      <c r="CE550" s="130"/>
      <c r="CF550" s="130"/>
      <c r="CG550" s="130"/>
      <c r="CH550" s="130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  <c r="CW550" s="3"/>
      <c r="CX550" s="3"/>
      <c r="CY550" s="130"/>
      <c r="CZ550" s="130"/>
      <c r="DA550" s="130"/>
      <c r="DB550" s="130"/>
      <c r="DC550" s="130"/>
      <c r="DD550" s="130"/>
      <c r="DE550" s="130"/>
      <c r="DF550" s="130"/>
      <c r="DG550" s="3"/>
      <c r="DH550" s="3"/>
      <c r="DI550" s="3"/>
      <c r="DJ550" s="3"/>
      <c r="DK550" s="3"/>
      <c r="DL550" s="3"/>
      <c r="DM550" s="3"/>
      <c r="DN550" s="3"/>
      <c r="DO550" s="3"/>
      <c r="DP550" s="3"/>
      <c r="DQ550" s="3"/>
      <c r="DR550" s="3"/>
      <c r="DS550" s="3"/>
      <c r="DT550" s="3"/>
      <c r="DU550" s="3"/>
      <c r="DV550" s="3"/>
      <c r="DW550" s="130"/>
      <c r="DX550" s="130"/>
      <c r="DY550" s="130"/>
      <c r="DZ550" s="130"/>
      <c r="EA550" s="130"/>
      <c r="EB550" s="130"/>
      <c r="EC550" s="130"/>
      <c r="ED550" s="130"/>
      <c r="EE550" s="3"/>
      <c r="EF550" s="3"/>
      <c r="EG550" s="3"/>
      <c r="EH550" s="3"/>
      <c r="EI550" s="3"/>
      <c r="EJ550" s="3"/>
      <c r="EK550" s="3"/>
      <c r="EL550" s="3"/>
      <c r="EM550" s="3"/>
      <c r="EN550" s="3"/>
      <c r="EO550" s="3"/>
      <c r="EP550" s="3"/>
      <c r="EQ550" s="3"/>
      <c r="ER550" s="3"/>
      <c r="ES550" s="3"/>
      <c r="ET550" s="3"/>
      <c r="EU550" s="130"/>
      <c r="EV550" s="130"/>
      <c r="EW550" s="130"/>
      <c r="EX550" s="130"/>
      <c r="EY550" s="130"/>
      <c r="EZ550" s="130"/>
      <c r="FA550" s="130"/>
      <c r="FB550" s="130"/>
      <c r="FC550" s="3"/>
      <c r="FD550" s="3"/>
      <c r="FE550" s="3"/>
      <c r="FF550" s="3"/>
      <c r="FG550" s="3"/>
      <c r="FH550" s="3"/>
      <c r="FI550" s="3"/>
      <c r="FJ550" s="3"/>
      <c r="FK550" s="3"/>
      <c r="FL550" s="3"/>
      <c r="FM550" s="3"/>
      <c r="FN550" s="3"/>
      <c r="FO550" s="3"/>
      <c r="FP550" s="3"/>
      <c r="FQ550" s="3"/>
      <c r="FR550" s="3"/>
      <c r="FS550" s="130"/>
      <c r="FT550" s="130"/>
      <c r="FU550" s="130"/>
      <c r="FV550" s="130"/>
      <c r="FW550" s="130"/>
      <c r="FX550" s="130"/>
      <c r="FY550" s="130"/>
      <c r="FZ550" s="130"/>
      <c r="GA550" s="3"/>
      <c r="GB550" s="3"/>
      <c r="GC550" s="3"/>
      <c r="GD550" s="3"/>
      <c r="GE550" s="3"/>
      <c r="GF550" s="3"/>
    </row>
    <row r="551" spans="1:188" s="125" customFormat="1">
      <c r="A551" s="76">
        <v>38</v>
      </c>
      <c r="B551" s="56">
        <v>43027</v>
      </c>
      <c r="C551" s="18"/>
      <c r="D551" s="19" t="s">
        <v>1371</v>
      </c>
      <c r="E551" s="20" t="s">
        <v>383</v>
      </c>
      <c r="F551" s="24" t="s">
        <v>883</v>
      </c>
      <c r="G551" s="238">
        <v>1707</v>
      </c>
      <c r="H551" s="121">
        <f>1472500-30000</f>
        <v>1442500</v>
      </c>
      <c r="I551" s="24"/>
      <c r="J551" s="199">
        <f>SUM(H551)/1.05</f>
        <v>1373809.5238095238</v>
      </c>
      <c r="K551" s="24">
        <f t="shared" si="41"/>
        <v>1373809.5238095238</v>
      </c>
      <c r="L551" s="24"/>
      <c r="M551" s="24">
        <f t="shared" si="42"/>
        <v>0</v>
      </c>
      <c r="N551" s="129">
        <f t="shared" si="43"/>
        <v>1373809.5238095238</v>
      </c>
      <c r="O551" s="108" t="s">
        <v>884</v>
      </c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130"/>
      <c r="AF551" s="130"/>
      <c r="AG551" s="130"/>
      <c r="AH551" s="130"/>
      <c r="AI551" s="130"/>
      <c r="AJ551" s="130"/>
      <c r="AK551" s="130"/>
      <c r="AL551" s="130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130"/>
      <c r="BD551" s="130"/>
      <c r="BE551" s="130"/>
      <c r="BF551" s="130"/>
      <c r="BG551" s="130"/>
      <c r="BH551" s="130"/>
      <c r="BI551" s="130"/>
      <c r="BJ551" s="130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130"/>
      <c r="CB551" s="130"/>
      <c r="CC551" s="130"/>
      <c r="CD551" s="130"/>
      <c r="CE551" s="130"/>
      <c r="CF551" s="130"/>
      <c r="CG551" s="130"/>
      <c r="CH551" s="130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  <c r="CW551" s="3"/>
      <c r="CX551" s="3"/>
      <c r="CY551" s="130"/>
      <c r="CZ551" s="130"/>
      <c r="DA551" s="130"/>
      <c r="DB551" s="130"/>
      <c r="DC551" s="130"/>
      <c r="DD551" s="130"/>
      <c r="DE551" s="130"/>
      <c r="DF551" s="130"/>
      <c r="DG551" s="3"/>
      <c r="DH551" s="3"/>
      <c r="DI551" s="3"/>
      <c r="DJ551" s="3"/>
      <c r="DK551" s="3"/>
      <c r="DL551" s="3"/>
      <c r="DM551" s="3"/>
      <c r="DN551" s="3"/>
      <c r="DO551" s="3"/>
      <c r="DP551" s="3"/>
      <c r="DQ551" s="3"/>
      <c r="DR551" s="3"/>
      <c r="DS551" s="3"/>
      <c r="DT551" s="3"/>
      <c r="DU551" s="3"/>
      <c r="DV551" s="3"/>
      <c r="DW551" s="130"/>
      <c r="DX551" s="130"/>
      <c r="DY551" s="130"/>
      <c r="DZ551" s="130"/>
      <c r="EA551" s="130"/>
      <c r="EB551" s="130"/>
      <c r="EC551" s="130"/>
      <c r="ED551" s="130"/>
      <c r="EE551" s="3"/>
      <c r="EF551" s="3"/>
      <c r="EG551" s="3"/>
      <c r="EH551" s="3"/>
      <c r="EI551" s="3"/>
      <c r="EJ551" s="3"/>
      <c r="EK551" s="3"/>
      <c r="EL551" s="3"/>
      <c r="EM551" s="3"/>
      <c r="EN551" s="3"/>
      <c r="EO551" s="3"/>
      <c r="EP551" s="3"/>
      <c r="EQ551" s="3"/>
      <c r="ER551" s="3"/>
      <c r="ES551" s="3"/>
      <c r="ET551" s="3"/>
      <c r="EU551" s="130"/>
      <c r="EV551" s="130"/>
      <c r="EW551" s="130"/>
      <c r="EX551" s="130"/>
      <c r="EY551" s="130"/>
      <c r="EZ551" s="130"/>
      <c r="FA551" s="130"/>
      <c r="FB551" s="130"/>
      <c r="FC551" s="3"/>
      <c r="FD551" s="3"/>
      <c r="FE551" s="3"/>
      <c r="FF551" s="3"/>
      <c r="FG551" s="3"/>
      <c r="FH551" s="3"/>
      <c r="FI551" s="3"/>
      <c r="FJ551" s="3"/>
      <c r="FK551" s="3"/>
      <c r="FL551" s="3"/>
      <c r="FM551" s="3"/>
      <c r="FN551" s="3"/>
      <c r="FO551" s="3"/>
      <c r="FP551" s="3"/>
      <c r="FQ551" s="3"/>
      <c r="FR551" s="3"/>
      <c r="FS551" s="130"/>
      <c r="FT551" s="130"/>
      <c r="FU551" s="130"/>
      <c r="FV551" s="130"/>
      <c r="FW551" s="130"/>
      <c r="FX551" s="130"/>
      <c r="FY551" s="130"/>
      <c r="FZ551" s="130"/>
      <c r="GA551" s="3"/>
      <c r="GB551" s="3"/>
      <c r="GC551" s="3"/>
      <c r="GD551" s="3"/>
      <c r="GE551" s="3"/>
      <c r="GF551" s="3"/>
    </row>
    <row r="552" spans="1:188" s="125" customFormat="1">
      <c r="A552" s="76">
        <v>39</v>
      </c>
      <c r="B552" s="56">
        <v>43028</v>
      </c>
      <c r="C552" s="18"/>
      <c r="D552" s="19" t="s">
        <v>1371</v>
      </c>
      <c r="E552" s="20" t="s">
        <v>383</v>
      </c>
      <c r="F552" s="24" t="s">
        <v>885</v>
      </c>
      <c r="G552" s="238">
        <v>1707</v>
      </c>
      <c r="H552" s="121">
        <f>1472500-30000</f>
        <v>1442500</v>
      </c>
      <c r="I552" s="24"/>
      <c r="J552" s="199">
        <f>SUM(H552)/1.05</f>
        <v>1373809.5238095238</v>
      </c>
      <c r="K552" s="24">
        <f t="shared" si="41"/>
        <v>1373809.5238095238</v>
      </c>
      <c r="L552" s="24"/>
      <c r="M552" s="24">
        <f t="shared" si="42"/>
        <v>0</v>
      </c>
      <c r="N552" s="129">
        <f t="shared" si="43"/>
        <v>1373809.5238095238</v>
      </c>
      <c r="O552" s="108" t="s">
        <v>886</v>
      </c>
      <c r="AE552" s="167"/>
      <c r="AF552" s="167"/>
      <c r="AG552" s="167"/>
      <c r="AH552" s="167"/>
      <c r="AI552" s="167"/>
      <c r="AJ552" s="167"/>
      <c r="AK552" s="167"/>
      <c r="AL552" s="167"/>
      <c r="BC552" s="167"/>
      <c r="BD552" s="167"/>
      <c r="BE552" s="167"/>
      <c r="BF552" s="167"/>
      <c r="BG552" s="167"/>
      <c r="BH552" s="167"/>
      <c r="BI552" s="167"/>
      <c r="BJ552" s="167"/>
      <c r="CA552" s="167"/>
      <c r="CB552" s="167"/>
      <c r="CC552" s="167"/>
      <c r="CD552" s="167"/>
      <c r="CE552" s="167"/>
      <c r="CF552" s="167"/>
      <c r="CG552" s="167"/>
      <c r="CH552" s="167"/>
      <c r="CY552" s="167"/>
      <c r="CZ552" s="167"/>
      <c r="DA552" s="167"/>
      <c r="DB552" s="167"/>
      <c r="DC552" s="167"/>
      <c r="DD552" s="167"/>
      <c r="DE552" s="167"/>
      <c r="DF552" s="167"/>
      <c r="DW552" s="167"/>
      <c r="DX552" s="167"/>
      <c r="DY552" s="167"/>
      <c r="DZ552" s="167"/>
      <c r="EA552" s="167"/>
      <c r="EB552" s="167"/>
      <c r="EC552" s="167"/>
      <c r="ED552" s="167"/>
      <c r="EU552" s="167"/>
      <c r="EV552" s="167"/>
      <c r="EW552" s="167"/>
      <c r="EX552" s="167"/>
      <c r="EY552" s="167"/>
      <c r="EZ552" s="167"/>
      <c r="FA552" s="167"/>
      <c r="FB552" s="167"/>
      <c r="FS552" s="167"/>
      <c r="FT552" s="167"/>
      <c r="FU552" s="167"/>
      <c r="FV552" s="167"/>
      <c r="FW552" s="167"/>
      <c r="FX552" s="167"/>
      <c r="FY552" s="167"/>
      <c r="FZ552" s="167"/>
    </row>
    <row r="553" spans="1:188" s="125" customFormat="1">
      <c r="A553" s="76">
        <v>40</v>
      </c>
      <c r="B553" s="56">
        <v>43027</v>
      </c>
      <c r="C553" s="18"/>
      <c r="D553" s="19" t="s">
        <v>1371</v>
      </c>
      <c r="E553" s="20" t="s">
        <v>401</v>
      </c>
      <c r="F553" s="24" t="s">
        <v>887</v>
      </c>
      <c r="G553" s="238">
        <v>1707</v>
      </c>
      <c r="H553" s="121">
        <f>1618200-30000</f>
        <v>1588200</v>
      </c>
      <c r="I553" s="24"/>
      <c r="J553" s="199">
        <f>SUM(H553)/1.05</f>
        <v>1512571.4285714284</v>
      </c>
      <c r="K553" s="24">
        <f t="shared" si="41"/>
        <v>1512571.4285714284</v>
      </c>
      <c r="L553" s="24"/>
      <c r="M553" s="24">
        <f t="shared" si="42"/>
        <v>0</v>
      </c>
      <c r="N553" s="124">
        <f t="shared" si="43"/>
        <v>1512571.4285714284</v>
      </c>
      <c r="O553" s="108" t="s">
        <v>888</v>
      </c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  <c r="CW553" s="3"/>
      <c r="CX553" s="3"/>
      <c r="CY553" s="3"/>
      <c r="CZ553" s="3"/>
      <c r="DA553" s="3"/>
      <c r="DB553" s="3"/>
      <c r="DC553" s="3"/>
      <c r="DD553" s="3"/>
      <c r="DE553" s="3"/>
      <c r="DF553" s="3"/>
      <c r="DG553" s="3"/>
      <c r="DH553" s="3"/>
      <c r="DI553" s="3"/>
      <c r="DJ553" s="3"/>
      <c r="DK553" s="3"/>
      <c r="DL553" s="3"/>
      <c r="DM553" s="3"/>
      <c r="DN553" s="3"/>
      <c r="DO553" s="3"/>
      <c r="DP553" s="3"/>
      <c r="DQ553" s="3"/>
      <c r="DR553" s="3"/>
      <c r="DS553" s="3"/>
      <c r="DT553" s="3"/>
      <c r="DU553" s="3"/>
      <c r="DV553" s="3"/>
      <c r="DW553" s="3"/>
      <c r="DX553" s="3"/>
      <c r="DY553" s="3"/>
      <c r="DZ553" s="3"/>
      <c r="EA553" s="3"/>
      <c r="EB553" s="3"/>
      <c r="EC553" s="3"/>
      <c r="ED553" s="3"/>
      <c r="EE553" s="3"/>
      <c r="EF553" s="3"/>
      <c r="EG553" s="3"/>
      <c r="EH553" s="3"/>
      <c r="EI553" s="3"/>
      <c r="EJ553" s="3"/>
      <c r="EK553" s="3"/>
      <c r="EL553" s="3"/>
      <c r="EM553" s="3"/>
      <c r="EN553" s="3"/>
      <c r="EO553" s="3"/>
      <c r="EP553" s="3"/>
      <c r="EQ553" s="3"/>
      <c r="ER553" s="3"/>
      <c r="ES553" s="3"/>
      <c r="ET553" s="3"/>
      <c r="EU553" s="3"/>
      <c r="EV553" s="3"/>
      <c r="EW553" s="3"/>
      <c r="EX553" s="3"/>
      <c r="EY553" s="3"/>
      <c r="EZ553" s="3"/>
      <c r="FA553" s="3"/>
      <c r="FB553" s="3"/>
      <c r="FC553" s="3"/>
      <c r="FD553" s="3"/>
      <c r="FE553" s="3"/>
      <c r="FF553" s="3"/>
      <c r="FG553" s="3"/>
      <c r="FH553" s="3"/>
      <c r="FI553" s="3"/>
      <c r="FJ553" s="3"/>
      <c r="FK553" s="3"/>
      <c r="FL553" s="3"/>
      <c r="FM553" s="3"/>
      <c r="FN553" s="3"/>
      <c r="FO553" s="3"/>
      <c r="FP553" s="3"/>
      <c r="FQ553" s="3"/>
      <c r="FR553" s="3"/>
      <c r="FS553" s="3"/>
      <c r="FT553" s="3"/>
      <c r="FU553" s="3"/>
      <c r="FV553" s="3"/>
      <c r="FW553" s="3"/>
      <c r="FX553" s="3"/>
      <c r="FY553" s="3"/>
      <c r="FZ553" s="3"/>
      <c r="GA553" s="3"/>
      <c r="GB553" s="3"/>
      <c r="GC553" s="3"/>
      <c r="GD553" s="3"/>
      <c r="GE553" s="3"/>
      <c r="GF553" s="3"/>
    </row>
    <row r="554" spans="1:188" s="3" customFormat="1">
      <c r="A554" s="16">
        <v>1</v>
      </c>
      <c r="B554" s="237"/>
      <c r="C554" s="18"/>
      <c r="D554" s="19" t="s">
        <v>1371</v>
      </c>
      <c r="E554" s="270" t="s">
        <v>1131</v>
      </c>
      <c r="F554" s="62" t="s">
        <v>1394</v>
      </c>
      <c r="G554" s="63"/>
      <c r="H554" s="121"/>
      <c r="I554" s="24">
        <v>1333905</v>
      </c>
      <c r="J554" s="24"/>
      <c r="K554" s="24">
        <f t="shared" si="41"/>
        <v>1333905</v>
      </c>
      <c r="L554" s="123"/>
      <c r="M554" s="24"/>
      <c r="N554" s="124">
        <f t="shared" si="43"/>
        <v>1333905</v>
      </c>
      <c r="O554" s="108"/>
    </row>
    <row r="555" spans="1:188" s="3" customFormat="1">
      <c r="A555" s="16">
        <v>2</v>
      </c>
      <c r="B555" s="237"/>
      <c r="C555" s="18"/>
      <c r="D555" s="19" t="s">
        <v>1371</v>
      </c>
      <c r="E555" s="270" t="s">
        <v>1131</v>
      </c>
      <c r="F555" s="197" t="s">
        <v>1395</v>
      </c>
      <c r="G555" s="181"/>
      <c r="H555" s="121"/>
      <c r="I555" s="24">
        <v>1201524</v>
      </c>
      <c r="J555" s="24"/>
      <c r="K555" s="199">
        <f t="shared" si="41"/>
        <v>1201524</v>
      </c>
      <c r="L555" s="26"/>
      <c r="M555" s="24"/>
      <c r="N555" s="124">
        <f t="shared" si="43"/>
        <v>1201524</v>
      </c>
      <c r="O555" s="108"/>
    </row>
    <row r="556" spans="1:188" s="3" customFormat="1">
      <c r="A556" s="16">
        <v>3</v>
      </c>
      <c r="B556" s="237"/>
      <c r="C556" s="18"/>
      <c r="D556" s="19" t="s">
        <v>1371</v>
      </c>
      <c r="E556" s="270" t="s">
        <v>385</v>
      </c>
      <c r="F556" s="24" t="s">
        <v>891</v>
      </c>
      <c r="G556" s="238"/>
      <c r="H556" s="121"/>
      <c r="I556" s="24"/>
      <c r="J556" s="24">
        <v>1341000</v>
      </c>
      <c r="K556" s="24">
        <v>1341000</v>
      </c>
      <c r="L556" s="24"/>
      <c r="M556" s="24"/>
      <c r="N556" s="124">
        <v>1341000</v>
      </c>
      <c r="O556" s="108"/>
    </row>
    <row r="557" spans="1:188" s="3" customFormat="1">
      <c r="A557" s="16">
        <v>4</v>
      </c>
      <c r="B557" s="237"/>
      <c r="C557" s="18"/>
      <c r="D557" s="19" t="s">
        <v>1371</v>
      </c>
      <c r="E557" s="271" t="s">
        <v>385</v>
      </c>
      <c r="F557" s="24" t="s">
        <v>892</v>
      </c>
      <c r="G557" s="238"/>
      <c r="H557" s="121"/>
      <c r="I557" s="24"/>
      <c r="J557" s="24">
        <v>1341000</v>
      </c>
      <c r="K557" s="24">
        <v>1341000</v>
      </c>
      <c r="L557" s="24"/>
      <c r="M557" s="24"/>
      <c r="N557" s="124">
        <v>1341000</v>
      </c>
      <c r="O557" s="108"/>
    </row>
    <row r="558" spans="1:188" s="3" customFormat="1">
      <c r="A558" s="16">
        <v>5</v>
      </c>
      <c r="B558" s="237"/>
      <c r="C558" s="18"/>
      <c r="D558" s="19" t="s">
        <v>1371</v>
      </c>
      <c r="E558" s="270" t="s">
        <v>1131</v>
      </c>
      <c r="F558" s="62" t="s">
        <v>1396</v>
      </c>
      <c r="G558" s="63"/>
      <c r="H558" s="121"/>
      <c r="I558" s="24">
        <v>1333905</v>
      </c>
      <c r="J558" s="24"/>
      <c r="K558" s="24">
        <f>I558+J558</f>
        <v>1333905</v>
      </c>
      <c r="L558" s="123"/>
      <c r="M558" s="24"/>
      <c r="N558" s="124">
        <f>K558-M558</f>
        <v>1333905</v>
      </c>
      <c r="O558" s="108"/>
    </row>
    <row r="559" spans="1:188" s="3" customFormat="1">
      <c r="A559" s="16">
        <v>6</v>
      </c>
      <c r="B559" s="237"/>
      <c r="C559" s="18"/>
      <c r="D559" s="19" t="s">
        <v>1371</v>
      </c>
      <c r="E559" s="270" t="s">
        <v>1132</v>
      </c>
      <c r="F559" s="82" t="s">
        <v>1397</v>
      </c>
      <c r="G559" s="58"/>
      <c r="H559" s="121"/>
      <c r="I559" s="24">
        <v>1575619</v>
      </c>
      <c r="J559" s="24"/>
      <c r="K559" s="199">
        <f>I559+J559</f>
        <v>1575619</v>
      </c>
      <c r="L559" s="123"/>
      <c r="M559" s="24"/>
      <c r="N559" s="124">
        <f>K559-M559</f>
        <v>1575619</v>
      </c>
      <c r="O559" s="108"/>
    </row>
    <row r="560" spans="1:188" s="3" customFormat="1">
      <c r="A560" s="16">
        <v>7</v>
      </c>
      <c r="B560" s="237"/>
      <c r="C560" s="18"/>
      <c r="D560" s="19" t="s">
        <v>1371</v>
      </c>
      <c r="E560" s="272" t="s">
        <v>895</v>
      </c>
      <c r="F560" s="24" t="s">
        <v>896</v>
      </c>
      <c r="G560" s="238"/>
      <c r="H560" s="121"/>
      <c r="I560" s="24">
        <v>1575619</v>
      </c>
      <c r="J560" s="24"/>
      <c r="K560" s="24">
        <v>1575619</v>
      </c>
      <c r="L560" s="24"/>
      <c r="M560" s="24"/>
      <c r="N560" s="124">
        <v>1575619</v>
      </c>
      <c r="O560" s="108"/>
    </row>
    <row r="561" spans="1:15" s="3" customFormat="1">
      <c r="A561" s="16">
        <v>8</v>
      </c>
      <c r="B561" s="56">
        <v>43021</v>
      </c>
      <c r="C561" s="18"/>
      <c r="D561" s="19" t="s">
        <v>1371</v>
      </c>
      <c r="E561" s="270" t="s">
        <v>306</v>
      </c>
      <c r="F561" s="24" t="s">
        <v>897</v>
      </c>
      <c r="G561" s="238">
        <v>1708</v>
      </c>
      <c r="H561" s="121">
        <v>1680000</v>
      </c>
      <c r="I561" s="24"/>
      <c r="J561" s="199">
        <f t="shared" ref="J561:J566" si="44">SUM(H561)/1.05</f>
        <v>1600000</v>
      </c>
      <c r="K561" s="24">
        <f t="shared" ref="K561:K595" si="45">I561+J561</f>
        <v>1600000</v>
      </c>
      <c r="L561" s="24"/>
      <c r="M561" s="24">
        <f>K561*L561</f>
        <v>0</v>
      </c>
      <c r="N561" s="124">
        <f t="shared" ref="N561:N595" si="46">K561-M561</f>
        <v>1600000</v>
      </c>
      <c r="O561" s="108" t="s">
        <v>898</v>
      </c>
    </row>
    <row r="562" spans="1:15" s="3" customFormat="1">
      <c r="A562" s="16">
        <v>9</v>
      </c>
      <c r="B562" s="56">
        <v>43066</v>
      </c>
      <c r="C562" s="18"/>
      <c r="D562" s="19" t="s">
        <v>1371</v>
      </c>
      <c r="E562" s="270" t="s">
        <v>306</v>
      </c>
      <c r="F562" s="24" t="s">
        <v>899</v>
      </c>
      <c r="G562" s="238">
        <v>1709</v>
      </c>
      <c r="H562" s="121">
        <v>1660000</v>
      </c>
      <c r="I562" s="24"/>
      <c r="J562" s="199">
        <f t="shared" si="44"/>
        <v>1580952.3809523808</v>
      </c>
      <c r="K562" s="24">
        <f t="shared" si="45"/>
        <v>1580952.3809523808</v>
      </c>
      <c r="L562" s="24"/>
      <c r="M562" s="24">
        <f>K562*L562</f>
        <v>0</v>
      </c>
      <c r="N562" s="124">
        <f t="shared" si="46"/>
        <v>1580952.3809523808</v>
      </c>
      <c r="O562" s="108" t="s">
        <v>900</v>
      </c>
    </row>
    <row r="563" spans="1:15" s="3" customFormat="1">
      <c r="A563" s="16">
        <v>10</v>
      </c>
      <c r="B563" s="56">
        <v>43020</v>
      </c>
      <c r="C563" s="18"/>
      <c r="D563" s="19" t="s">
        <v>1371</v>
      </c>
      <c r="E563" s="270" t="s">
        <v>536</v>
      </c>
      <c r="F563" s="24" t="s">
        <v>901</v>
      </c>
      <c r="G563" s="238">
        <v>1708</v>
      </c>
      <c r="H563" s="121">
        <v>1890000</v>
      </c>
      <c r="I563" s="24"/>
      <c r="J563" s="199">
        <f t="shared" si="44"/>
        <v>1800000</v>
      </c>
      <c r="K563" s="24">
        <f t="shared" si="45"/>
        <v>1800000</v>
      </c>
      <c r="L563" s="24"/>
      <c r="M563" s="24">
        <f>K563*L563</f>
        <v>0</v>
      </c>
      <c r="N563" s="124">
        <f t="shared" si="46"/>
        <v>1800000</v>
      </c>
      <c r="O563" s="108" t="s">
        <v>902</v>
      </c>
    </row>
    <row r="564" spans="1:15" s="3" customFormat="1">
      <c r="A564" s="16">
        <v>11</v>
      </c>
      <c r="B564" s="56"/>
      <c r="C564" s="18"/>
      <c r="D564" s="19" t="s">
        <v>1371</v>
      </c>
      <c r="E564" s="270" t="s">
        <v>407</v>
      </c>
      <c r="F564" s="62" t="s">
        <v>903</v>
      </c>
      <c r="G564" s="63"/>
      <c r="H564" s="121">
        <f>-10000+2042500</f>
        <v>2032500</v>
      </c>
      <c r="I564" s="24"/>
      <c r="J564" s="24">
        <f t="shared" si="44"/>
        <v>1935714.2857142857</v>
      </c>
      <c r="K564" s="199">
        <f t="shared" si="45"/>
        <v>1935714.2857142857</v>
      </c>
      <c r="L564" s="26"/>
      <c r="M564" s="24"/>
      <c r="N564" s="124">
        <f t="shared" si="46"/>
        <v>1935714.2857142857</v>
      </c>
      <c r="O564" s="87" t="s">
        <v>1056</v>
      </c>
    </row>
    <row r="565" spans="1:15" s="3" customFormat="1">
      <c r="A565" s="16">
        <v>12</v>
      </c>
      <c r="B565" s="56">
        <v>43021</v>
      </c>
      <c r="C565" s="18"/>
      <c r="D565" s="19" t="s">
        <v>1371</v>
      </c>
      <c r="E565" s="270" t="s">
        <v>407</v>
      </c>
      <c r="F565" s="24" t="s">
        <v>904</v>
      </c>
      <c r="G565" s="238">
        <v>1707</v>
      </c>
      <c r="H565" s="121">
        <f>2061500-30000</f>
        <v>2031500</v>
      </c>
      <c r="I565" s="24"/>
      <c r="J565" s="199">
        <f t="shared" si="44"/>
        <v>1934761.9047619046</v>
      </c>
      <c r="K565" s="24">
        <f t="shared" si="45"/>
        <v>1934761.9047619046</v>
      </c>
      <c r="L565" s="24"/>
      <c r="M565" s="24">
        <f>K565*L565</f>
        <v>0</v>
      </c>
      <c r="N565" s="124">
        <f t="shared" si="46"/>
        <v>1934761.9047619046</v>
      </c>
      <c r="O565" s="108" t="s">
        <v>905</v>
      </c>
    </row>
    <row r="566" spans="1:15" s="3" customFormat="1">
      <c r="A566" s="16">
        <v>13</v>
      </c>
      <c r="B566" s="56">
        <v>43048</v>
      </c>
      <c r="C566" s="18"/>
      <c r="D566" s="19" t="s">
        <v>1371</v>
      </c>
      <c r="E566" s="270" t="s">
        <v>407</v>
      </c>
      <c r="F566" s="24" t="s">
        <v>906</v>
      </c>
      <c r="G566" s="238">
        <v>1707</v>
      </c>
      <c r="H566" s="121">
        <f>2061500-30000</f>
        <v>2031500</v>
      </c>
      <c r="I566" s="24"/>
      <c r="J566" s="199">
        <f t="shared" si="44"/>
        <v>1934761.9047619046</v>
      </c>
      <c r="K566" s="24">
        <f t="shared" si="45"/>
        <v>1934761.9047619046</v>
      </c>
      <c r="L566" s="24"/>
      <c r="M566" s="24">
        <f>K566*L566</f>
        <v>0</v>
      </c>
      <c r="N566" s="124">
        <f t="shared" si="46"/>
        <v>1934761.9047619046</v>
      </c>
      <c r="O566" s="108" t="s">
        <v>900</v>
      </c>
    </row>
    <row r="567" spans="1:15" s="3" customFormat="1">
      <c r="A567" s="16">
        <v>14</v>
      </c>
      <c r="B567" s="56"/>
      <c r="C567" s="18"/>
      <c r="D567" s="19" t="s">
        <v>1371</v>
      </c>
      <c r="E567" s="270" t="s">
        <v>1159</v>
      </c>
      <c r="F567" s="57" t="s">
        <v>1398</v>
      </c>
      <c r="G567" s="58"/>
      <c r="H567" s="121"/>
      <c r="I567" s="24">
        <v>2949429</v>
      </c>
      <c r="J567" s="24"/>
      <c r="K567" s="24">
        <f t="shared" si="45"/>
        <v>2949429</v>
      </c>
      <c r="L567" s="123"/>
      <c r="M567" s="24"/>
      <c r="N567" s="124">
        <f t="shared" si="46"/>
        <v>2949429</v>
      </c>
      <c r="O567" s="108"/>
    </row>
    <row r="568" spans="1:15" s="3" customFormat="1">
      <c r="A568" s="16">
        <v>15</v>
      </c>
      <c r="B568" s="56"/>
      <c r="C568" s="18"/>
      <c r="D568" s="19" t="s">
        <v>1371</v>
      </c>
      <c r="E568" s="270" t="s">
        <v>1159</v>
      </c>
      <c r="F568" s="82" t="s">
        <v>1399</v>
      </c>
      <c r="G568" s="58"/>
      <c r="H568" s="121"/>
      <c r="I568" s="24">
        <v>1818096</v>
      </c>
      <c r="J568" s="24"/>
      <c r="K568" s="199">
        <f t="shared" si="45"/>
        <v>1818096</v>
      </c>
      <c r="L568" s="26"/>
      <c r="M568" s="24"/>
      <c r="N568" s="124">
        <f t="shared" si="46"/>
        <v>1818096</v>
      </c>
      <c r="O568" s="108"/>
    </row>
    <row r="569" spans="1:15" s="3" customFormat="1">
      <c r="A569" s="16">
        <v>16</v>
      </c>
      <c r="B569" s="56">
        <v>43027</v>
      </c>
      <c r="C569" s="18" t="s">
        <v>909</v>
      </c>
      <c r="D569" s="19" t="s">
        <v>1371</v>
      </c>
      <c r="E569" s="270" t="s">
        <v>413</v>
      </c>
      <c r="F569" s="24" t="s">
        <v>910</v>
      </c>
      <c r="G569" s="238">
        <v>1705</v>
      </c>
      <c r="H569" s="121">
        <f>2039800+10650</f>
        <v>2050450</v>
      </c>
      <c r="I569" s="24">
        <v>1952810</v>
      </c>
      <c r="J569" s="199"/>
      <c r="K569" s="24">
        <f t="shared" si="45"/>
        <v>1952810</v>
      </c>
      <c r="L569" s="24"/>
      <c r="M569" s="24">
        <f>K569*L569</f>
        <v>0</v>
      </c>
      <c r="N569" s="124">
        <f t="shared" si="46"/>
        <v>1952810</v>
      </c>
      <c r="O569" s="108" t="s">
        <v>900</v>
      </c>
    </row>
    <row r="570" spans="1:15" s="3" customFormat="1">
      <c r="A570" s="16">
        <v>17</v>
      </c>
      <c r="B570" s="56">
        <v>42949</v>
      </c>
      <c r="C570" s="18"/>
      <c r="D570" s="19" t="s">
        <v>1371</v>
      </c>
      <c r="E570" s="270" t="s">
        <v>413</v>
      </c>
      <c r="F570" s="24" t="s">
        <v>911</v>
      </c>
      <c r="G570" s="238">
        <v>1705</v>
      </c>
      <c r="H570" s="121"/>
      <c r="I570" s="24">
        <v>1922000</v>
      </c>
      <c r="J570" s="199"/>
      <c r="K570" s="24">
        <f t="shared" si="45"/>
        <v>1922000</v>
      </c>
      <c r="L570" s="24"/>
      <c r="M570" s="24">
        <f>K570*L570</f>
        <v>0</v>
      </c>
      <c r="N570" s="124">
        <f t="shared" si="46"/>
        <v>1922000</v>
      </c>
      <c r="O570" s="108" t="s">
        <v>912</v>
      </c>
    </row>
    <row r="571" spans="1:15" s="3" customFormat="1">
      <c r="A571" s="16">
        <v>18</v>
      </c>
      <c r="B571" s="56">
        <v>43027</v>
      </c>
      <c r="C571" s="18"/>
      <c r="D571" s="19" t="s">
        <v>1371</v>
      </c>
      <c r="E571" s="270" t="s">
        <v>413</v>
      </c>
      <c r="F571" s="24" t="s">
        <v>913</v>
      </c>
      <c r="G571" s="238">
        <v>1706</v>
      </c>
      <c r="H571" s="121">
        <v>2039800</v>
      </c>
      <c r="I571" s="24"/>
      <c r="J571" s="199">
        <f>SUM(H571)/1.05</f>
        <v>1942666.6666666665</v>
      </c>
      <c r="K571" s="24">
        <f t="shared" si="45"/>
        <v>1942666.6666666665</v>
      </c>
      <c r="L571" s="24"/>
      <c r="M571" s="24">
        <f>K571*L571</f>
        <v>0</v>
      </c>
      <c r="N571" s="124">
        <f t="shared" si="46"/>
        <v>1942666.6666666665</v>
      </c>
      <c r="O571" s="108" t="s">
        <v>914</v>
      </c>
    </row>
    <row r="572" spans="1:15" s="3" customFormat="1">
      <c r="A572" s="16">
        <v>19</v>
      </c>
      <c r="B572" s="56"/>
      <c r="C572" s="18"/>
      <c r="D572" s="19" t="s">
        <v>1371</v>
      </c>
      <c r="E572" s="270" t="s">
        <v>1165</v>
      </c>
      <c r="F572" s="82" t="s">
        <v>1400</v>
      </c>
      <c r="G572" s="58"/>
      <c r="H572" s="121"/>
      <c r="I572" s="24">
        <v>1966286</v>
      </c>
      <c r="J572" s="24"/>
      <c r="K572" s="24">
        <f t="shared" si="45"/>
        <v>1966286</v>
      </c>
      <c r="L572" s="123"/>
      <c r="M572" s="24"/>
      <c r="N572" s="124">
        <f t="shared" si="46"/>
        <v>1966286</v>
      </c>
      <c r="O572" s="108"/>
    </row>
    <row r="573" spans="1:15" s="3" customFormat="1">
      <c r="A573" s="16">
        <v>20</v>
      </c>
      <c r="B573" s="56">
        <v>43063</v>
      </c>
      <c r="C573" s="18"/>
      <c r="D573" s="19" t="s">
        <v>1371</v>
      </c>
      <c r="E573" s="270" t="s">
        <v>324</v>
      </c>
      <c r="F573" s="24" t="s">
        <v>916</v>
      </c>
      <c r="G573" s="238">
        <v>1707</v>
      </c>
      <c r="H573" s="121">
        <f>2218400-30000</f>
        <v>2188400</v>
      </c>
      <c r="I573" s="24"/>
      <c r="J573" s="199">
        <f t="shared" ref="J573:J581" si="47">SUM(H573)/1.05</f>
        <v>2084190.4761904762</v>
      </c>
      <c r="K573" s="24">
        <f t="shared" si="45"/>
        <v>2084190.4761904762</v>
      </c>
      <c r="L573" s="24"/>
      <c r="M573" s="24">
        <f>K573*L573</f>
        <v>0</v>
      </c>
      <c r="N573" s="124">
        <f t="shared" si="46"/>
        <v>2084190.4761904762</v>
      </c>
      <c r="O573" s="108" t="s">
        <v>900</v>
      </c>
    </row>
    <row r="574" spans="1:15" s="3" customFormat="1">
      <c r="A574" s="16">
        <v>1</v>
      </c>
      <c r="B574" s="56">
        <v>43063</v>
      </c>
      <c r="C574" s="18"/>
      <c r="D574" s="19" t="s">
        <v>1371</v>
      </c>
      <c r="E574" s="20" t="s">
        <v>324</v>
      </c>
      <c r="F574" s="24" t="s">
        <v>917</v>
      </c>
      <c r="G574" s="238">
        <v>1707</v>
      </c>
      <c r="H574" s="121">
        <f>2218400-30000</f>
        <v>2188400</v>
      </c>
      <c r="I574" s="24"/>
      <c r="J574" s="199">
        <f t="shared" si="47"/>
        <v>2084190.4761904762</v>
      </c>
      <c r="K574" s="24">
        <f t="shared" si="45"/>
        <v>2084190.4761904762</v>
      </c>
      <c r="L574" s="24"/>
      <c r="M574" s="24">
        <f>K574*L574</f>
        <v>0</v>
      </c>
      <c r="N574" s="124">
        <f t="shared" si="46"/>
        <v>2084190.4761904762</v>
      </c>
      <c r="O574" s="108" t="s">
        <v>900</v>
      </c>
    </row>
    <row r="575" spans="1:15" s="3" customFormat="1">
      <c r="A575" s="16">
        <v>1</v>
      </c>
      <c r="B575" s="56">
        <v>43034</v>
      </c>
      <c r="C575" s="18"/>
      <c r="D575" s="19" t="s">
        <v>1371</v>
      </c>
      <c r="E575" s="20" t="s">
        <v>324</v>
      </c>
      <c r="F575" s="24" t="s">
        <v>918</v>
      </c>
      <c r="G575" s="238">
        <v>1707</v>
      </c>
      <c r="H575" s="121">
        <f>2299000-30000</f>
        <v>2269000</v>
      </c>
      <c r="I575" s="24"/>
      <c r="J575" s="199">
        <f t="shared" si="47"/>
        <v>2160952.3809523811</v>
      </c>
      <c r="K575" s="24">
        <f t="shared" si="45"/>
        <v>2160952.3809523811</v>
      </c>
      <c r="L575" s="24"/>
      <c r="M575" s="24">
        <f>K575*L575</f>
        <v>0</v>
      </c>
      <c r="N575" s="124">
        <f t="shared" si="46"/>
        <v>2160952.3809523811</v>
      </c>
      <c r="O575" s="108" t="s">
        <v>919</v>
      </c>
    </row>
    <row r="576" spans="1:15" s="3" customFormat="1">
      <c r="A576" s="86">
        <v>1</v>
      </c>
      <c r="B576" s="29">
        <v>43034</v>
      </c>
      <c r="C576" s="18"/>
      <c r="D576" s="19" t="s">
        <v>1371</v>
      </c>
      <c r="E576" s="20" t="s">
        <v>324</v>
      </c>
      <c r="F576" s="24" t="s">
        <v>920</v>
      </c>
      <c r="G576" s="238">
        <v>1707</v>
      </c>
      <c r="H576" s="121">
        <f>2299000-30000</f>
        <v>2269000</v>
      </c>
      <c r="I576" s="24"/>
      <c r="J576" s="199">
        <f t="shared" si="47"/>
        <v>2160952.3809523811</v>
      </c>
      <c r="K576" s="24">
        <f t="shared" si="45"/>
        <v>2160952.3809523811</v>
      </c>
      <c r="L576" s="24"/>
      <c r="M576" s="24">
        <f>K576*L576</f>
        <v>0</v>
      </c>
      <c r="N576" s="124">
        <f t="shared" si="46"/>
        <v>2160952.3809523811</v>
      </c>
      <c r="O576" s="108" t="s">
        <v>921</v>
      </c>
    </row>
    <row r="577" spans="1:188" s="3" customFormat="1">
      <c r="A577" s="86">
        <v>2</v>
      </c>
      <c r="B577" s="29"/>
      <c r="C577" s="18"/>
      <c r="D577" s="19" t="s">
        <v>1371</v>
      </c>
      <c r="E577" s="20" t="s">
        <v>330</v>
      </c>
      <c r="F577" s="61" t="s">
        <v>922</v>
      </c>
      <c r="G577" s="63"/>
      <c r="H577" s="121">
        <v>2451000</v>
      </c>
      <c r="I577" s="24"/>
      <c r="J577" s="24">
        <f t="shared" si="47"/>
        <v>2334285.7142857141</v>
      </c>
      <c r="K577" s="24">
        <f t="shared" si="45"/>
        <v>2334285.7142857141</v>
      </c>
      <c r="L577" s="123"/>
      <c r="M577" s="24"/>
      <c r="N577" s="124">
        <f t="shared" si="46"/>
        <v>2334285.7142857141</v>
      </c>
      <c r="O577" s="87" t="s">
        <v>1056</v>
      </c>
    </row>
    <row r="578" spans="1:188" s="3" customFormat="1">
      <c r="A578" s="86">
        <v>3</v>
      </c>
      <c r="B578" s="29"/>
      <c r="C578" s="18"/>
      <c r="D578" s="19" t="s">
        <v>1371</v>
      </c>
      <c r="E578" s="20" t="s">
        <v>330</v>
      </c>
      <c r="F578" s="62" t="s">
        <v>923</v>
      </c>
      <c r="G578" s="63"/>
      <c r="H578" s="121">
        <v>2451000</v>
      </c>
      <c r="I578" s="24"/>
      <c r="J578" s="24">
        <f t="shared" si="47"/>
        <v>2334285.7142857141</v>
      </c>
      <c r="K578" s="24">
        <f t="shared" si="45"/>
        <v>2334285.7142857141</v>
      </c>
      <c r="L578" s="123"/>
      <c r="M578" s="24"/>
      <c r="N578" s="124">
        <f t="shared" si="46"/>
        <v>2334285.7142857141</v>
      </c>
      <c r="O578" s="87" t="s">
        <v>1056</v>
      </c>
    </row>
    <row r="579" spans="1:188" s="3" customFormat="1">
      <c r="A579" s="86">
        <v>4</v>
      </c>
      <c r="B579" s="29"/>
      <c r="C579" s="18"/>
      <c r="D579" s="19" t="s">
        <v>1371</v>
      </c>
      <c r="E579" s="20" t="s">
        <v>341</v>
      </c>
      <c r="F579" s="168" t="s">
        <v>924</v>
      </c>
      <c r="G579" s="63"/>
      <c r="H579" s="121">
        <v>2641000</v>
      </c>
      <c r="I579" s="24"/>
      <c r="J579" s="24">
        <f t="shared" si="47"/>
        <v>2515238.0952380951</v>
      </c>
      <c r="K579" s="24">
        <f t="shared" si="45"/>
        <v>2515238.0952380951</v>
      </c>
      <c r="L579" s="26"/>
      <c r="M579" s="24"/>
      <c r="N579" s="124">
        <f t="shared" si="46"/>
        <v>2515238.0952380951</v>
      </c>
      <c r="O579" s="87" t="s">
        <v>1056</v>
      </c>
    </row>
    <row r="580" spans="1:188" s="3" customFormat="1">
      <c r="A580" s="86">
        <v>5</v>
      </c>
      <c r="B580" s="29">
        <v>43034</v>
      </c>
      <c r="C580" s="18"/>
      <c r="D580" s="19" t="s">
        <v>1371</v>
      </c>
      <c r="E580" s="20" t="s">
        <v>348</v>
      </c>
      <c r="F580" s="24" t="s">
        <v>925</v>
      </c>
      <c r="G580" s="238">
        <v>1707</v>
      </c>
      <c r="H580" s="121">
        <v>2964000</v>
      </c>
      <c r="I580" s="24"/>
      <c r="J580" s="199">
        <f t="shared" si="47"/>
        <v>2822857.1428571427</v>
      </c>
      <c r="K580" s="24">
        <f t="shared" si="45"/>
        <v>2822857.1428571427</v>
      </c>
      <c r="L580" s="24"/>
      <c r="M580" s="24">
        <f>K580*L580</f>
        <v>0</v>
      </c>
      <c r="N580" s="124">
        <f t="shared" si="46"/>
        <v>2822857.1428571427</v>
      </c>
      <c r="O580" s="108" t="s">
        <v>926</v>
      </c>
    </row>
    <row r="581" spans="1:188" s="3" customFormat="1">
      <c r="A581" s="80"/>
      <c r="B581" s="29">
        <v>43034</v>
      </c>
      <c r="C581" s="18"/>
      <c r="D581" s="19" t="s">
        <v>1371</v>
      </c>
      <c r="E581" s="20" t="s">
        <v>348</v>
      </c>
      <c r="F581" s="24" t="s">
        <v>927</v>
      </c>
      <c r="G581" s="238">
        <v>1708</v>
      </c>
      <c r="H581" s="121">
        <v>2964000</v>
      </c>
      <c r="I581" s="24"/>
      <c r="J581" s="199">
        <f t="shared" si="47"/>
        <v>2822857.1428571427</v>
      </c>
      <c r="K581" s="24">
        <f t="shared" si="45"/>
        <v>2822857.1428571427</v>
      </c>
      <c r="L581" s="24"/>
      <c r="M581" s="24">
        <f>K581*L581</f>
        <v>0</v>
      </c>
      <c r="N581" s="124">
        <f t="shared" si="46"/>
        <v>2822857.1428571427</v>
      </c>
      <c r="O581" s="108" t="s">
        <v>928</v>
      </c>
    </row>
    <row r="582" spans="1:188" s="3" customFormat="1">
      <c r="A582" s="86">
        <v>1</v>
      </c>
      <c r="B582" s="56">
        <v>42937</v>
      </c>
      <c r="C582" s="18"/>
      <c r="D582" s="19" t="s">
        <v>1371</v>
      </c>
      <c r="E582" s="20" t="s">
        <v>353</v>
      </c>
      <c r="F582" s="24" t="s">
        <v>929</v>
      </c>
      <c r="G582" s="238">
        <v>1705</v>
      </c>
      <c r="H582" s="121"/>
      <c r="I582" s="24">
        <v>2994762</v>
      </c>
      <c r="J582" s="199"/>
      <c r="K582" s="24">
        <f t="shared" si="45"/>
        <v>2994762</v>
      </c>
      <c r="L582" s="24"/>
      <c r="M582" s="24">
        <f>K582*L582</f>
        <v>0</v>
      </c>
      <c r="N582" s="129">
        <f t="shared" si="46"/>
        <v>2994762</v>
      </c>
      <c r="O582" s="108" t="s">
        <v>900</v>
      </c>
    </row>
    <row r="583" spans="1:188" s="125" customFormat="1">
      <c r="A583" s="86">
        <v>2</v>
      </c>
      <c r="B583" s="56"/>
      <c r="C583" s="18"/>
      <c r="D583" s="19" t="s">
        <v>1371</v>
      </c>
      <c r="E583" s="20" t="s">
        <v>1401</v>
      </c>
      <c r="F583" s="62" t="s">
        <v>1402</v>
      </c>
      <c r="G583" s="63"/>
      <c r="H583" s="121"/>
      <c r="I583" s="24">
        <v>2460952</v>
      </c>
      <c r="J583" s="24"/>
      <c r="K583" s="199">
        <f t="shared" si="45"/>
        <v>2460952</v>
      </c>
      <c r="L583" s="26"/>
      <c r="M583" s="24"/>
      <c r="N583" s="129">
        <f t="shared" si="46"/>
        <v>2460952</v>
      </c>
      <c r="O583" s="108"/>
      <c r="P583" s="3"/>
      <c r="Q583" s="3"/>
      <c r="R583" s="3"/>
      <c r="S583" s="3"/>
      <c r="T583" s="3"/>
      <c r="U583" s="3"/>
      <c r="V583" s="131"/>
      <c r="W583" s="15"/>
      <c r="X583" s="3"/>
      <c r="Y583" s="3"/>
      <c r="Z583" s="3"/>
      <c r="AA583" s="3"/>
      <c r="AB583" s="3"/>
      <c r="AC583" s="131"/>
      <c r="AD583" s="15"/>
      <c r="AE583" s="99"/>
      <c r="AF583" s="149"/>
      <c r="AG583" s="134"/>
      <c r="AH583" s="134"/>
      <c r="AI583" s="137"/>
      <c r="AJ583" s="150"/>
      <c r="AK583" s="137"/>
      <c r="AL583" s="137"/>
      <c r="AM583" s="3"/>
      <c r="AN583" s="138"/>
      <c r="AO583" s="2"/>
      <c r="AP583" s="139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131"/>
      <c r="BB583" s="15"/>
      <c r="BC583" s="99"/>
      <c r="BD583" s="149"/>
      <c r="BE583" s="134"/>
      <c r="BF583" s="134"/>
      <c r="BG583" s="137"/>
      <c r="BH583" s="150"/>
      <c r="BI583" s="137"/>
      <c r="BJ583" s="137"/>
      <c r="BK583" s="3"/>
      <c r="BL583" s="138"/>
      <c r="BM583" s="2"/>
      <c r="BN583" s="139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131"/>
      <c r="BZ583" s="15"/>
      <c r="CA583" s="99"/>
      <c r="CB583" s="149"/>
      <c r="CC583" s="134"/>
      <c r="CD583" s="134"/>
      <c r="CE583" s="137"/>
      <c r="CF583" s="150"/>
      <c r="CG583" s="137"/>
      <c r="CH583" s="137"/>
      <c r="CI583" s="3"/>
      <c r="CJ583" s="138"/>
      <c r="CK583" s="2"/>
      <c r="CL583" s="139"/>
      <c r="CM583" s="3"/>
      <c r="CN583" s="3"/>
      <c r="CO583" s="3"/>
      <c r="CP583" s="3"/>
      <c r="CQ583" s="3"/>
      <c r="CR583" s="3"/>
      <c r="CS583" s="3"/>
      <c r="CT583" s="3"/>
      <c r="CU583" s="3"/>
      <c r="CV583" s="3"/>
      <c r="CW583" s="131"/>
      <c r="CX583" s="15"/>
      <c r="CY583" s="99"/>
      <c r="CZ583" s="149"/>
      <c r="DA583" s="134"/>
      <c r="DB583" s="134"/>
      <c r="DC583" s="137"/>
      <c r="DD583" s="150"/>
      <c r="DE583" s="137"/>
      <c r="DF583" s="137"/>
      <c r="DG583" s="3"/>
      <c r="DH583" s="138"/>
      <c r="DI583" s="2"/>
      <c r="DJ583" s="139"/>
      <c r="DK583" s="3"/>
      <c r="DL583" s="3"/>
      <c r="DM583" s="3"/>
      <c r="DN583" s="3"/>
      <c r="DO583" s="3"/>
      <c r="DP583" s="3"/>
      <c r="DQ583" s="3"/>
      <c r="DR583" s="3"/>
      <c r="DS583" s="3"/>
      <c r="DT583" s="3"/>
      <c r="DU583" s="131"/>
      <c r="DV583" s="15"/>
      <c r="DW583" s="99"/>
      <c r="DX583" s="149"/>
      <c r="DY583" s="134"/>
      <c r="DZ583" s="134"/>
      <c r="EA583" s="137"/>
      <c r="EB583" s="150"/>
      <c r="EC583" s="137"/>
      <c r="ED583" s="137"/>
      <c r="EE583" s="3"/>
      <c r="EF583" s="138"/>
      <c r="EG583" s="2"/>
      <c r="EH583" s="139"/>
      <c r="EI583" s="3"/>
      <c r="EJ583" s="3"/>
      <c r="EK583" s="3"/>
      <c r="EL583" s="3"/>
      <c r="EM583" s="3"/>
      <c r="EN583" s="3"/>
      <c r="EO583" s="3"/>
      <c r="EP583" s="3"/>
      <c r="EQ583" s="3"/>
      <c r="ER583" s="3"/>
      <c r="ES583" s="131"/>
      <c r="ET583" s="15"/>
      <c r="EU583" s="99"/>
      <c r="EV583" s="149"/>
      <c r="EW583" s="134"/>
      <c r="EX583" s="134"/>
      <c r="EY583" s="137"/>
      <c r="EZ583" s="150"/>
      <c r="FA583" s="137"/>
      <c r="FB583" s="137"/>
      <c r="FC583" s="3"/>
      <c r="FD583" s="138"/>
      <c r="FE583" s="2"/>
      <c r="FF583" s="139"/>
      <c r="FG583" s="3"/>
      <c r="FH583" s="3"/>
      <c r="FI583" s="3"/>
      <c r="FJ583" s="3"/>
      <c r="FK583" s="3"/>
      <c r="FL583" s="3"/>
      <c r="FM583" s="3"/>
      <c r="FN583" s="3"/>
      <c r="FO583" s="3"/>
      <c r="FP583" s="3"/>
      <c r="FQ583" s="131"/>
      <c r="FR583" s="15"/>
      <c r="FS583" s="99"/>
      <c r="FT583" s="149"/>
      <c r="FU583" s="134"/>
      <c r="FV583" s="134"/>
      <c r="FW583" s="137"/>
      <c r="FX583" s="150"/>
      <c r="FY583" s="137"/>
      <c r="FZ583" s="137"/>
      <c r="GA583" s="3"/>
      <c r="GB583" s="138"/>
      <c r="GC583" s="2"/>
      <c r="GD583" s="139"/>
      <c r="GE583" s="3"/>
      <c r="GF583" s="3"/>
    </row>
    <row r="584" spans="1:188" s="125" customFormat="1">
      <c r="A584" s="86">
        <v>3</v>
      </c>
      <c r="B584" s="56"/>
      <c r="C584" s="18"/>
      <c r="D584" s="19" t="s">
        <v>1371</v>
      </c>
      <c r="E584" s="20" t="s">
        <v>1401</v>
      </c>
      <c r="F584" s="82" t="s">
        <v>1403</v>
      </c>
      <c r="G584" s="58"/>
      <c r="H584" s="121"/>
      <c r="I584" s="24">
        <v>2304762</v>
      </c>
      <c r="J584" s="24"/>
      <c r="K584" s="199">
        <f t="shared" si="45"/>
        <v>2304762</v>
      </c>
      <c r="L584" s="26"/>
      <c r="M584" s="24"/>
      <c r="N584" s="129">
        <f t="shared" si="46"/>
        <v>2304762</v>
      </c>
      <c r="O584" s="108"/>
      <c r="P584" s="3"/>
      <c r="Q584" s="3"/>
      <c r="R584" s="3"/>
      <c r="S584" s="3"/>
      <c r="T584" s="3"/>
      <c r="U584" s="3"/>
      <c r="V584" s="131"/>
      <c r="W584" s="15"/>
      <c r="X584" s="3"/>
      <c r="Y584" s="3"/>
      <c r="Z584" s="3"/>
      <c r="AA584" s="3"/>
      <c r="AB584" s="3"/>
      <c r="AC584" s="131"/>
      <c r="AD584" s="15"/>
      <c r="AE584" s="99"/>
      <c r="AF584" s="149"/>
      <c r="AG584" s="134"/>
      <c r="AH584" s="134"/>
      <c r="AI584" s="137"/>
      <c r="AJ584" s="150"/>
      <c r="AK584" s="137"/>
      <c r="AL584" s="137"/>
      <c r="AM584" s="3"/>
      <c r="AN584" s="138"/>
      <c r="AO584" s="2"/>
      <c r="AP584" s="139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131"/>
      <c r="BB584" s="15"/>
      <c r="BC584" s="99"/>
      <c r="BD584" s="149"/>
      <c r="BE584" s="134"/>
      <c r="BF584" s="134"/>
      <c r="BG584" s="137"/>
      <c r="BH584" s="150"/>
      <c r="BI584" s="137"/>
      <c r="BJ584" s="137"/>
      <c r="BK584" s="3"/>
      <c r="BL584" s="138"/>
      <c r="BM584" s="2"/>
      <c r="BN584" s="139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131"/>
      <c r="BZ584" s="15"/>
      <c r="CA584" s="99"/>
      <c r="CB584" s="149"/>
      <c r="CC584" s="134"/>
      <c r="CD584" s="134"/>
      <c r="CE584" s="137"/>
      <c r="CF584" s="150"/>
      <c r="CG584" s="137"/>
      <c r="CH584" s="137"/>
      <c r="CI584" s="3"/>
      <c r="CJ584" s="138"/>
      <c r="CK584" s="2"/>
      <c r="CL584" s="139"/>
      <c r="CM584" s="3"/>
      <c r="CN584" s="3"/>
      <c r="CO584" s="3"/>
      <c r="CP584" s="3"/>
      <c r="CQ584" s="3"/>
      <c r="CR584" s="3"/>
      <c r="CS584" s="3"/>
      <c r="CT584" s="3"/>
      <c r="CU584" s="3"/>
      <c r="CV584" s="3"/>
      <c r="CW584" s="131"/>
      <c r="CX584" s="15"/>
      <c r="CY584" s="99"/>
      <c r="CZ584" s="149"/>
      <c r="DA584" s="134"/>
      <c r="DB584" s="134"/>
      <c r="DC584" s="137"/>
      <c r="DD584" s="150"/>
      <c r="DE584" s="137"/>
      <c r="DF584" s="137"/>
      <c r="DG584" s="3"/>
      <c r="DH584" s="138"/>
      <c r="DI584" s="2"/>
      <c r="DJ584" s="139"/>
      <c r="DK584" s="3"/>
      <c r="DL584" s="3"/>
      <c r="DM584" s="3"/>
      <c r="DN584" s="3"/>
      <c r="DO584" s="3"/>
      <c r="DP584" s="3"/>
      <c r="DQ584" s="3"/>
      <c r="DR584" s="3"/>
      <c r="DS584" s="3"/>
      <c r="DT584" s="3"/>
      <c r="DU584" s="131"/>
      <c r="DV584" s="15"/>
      <c r="DW584" s="99"/>
      <c r="DX584" s="149"/>
      <c r="DY584" s="134"/>
      <c r="DZ584" s="134"/>
      <c r="EA584" s="137"/>
      <c r="EB584" s="150"/>
      <c r="EC584" s="137"/>
      <c r="ED584" s="137"/>
      <c r="EE584" s="3"/>
      <c r="EF584" s="138"/>
      <c r="EG584" s="2"/>
      <c r="EH584" s="139"/>
      <c r="EI584" s="3"/>
      <c r="EJ584" s="3"/>
      <c r="EK584" s="3"/>
      <c r="EL584" s="3"/>
      <c r="EM584" s="3"/>
      <c r="EN584" s="3"/>
      <c r="EO584" s="3"/>
      <c r="EP584" s="3"/>
      <c r="EQ584" s="3"/>
      <c r="ER584" s="3"/>
      <c r="ES584" s="131"/>
      <c r="ET584" s="15"/>
      <c r="EU584" s="99"/>
      <c r="EV584" s="149"/>
      <c r="EW584" s="134"/>
      <c r="EX584" s="134"/>
      <c r="EY584" s="137"/>
      <c r="EZ584" s="150"/>
      <c r="FA584" s="137"/>
      <c r="FB584" s="137"/>
      <c r="FC584" s="3"/>
      <c r="FD584" s="138"/>
      <c r="FE584" s="2"/>
      <c r="FF584" s="139"/>
      <c r="FG584" s="3"/>
      <c r="FH584" s="3"/>
      <c r="FI584" s="3"/>
      <c r="FJ584" s="3"/>
      <c r="FK584" s="3"/>
      <c r="FL584" s="3"/>
      <c r="FM584" s="3"/>
      <c r="FN584" s="3"/>
      <c r="FO584" s="3"/>
      <c r="FP584" s="3"/>
      <c r="FQ584" s="131"/>
      <c r="FR584" s="15"/>
      <c r="FS584" s="99"/>
      <c r="FT584" s="149"/>
      <c r="FU584" s="134"/>
      <c r="FV584" s="134"/>
      <c r="FW584" s="137"/>
      <c r="FX584" s="150"/>
      <c r="FY584" s="137"/>
      <c r="FZ584" s="137"/>
      <c r="GA584" s="3"/>
      <c r="GB584" s="138"/>
      <c r="GC584" s="2"/>
      <c r="GD584" s="139"/>
      <c r="GE584" s="3"/>
      <c r="GF584" s="3"/>
    </row>
    <row r="585" spans="1:188" s="125" customFormat="1">
      <c r="A585" s="86">
        <v>4</v>
      </c>
      <c r="B585" s="56">
        <v>43013</v>
      </c>
      <c r="C585" s="18"/>
      <c r="D585" s="19" t="s">
        <v>1371</v>
      </c>
      <c r="E585" s="20" t="s">
        <v>424</v>
      </c>
      <c r="F585" s="24" t="s">
        <v>933</v>
      </c>
      <c r="G585" s="238">
        <v>1708</v>
      </c>
      <c r="H585" s="121">
        <f>111600+3329400</f>
        <v>3441000</v>
      </c>
      <c r="I585" s="24">
        <v>3277143</v>
      </c>
      <c r="J585" s="199"/>
      <c r="K585" s="24">
        <f t="shared" si="45"/>
        <v>3277143</v>
      </c>
      <c r="L585" s="24"/>
      <c r="M585" s="24">
        <f>K585*L585</f>
        <v>0</v>
      </c>
      <c r="N585" s="129">
        <f t="shared" si="46"/>
        <v>3277143</v>
      </c>
      <c r="O585" s="108" t="s">
        <v>900</v>
      </c>
      <c r="P585" s="3"/>
      <c r="Q585" s="3"/>
      <c r="R585" s="3"/>
      <c r="S585" s="3"/>
      <c r="T585" s="3"/>
      <c r="U585" s="3"/>
      <c r="V585" s="131"/>
      <c r="W585" s="15"/>
      <c r="X585" s="3"/>
      <c r="Y585" s="3"/>
      <c r="Z585" s="3"/>
      <c r="AA585" s="3"/>
      <c r="AB585" s="3"/>
      <c r="AC585" s="131"/>
      <c r="AD585" s="15"/>
      <c r="AE585" s="99"/>
      <c r="AF585" s="149"/>
      <c r="AG585" s="134"/>
      <c r="AH585" s="134"/>
      <c r="AI585" s="137"/>
      <c r="AJ585" s="150"/>
      <c r="AK585" s="137"/>
      <c r="AL585" s="137"/>
      <c r="AM585" s="3"/>
      <c r="AN585" s="138"/>
      <c r="AO585" s="2"/>
      <c r="AP585" s="139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131"/>
      <c r="BB585" s="15"/>
      <c r="BC585" s="99"/>
      <c r="BD585" s="149"/>
      <c r="BE585" s="134"/>
      <c r="BF585" s="134"/>
      <c r="BG585" s="137"/>
      <c r="BH585" s="150"/>
      <c r="BI585" s="137"/>
      <c r="BJ585" s="137"/>
      <c r="BK585" s="3"/>
      <c r="BL585" s="138"/>
      <c r="BM585" s="2"/>
      <c r="BN585" s="139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131"/>
      <c r="BZ585" s="15"/>
      <c r="CA585" s="99"/>
      <c r="CB585" s="149"/>
      <c r="CC585" s="134"/>
      <c r="CD585" s="134"/>
      <c r="CE585" s="137"/>
      <c r="CF585" s="150"/>
      <c r="CG585" s="137"/>
      <c r="CH585" s="137"/>
      <c r="CI585" s="3"/>
      <c r="CJ585" s="138"/>
      <c r="CK585" s="2"/>
      <c r="CL585" s="139"/>
      <c r="CM585" s="3"/>
      <c r="CN585" s="3"/>
      <c r="CO585" s="3"/>
      <c r="CP585" s="3"/>
      <c r="CQ585" s="3"/>
      <c r="CR585" s="3"/>
      <c r="CS585" s="3"/>
      <c r="CT585" s="3"/>
      <c r="CU585" s="3"/>
      <c r="CV585" s="3"/>
      <c r="CW585" s="131"/>
      <c r="CX585" s="15"/>
      <c r="CY585" s="99"/>
      <c r="CZ585" s="149"/>
      <c r="DA585" s="134"/>
      <c r="DB585" s="134"/>
      <c r="DC585" s="137"/>
      <c r="DD585" s="150"/>
      <c r="DE585" s="137"/>
      <c r="DF585" s="137"/>
      <c r="DG585" s="3"/>
      <c r="DH585" s="138"/>
      <c r="DI585" s="2"/>
      <c r="DJ585" s="139"/>
      <c r="DK585" s="3"/>
      <c r="DL585" s="3"/>
      <c r="DM585" s="3"/>
      <c r="DN585" s="3"/>
      <c r="DO585" s="3"/>
      <c r="DP585" s="3"/>
      <c r="DQ585" s="3"/>
      <c r="DR585" s="3"/>
      <c r="DS585" s="3"/>
      <c r="DT585" s="3"/>
      <c r="DU585" s="131"/>
      <c r="DV585" s="15"/>
      <c r="DW585" s="99"/>
      <c r="DX585" s="149"/>
      <c r="DY585" s="134"/>
      <c r="DZ585" s="134"/>
      <c r="EA585" s="137"/>
      <c r="EB585" s="150"/>
      <c r="EC585" s="137"/>
      <c r="ED585" s="137"/>
      <c r="EE585" s="3"/>
      <c r="EF585" s="138"/>
      <c r="EG585" s="2"/>
      <c r="EH585" s="139"/>
      <c r="EI585" s="3"/>
      <c r="EJ585" s="3"/>
      <c r="EK585" s="3"/>
      <c r="EL585" s="3"/>
      <c r="EM585" s="3"/>
      <c r="EN585" s="3"/>
      <c r="EO585" s="3"/>
      <c r="EP585" s="3"/>
      <c r="EQ585" s="3"/>
      <c r="ER585" s="3"/>
      <c r="ES585" s="131"/>
      <c r="ET585" s="15"/>
      <c r="EU585" s="99"/>
      <c r="EV585" s="149"/>
      <c r="EW585" s="134"/>
      <c r="EX585" s="134"/>
      <c r="EY585" s="137"/>
      <c r="EZ585" s="150"/>
      <c r="FA585" s="137"/>
      <c r="FB585" s="137"/>
      <c r="FC585" s="3"/>
      <c r="FD585" s="138"/>
      <c r="FE585" s="2"/>
      <c r="FF585" s="139"/>
      <c r="FG585" s="3"/>
      <c r="FH585" s="3"/>
      <c r="FI585" s="3"/>
      <c r="FJ585" s="3"/>
      <c r="FK585" s="3"/>
      <c r="FL585" s="3"/>
      <c r="FM585" s="3"/>
      <c r="FN585" s="3"/>
      <c r="FO585" s="3"/>
      <c r="FP585" s="3"/>
      <c r="FQ585" s="131"/>
      <c r="FR585" s="15"/>
      <c r="FS585" s="99"/>
      <c r="FT585" s="149"/>
      <c r="FU585" s="134"/>
      <c r="FV585" s="134"/>
      <c r="FW585" s="137"/>
      <c r="FX585" s="150"/>
      <c r="FY585" s="137"/>
      <c r="FZ585" s="137"/>
      <c r="GA585" s="3"/>
      <c r="GB585" s="138"/>
      <c r="GC585" s="2"/>
      <c r="GD585" s="139"/>
      <c r="GE585" s="3"/>
      <c r="GF585" s="3"/>
    </row>
    <row r="586" spans="1:188" s="125" customFormat="1">
      <c r="A586" s="86">
        <v>5</v>
      </c>
      <c r="B586" s="56">
        <v>42887</v>
      </c>
      <c r="C586" s="18"/>
      <c r="D586" s="19" t="s">
        <v>1371</v>
      </c>
      <c r="E586" s="20" t="s">
        <v>420</v>
      </c>
      <c r="F586" s="24" t="s">
        <v>934</v>
      </c>
      <c r="G586" s="238">
        <v>1703</v>
      </c>
      <c r="H586" s="121"/>
      <c r="I586" s="24">
        <v>3666857</v>
      </c>
      <c r="J586" s="199"/>
      <c r="K586" s="24">
        <f t="shared" si="45"/>
        <v>3666857</v>
      </c>
      <c r="L586" s="24"/>
      <c r="M586" s="24">
        <f>K586*L586</f>
        <v>0</v>
      </c>
      <c r="N586" s="129">
        <f t="shared" si="46"/>
        <v>3666857</v>
      </c>
      <c r="O586" s="108" t="s">
        <v>900</v>
      </c>
      <c r="P586" s="3"/>
      <c r="Q586" s="3"/>
      <c r="R586" s="3"/>
      <c r="S586" s="3"/>
      <c r="T586" s="3"/>
      <c r="U586" s="3"/>
      <c r="V586" s="131"/>
      <c r="W586" s="15"/>
      <c r="X586" s="3"/>
      <c r="Y586" s="3"/>
      <c r="Z586" s="3"/>
      <c r="AA586" s="3"/>
      <c r="AB586" s="3"/>
      <c r="AC586" s="131"/>
      <c r="AD586" s="15"/>
      <c r="AE586" s="99"/>
      <c r="AF586" s="149"/>
      <c r="AG586" s="134"/>
      <c r="AH586" s="134"/>
      <c r="AI586" s="137"/>
      <c r="AJ586" s="150"/>
      <c r="AK586" s="137"/>
      <c r="AL586" s="137"/>
      <c r="AM586" s="3"/>
      <c r="AN586" s="138"/>
      <c r="AO586" s="2"/>
      <c r="AP586" s="139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131"/>
      <c r="BB586" s="15"/>
      <c r="BC586" s="99"/>
      <c r="BD586" s="149"/>
      <c r="BE586" s="134"/>
      <c r="BF586" s="134"/>
      <c r="BG586" s="137"/>
      <c r="BH586" s="150"/>
      <c r="BI586" s="137"/>
      <c r="BJ586" s="137"/>
      <c r="BK586" s="3"/>
      <c r="BL586" s="138"/>
      <c r="BM586" s="2"/>
      <c r="BN586" s="139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131"/>
      <c r="BZ586" s="15"/>
      <c r="CA586" s="99"/>
      <c r="CB586" s="149"/>
      <c r="CC586" s="134"/>
      <c r="CD586" s="134"/>
      <c r="CE586" s="137"/>
      <c r="CF586" s="150"/>
      <c r="CG586" s="137"/>
      <c r="CH586" s="137"/>
      <c r="CI586" s="3"/>
      <c r="CJ586" s="138"/>
      <c r="CK586" s="2"/>
      <c r="CL586" s="139"/>
      <c r="CM586" s="3"/>
      <c r="CN586" s="3"/>
      <c r="CO586" s="3"/>
      <c r="CP586" s="3"/>
      <c r="CQ586" s="3"/>
      <c r="CR586" s="3"/>
      <c r="CS586" s="3"/>
      <c r="CT586" s="3"/>
      <c r="CU586" s="3"/>
      <c r="CV586" s="3"/>
      <c r="CW586" s="131"/>
      <c r="CX586" s="15"/>
      <c r="CY586" s="99"/>
      <c r="CZ586" s="149"/>
      <c r="DA586" s="134"/>
      <c r="DB586" s="134"/>
      <c r="DC586" s="137"/>
      <c r="DD586" s="150"/>
      <c r="DE586" s="137"/>
      <c r="DF586" s="137"/>
      <c r="DG586" s="3"/>
      <c r="DH586" s="138"/>
      <c r="DI586" s="2"/>
      <c r="DJ586" s="139"/>
      <c r="DK586" s="3"/>
      <c r="DL586" s="3"/>
      <c r="DM586" s="3"/>
      <c r="DN586" s="3"/>
      <c r="DO586" s="3"/>
      <c r="DP586" s="3"/>
      <c r="DQ586" s="3"/>
      <c r="DR586" s="3"/>
      <c r="DS586" s="3"/>
      <c r="DT586" s="3"/>
      <c r="DU586" s="131"/>
      <c r="DV586" s="15"/>
      <c r="DW586" s="99"/>
      <c r="DX586" s="149"/>
      <c r="DY586" s="134"/>
      <c r="DZ586" s="134"/>
      <c r="EA586" s="137"/>
      <c r="EB586" s="150"/>
      <c r="EC586" s="137"/>
      <c r="ED586" s="137"/>
      <c r="EE586" s="3"/>
      <c r="EF586" s="138"/>
      <c r="EG586" s="2"/>
      <c r="EH586" s="139"/>
      <c r="EI586" s="3"/>
      <c r="EJ586" s="3"/>
      <c r="EK586" s="3"/>
      <c r="EL586" s="3"/>
      <c r="EM586" s="3"/>
      <c r="EN586" s="3"/>
      <c r="EO586" s="3"/>
      <c r="EP586" s="3"/>
      <c r="EQ586" s="3"/>
      <c r="ER586" s="3"/>
      <c r="ES586" s="131"/>
      <c r="ET586" s="15"/>
      <c r="EU586" s="99"/>
      <c r="EV586" s="149"/>
      <c r="EW586" s="134"/>
      <c r="EX586" s="134"/>
      <c r="EY586" s="137"/>
      <c r="EZ586" s="150"/>
      <c r="FA586" s="137"/>
      <c r="FB586" s="137"/>
      <c r="FC586" s="3"/>
      <c r="FD586" s="138"/>
      <c r="FE586" s="2"/>
      <c r="FF586" s="139"/>
      <c r="FG586" s="3"/>
      <c r="FH586" s="3"/>
      <c r="FI586" s="3"/>
      <c r="FJ586" s="3"/>
      <c r="FK586" s="3"/>
      <c r="FL586" s="3"/>
      <c r="FM586" s="3"/>
      <c r="FN586" s="3"/>
      <c r="FO586" s="3"/>
      <c r="FP586" s="3"/>
      <c r="FQ586" s="131"/>
      <c r="FR586" s="15"/>
      <c r="FS586" s="99"/>
      <c r="FT586" s="149"/>
      <c r="FU586" s="134"/>
      <c r="FV586" s="134"/>
      <c r="FW586" s="137"/>
      <c r="FX586" s="150"/>
      <c r="FY586" s="137"/>
      <c r="FZ586" s="137"/>
      <c r="GA586" s="3"/>
      <c r="GB586" s="138"/>
      <c r="GC586" s="2"/>
      <c r="GD586" s="139"/>
      <c r="GE586" s="3"/>
      <c r="GF586" s="3"/>
    </row>
    <row r="587" spans="1:188" s="125" customFormat="1">
      <c r="A587" s="86">
        <v>6</v>
      </c>
      <c r="B587" s="56">
        <v>42979</v>
      </c>
      <c r="C587" s="18"/>
      <c r="D587" s="19" t="s">
        <v>1371</v>
      </c>
      <c r="E587" s="20" t="s">
        <v>420</v>
      </c>
      <c r="F587" s="24" t="s">
        <v>935</v>
      </c>
      <c r="G587" s="238" t="s">
        <v>936</v>
      </c>
      <c r="H587" s="121">
        <v>3807000</v>
      </c>
      <c r="I587" s="24">
        <v>3625714</v>
      </c>
      <c r="J587" s="199"/>
      <c r="K587" s="24">
        <f t="shared" si="45"/>
        <v>3625714</v>
      </c>
      <c r="L587" s="24"/>
      <c r="M587" s="24">
        <f>K587*L587</f>
        <v>0</v>
      </c>
      <c r="N587" s="129">
        <f t="shared" si="46"/>
        <v>3625714</v>
      </c>
      <c r="O587" s="108" t="s">
        <v>900</v>
      </c>
      <c r="P587" s="3"/>
      <c r="Q587" s="3"/>
      <c r="R587" s="3"/>
      <c r="S587" s="3"/>
      <c r="T587" s="3"/>
      <c r="U587" s="3"/>
      <c r="V587" s="131"/>
      <c r="W587" s="15"/>
      <c r="X587" s="3"/>
      <c r="Y587" s="3"/>
      <c r="Z587" s="3"/>
      <c r="AA587" s="3"/>
      <c r="AB587" s="3"/>
      <c r="AC587" s="131"/>
      <c r="AD587" s="15"/>
      <c r="AE587" s="99"/>
      <c r="AF587" s="149"/>
      <c r="AG587" s="134"/>
      <c r="AH587" s="134"/>
      <c r="AI587" s="137"/>
      <c r="AJ587" s="150"/>
      <c r="AK587" s="137"/>
      <c r="AL587" s="137"/>
      <c r="AM587" s="3"/>
      <c r="AN587" s="138"/>
      <c r="AO587" s="2"/>
      <c r="AP587" s="139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131"/>
      <c r="BB587" s="15"/>
      <c r="BC587" s="99"/>
      <c r="BD587" s="149"/>
      <c r="BE587" s="134"/>
      <c r="BF587" s="134"/>
      <c r="BG587" s="137"/>
      <c r="BH587" s="150"/>
      <c r="BI587" s="137"/>
      <c r="BJ587" s="137"/>
      <c r="BK587" s="3"/>
      <c r="BL587" s="138"/>
      <c r="BM587" s="2"/>
      <c r="BN587" s="139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131"/>
      <c r="BZ587" s="15"/>
      <c r="CA587" s="99"/>
      <c r="CB587" s="149"/>
      <c r="CC587" s="134"/>
      <c r="CD587" s="134"/>
      <c r="CE587" s="137"/>
      <c r="CF587" s="150"/>
      <c r="CG587" s="137"/>
      <c r="CH587" s="137"/>
      <c r="CI587" s="3"/>
      <c r="CJ587" s="138"/>
      <c r="CK587" s="2"/>
      <c r="CL587" s="139"/>
      <c r="CM587" s="3"/>
      <c r="CN587" s="3"/>
      <c r="CO587" s="3"/>
      <c r="CP587" s="3"/>
      <c r="CQ587" s="3"/>
      <c r="CR587" s="3"/>
      <c r="CS587" s="3"/>
      <c r="CT587" s="3"/>
      <c r="CU587" s="3"/>
      <c r="CV587" s="3"/>
      <c r="CW587" s="131"/>
      <c r="CX587" s="15"/>
      <c r="CY587" s="99"/>
      <c r="CZ587" s="149"/>
      <c r="DA587" s="134"/>
      <c r="DB587" s="134"/>
      <c r="DC587" s="137"/>
      <c r="DD587" s="150"/>
      <c r="DE587" s="137"/>
      <c r="DF587" s="137"/>
      <c r="DG587" s="3"/>
      <c r="DH587" s="138"/>
      <c r="DI587" s="2"/>
      <c r="DJ587" s="139"/>
      <c r="DK587" s="3"/>
      <c r="DL587" s="3"/>
      <c r="DM587" s="3"/>
      <c r="DN587" s="3"/>
      <c r="DO587" s="3"/>
      <c r="DP587" s="3"/>
      <c r="DQ587" s="3"/>
      <c r="DR587" s="3"/>
      <c r="DS587" s="3"/>
      <c r="DT587" s="3"/>
      <c r="DU587" s="131"/>
      <c r="DV587" s="15"/>
      <c r="DW587" s="99"/>
      <c r="DX587" s="149"/>
      <c r="DY587" s="134"/>
      <c r="DZ587" s="134"/>
      <c r="EA587" s="137"/>
      <c r="EB587" s="150"/>
      <c r="EC587" s="137"/>
      <c r="ED587" s="137"/>
      <c r="EE587" s="3"/>
      <c r="EF587" s="138"/>
      <c r="EG587" s="2"/>
      <c r="EH587" s="139"/>
      <c r="EI587" s="3"/>
      <c r="EJ587" s="3"/>
      <c r="EK587" s="3"/>
      <c r="EL587" s="3"/>
      <c r="EM587" s="3"/>
      <c r="EN587" s="3"/>
      <c r="EO587" s="3"/>
      <c r="EP587" s="3"/>
      <c r="EQ587" s="3"/>
      <c r="ER587" s="3"/>
      <c r="ES587" s="131"/>
      <c r="ET587" s="15"/>
      <c r="EU587" s="99"/>
      <c r="EV587" s="149"/>
      <c r="EW587" s="134"/>
      <c r="EX587" s="134"/>
      <c r="EY587" s="137"/>
      <c r="EZ587" s="150"/>
      <c r="FA587" s="137"/>
      <c r="FB587" s="137"/>
      <c r="FC587" s="3"/>
      <c r="FD587" s="138"/>
      <c r="FE587" s="2"/>
      <c r="FF587" s="139"/>
      <c r="FG587" s="3"/>
      <c r="FH587" s="3"/>
      <c r="FI587" s="3"/>
      <c r="FJ587" s="3"/>
      <c r="FK587" s="3"/>
      <c r="FL587" s="3"/>
      <c r="FM587" s="3"/>
      <c r="FN587" s="3"/>
      <c r="FO587" s="3"/>
      <c r="FP587" s="3"/>
      <c r="FQ587" s="131"/>
      <c r="FR587" s="15"/>
      <c r="FS587" s="99"/>
      <c r="FT587" s="149"/>
      <c r="FU587" s="134"/>
      <c r="FV587" s="134"/>
      <c r="FW587" s="137"/>
      <c r="FX587" s="150"/>
      <c r="FY587" s="137"/>
      <c r="FZ587" s="137"/>
      <c r="GA587" s="3"/>
      <c r="GB587" s="138"/>
      <c r="GC587" s="2"/>
      <c r="GD587" s="139"/>
      <c r="GE587" s="3"/>
      <c r="GF587" s="3"/>
    </row>
    <row r="588" spans="1:188" s="125" customFormat="1">
      <c r="A588" s="86">
        <v>7</v>
      </c>
      <c r="B588" s="56">
        <v>43034</v>
      </c>
      <c r="C588" s="18"/>
      <c r="D588" s="19" t="s">
        <v>1371</v>
      </c>
      <c r="E588" s="20" t="s">
        <v>360</v>
      </c>
      <c r="F588" s="24" t="s">
        <v>937</v>
      </c>
      <c r="G588" s="238">
        <v>1707</v>
      </c>
      <c r="H588" s="121">
        <v>3629000</v>
      </c>
      <c r="I588" s="24"/>
      <c r="J588" s="199">
        <f>SUM(H588)/1.05</f>
        <v>3456190.4761904762</v>
      </c>
      <c r="K588" s="24">
        <f t="shared" si="45"/>
        <v>3456190.4761904762</v>
      </c>
      <c r="L588" s="24"/>
      <c r="M588" s="24">
        <f>K588*L588</f>
        <v>0</v>
      </c>
      <c r="N588" s="129">
        <f t="shared" si="46"/>
        <v>3456190.4761904762</v>
      </c>
      <c r="O588" s="108" t="s">
        <v>938</v>
      </c>
      <c r="P588" s="3"/>
      <c r="Q588" s="3"/>
      <c r="R588" s="3"/>
      <c r="S588" s="3"/>
      <c r="T588" s="3"/>
      <c r="U588" s="3"/>
      <c r="V588" s="131"/>
      <c r="W588" s="15"/>
      <c r="X588" s="3"/>
      <c r="Y588" s="3"/>
      <c r="Z588" s="3"/>
      <c r="AA588" s="3"/>
      <c r="AB588" s="3"/>
      <c r="AC588" s="131"/>
      <c r="AD588" s="15"/>
      <c r="AE588" s="99"/>
      <c r="AF588" s="149"/>
      <c r="AG588" s="134"/>
      <c r="AH588" s="134"/>
      <c r="AI588" s="137"/>
      <c r="AJ588" s="150"/>
      <c r="AK588" s="137"/>
      <c r="AL588" s="137"/>
      <c r="AM588" s="3"/>
      <c r="AN588" s="138"/>
      <c r="AO588" s="2"/>
      <c r="AP588" s="139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131"/>
      <c r="BB588" s="15"/>
      <c r="BC588" s="99"/>
      <c r="BD588" s="149"/>
      <c r="BE588" s="134"/>
      <c r="BF588" s="134"/>
      <c r="BG588" s="137"/>
      <c r="BH588" s="150"/>
      <c r="BI588" s="137"/>
      <c r="BJ588" s="137"/>
      <c r="BK588" s="3"/>
      <c r="BL588" s="138"/>
      <c r="BM588" s="2"/>
      <c r="BN588" s="139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131"/>
      <c r="BZ588" s="15"/>
      <c r="CA588" s="99"/>
      <c r="CB588" s="149"/>
      <c r="CC588" s="134"/>
      <c r="CD588" s="134"/>
      <c r="CE588" s="137"/>
      <c r="CF588" s="150"/>
      <c r="CG588" s="137"/>
      <c r="CH588" s="137"/>
      <c r="CI588" s="3"/>
      <c r="CJ588" s="138"/>
      <c r="CK588" s="2"/>
      <c r="CL588" s="139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131"/>
      <c r="CX588" s="15"/>
      <c r="CY588" s="99"/>
      <c r="CZ588" s="149"/>
      <c r="DA588" s="134"/>
      <c r="DB588" s="134"/>
      <c r="DC588" s="137"/>
      <c r="DD588" s="150"/>
      <c r="DE588" s="137"/>
      <c r="DF588" s="137"/>
      <c r="DG588" s="3"/>
      <c r="DH588" s="138"/>
      <c r="DI588" s="2"/>
      <c r="DJ588" s="139"/>
      <c r="DK588" s="3"/>
      <c r="DL588" s="3"/>
      <c r="DM588" s="3"/>
      <c r="DN588" s="3"/>
      <c r="DO588" s="3"/>
      <c r="DP588" s="3"/>
      <c r="DQ588" s="3"/>
      <c r="DR588" s="3"/>
      <c r="DS588" s="3"/>
      <c r="DT588" s="3"/>
      <c r="DU588" s="131"/>
      <c r="DV588" s="15"/>
      <c r="DW588" s="99"/>
      <c r="DX588" s="149"/>
      <c r="DY588" s="134"/>
      <c r="DZ588" s="134"/>
      <c r="EA588" s="137"/>
      <c r="EB588" s="150"/>
      <c r="EC588" s="137"/>
      <c r="ED588" s="137"/>
      <c r="EE588" s="3"/>
      <c r="EF588" s="138"/>
      <c r="EG588" s="2"/>
      <c r="EH588" s="139"/>
      <c r="EI588" s="3"/>
      <c r="EJ588" s="3"/>
      <c r="EK588" s="3"/>
      <c r="EL588" s="3"/>
      <c r="EM588" s="3"/>
      <c r="EN588" s="3"/>
      <c r="EO588" s="3"/>
      <c r="EP588" s="3"/>
      <c r="EQ588" s="3"/>
      <c r="ER588" s="3"/>
      <c r="ES588" s="131"/>
      <c r="ET588" s="15"/>
      <c r="EU588" s="99"/>
      <c r="EV588" s="149"/>
      <c r="EW588" s="134"/>
      <c r="EX588" s="134"/>
      <c r="EY588" s="137"/>
      <c r="EZ588" s="150"/>
      <c r="FA588" s="137"/>
      <c r="FB588" s="137"/>
      <c r="FC588" s="3"/>
      <c r="FD588" s="138"/>
      <c r="FE588" s="2"/>
      <c r="FF588" s="139"/>
      <c r="FG588" s="3"/>
      <c r="FH588" s="3"/>
      <c r="FI588" s="3"/>
      <c r="FJ588" s="3"/>
      <c r="FK588" s="3"/>
      <c r="FL588" s="3"/>
      <c r="FM588" s="3"/>
      <c r="FN588" s="3"/>
      <c r="FO588" s="3"/>
      <c r="FP588" s="3"/>
      <c r="FQ588" s="131"/>
      <c r="FR588" s="15"/>
      <c r="FS588" s="99"/>
      <c r="FT588" s="149"/>
      <c r="FU588" s="134"/>
      <c r="FV588" s="134"/>
      <c r="FW588" s="137"/>
      <c r="FX588" s="150"/>
      <c r="FY588" s="137"/>
      <c r="FZ588" s="137"/>
      <c r="GA588" s="3"/>
      <c r="GB588" s="138"/>
      <c r="GC588" s="2"/>
      <c r="GD588" s="139"/>
      <c r="GE588" s="3"/>
      <c r="GF588" s="3"/>
    </row>
    <row r="589" spans="1:188" s="125" customFormat="1">
      <c r="A589" s="86">
        <v>8</v>
      </c>
      <c r="B589" s="56">
        <v>43034</v>
      </c>
      <c r="C589" s="18"/>
      <c r="D589" s="19" t="s">
        <v>1371</v>
      </c>
      <c r="E589" s="20" t="s">
        <v>363</v>
      </c>
      <c r="F589" s="24" t="s">
        <v>939</v>
      </c>
      <c r="G589" s="238">
        <v>1707</v>
      </c>
      <c r="H589" s="121">
        <v>3534000</v>
      </c>
      <c r="I589" s="24"/>
      <c r="J589" s="199">
        <f>SUM(H589)/1.05</f>
        <v>3365714.2857142854</v>
      </c>
      <c r="K589" s="24">
        <f t="shared" si="45"/>
        <v>3365714.2857142854</v>
      </c>
      <c r="L589" s="24"/>
      <c r="M589" s="24">
        <f>K589*L589</f>
        <v>0</v>
      </c>
      <c r="N589" s="129">
        <f t="shared" si="46"/>
        <v>3365714.2857142854</v>
      </c>
      <c r="O589" s="108" t="s">
        <v>940</v>
      </c>
      <c r="P589" s="3"/>
      <c r="Q589" s="3"/>
      <c r="R589" s="3"/>
      <c r="S589" s="3"/>
      <c r="T589" s="3"/>
      <c r="U589" s="3"/>
      <c r="V589" s="131"/>
      <c r="W589" s="15"/>
      <c r="X589" s="3"/>
      <c r="Y589" s="3"/>
      <c r="Z589" s="3"/>
      <c r="AA589" s="3"/>
      <c r="AB589" s="3"/>
      <c r="AC589" s="131"/>
      <c r="AD589" s="15"/>
      <c r="AE589" s="99"/>
      <c r="AF589" s="149"/>
      <c r="AG589" s="134"/>
      <c r="AH589" s="134"/>
      <c r="AI589" s="137"/>
      <c r="AJ589" s="150"/>
      <c r="AK589" s="137"/>
      <c r="AL589" s="137"/>
      <c r="AM589" s="3"/>
      <c r="AN589" s="138"/>
      <c r="AO589" s="2"/>
      <c r="AP589" s="139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131"/>
      <c r="BB589" s="15"/>
      <c r="BC589" s="99"/>
      <c r="BD589" s="149"/>
      <c r="BE589" s="134"/>
      <c r="BF589" s="134"/>
      <c r="BG589" s="137"/>
      <c r="BH589" s="150"/>
      <c r="BI589" s="137"/>
      <c r="BJ589" s="137"/>
      <c r="BK589" s="3"/>
      <c r="BL589" s="138"/>
      <c r="BM589" s="2"/>
      <c r="BN589" s="139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131"/>
      <c r="BZ589" s="15"/>
      <c r="CA589" s="99"/>
      <c r="CB589" s="149"/>
      <c r="CC589" s="134"/>
      <c r="CD589" s="134"/>
      <c r="CE589" s="137"/>
      <c r="CF589" s="150"/>
      <c r="CG589" s="137"/>
      <c r="CH589" s="137"/>
      <c r="CI589" s="3"/>
      <c r="CJ589" s="138"/>
      <c r="CK589" s="2"/>
      <c r="CL589" s="139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131"/>
      <c r="CX589" s="15"/>
      <c r="CY589" s="99"/>
      <c r="CZ589" s="149"/>
      <c r="DA589" s="134"/>
      <c r="DB589" s="134"/>
      <c r="DC589" s="137"/>
      <c r="DD589" s="150"/>
      <c r="DE589" s="137"/>
      <c r="DF589" s="137"/>
      <c r="DG589" s="3"/>
      <c r="DH589" s="138"/>
      <c r="DI589" s="2"/>
      <c r="DJ589" s="139"/>
      <c r="DK589" s="3"/>
      <c r="DL589" s="3"/>
      <c r="DM589" s="3"/>
      <c r="DN589" s="3"/>
      <c r="DO589" s="3"/>
      <c r="DP589" s="3"/>
      <c r="DQ589" s="3"/>
      <c r="DR589" s="3"/>
      <c r="DS589" s="3"/>
      <c r="DT589" s="3"/>
      <c r="DU589" s="131"/>
      <c r="DV589" s="15"/>
      <c r="DW589" s="99"/>
      <c r="DX589" s="149"/>
      <c r="DY589" s="134"/>
      <c r="DZ589" s="134"/>
      <c r="EA589" s="137"/>
      <c r="EB589" s="150"/>
      <c r="EC589" s="137"/>
      <c r="ED589" s="137"/>
      <c r="EE589" s="3"/>
      <c r="EF589" s="138"/>
      <c r="EG589" s="2"/>
      <c r="EH589" s="139"/>
      <c r="EI589" s="3"/>
      <c r="EJ589" s="3"/>
      <c r="EK589" s="3"/>
      <c r="EL589" s="3"/>
      <c r="EM589" s="3"/>
      <c r="EN589" s="3"/>
      <c r="EO589" s="3"/>
      <c r="EP589" s="3"/>
      <c r="EQ589" s="3"/>
      <c r="ER589" s="3"/>
      <c r="ES589" s="131"/>
      <c r="ET589" s="15"/>
      <c r="EU589" s="99"/>
      <c r="EV589" s="149"/>
      <c r="EW589" s="134"/>
      <c r="EX589" s="134"/>
      <c r="EY589" s="137"/>
      <c r="EZ589" s="150"/>
      <c r="FA589" s="137"/>
      <c r="FB589" s="137"/>
      <c r="FC589" s="3"/>
      <c r="FD589" s="138"/>
      <c r="FE589" s="2"/>
      <c r="FF589" s="139"/>
      <c r="FG589" s="3"/>
      <c r="FH589" s="3"/>
      <c r="FI589" s="3"/>
      <c r="FJ589" s="3"/>
      <c r="FK589" s="3"/>
      <c r="FL589" s="3"/>
      <c r="FM589" s="3"/>
      <c r="FN589" s="3"/>
      <c r="FO589" s="3"/>
      <c r="FP589" s="3"/>
      <c r="FQ589" s="131"/>
      <c r="FR589" s="15"/>
      <c r="FS589" s="99"/>
      <c r="FT589" s="149"/>
      <c r="FU589" s="134"/>
      <c r="FV589" s="134"/>
      <c r="FW589" s="137"/>
      <c r="FX589" s="150"/>
      <c r="FY589" s="137"/>
      <c r="FZ589" s="137"/>
      <c r="GA589" s="3"/>
      <c r="GB589" s="138"/>
      <c r="GC589" s="2"/>
      <c r="GD589" s="139"/>
      <c r="GE589" s="3"/>
      <c r="GF589" s="3"/>
    </row>
    <row r="590" spans="1:188" s="125" customFormat="1">
      <c r="A590" s="86">
        <v>1</v>
      </c>
      <c r="B590" s="56"/>
      <c r="C590" s="18"/>
      <c r="D590" s="19" t="s">
        <v>1371</v>
      </c>
      <c r="E590" s="20" t="s">
        <v>372</v>
      </c>
      <c r="F590" s="82" t="s">
        <v>941</v>
      </c>
      <c r="G590" s="63"/>
      <c r="H590" s="121">
        <v>4531500</v>
      </c>
      <c r="I590" s="24"/>
      <c r="J590" s="24">
        <f>SUM(H590)/1.05</f>
        <v>4315714.2857142854</v>
      </c>
      <c r="K590" s="24">
        <f t="shared" si="45"/>
        <v>4315714.2857142854</v>
      </c>
      <c r="L590" s="123"/>
      <c r="M590" s="24"/>
      <c r="N590" s="129">
        <f t="shared" si="46"/>
        <v>4315714.2857142854</v>
      </c>
      <c r="O590" s="87" t="s">
        <v>1056</v>
      </c>
      <c r="P590" s="3"/>
      <c r="Q590" s="3"/>
      <c r="R590" s="3"/>
      <c r="S590" s="3"/>
      <c r="T590" s="3"/>
      <c r="U590" s="3"/>
      <c r="V590" s="131"/>
      <c r="W590" s="15"/>
      <c r="X590" s="3"/>
      <c r="Y590" s="3"/>
      <c r="Z590" s="3"/>
      <c r="AA590" s="3"/>
      <c r="AB590" s="3"/>
      <c r="AC590" s="131"/>
      <c r="AD590" s="15"/>
      <c r="AE590" s="99"/>
      <c r="AF590" s="149"/>
      <c r="AG590" s="134"/>
      <c r="AH590" s="134"/>
      <c r="AI590" s="137"/>
      <c r="AJ590" s="150"/>
      <c r="AK590" s="137"/>
      <c r="AL590" s="137"/>
      <c r="AM590" s="3"/>
      <c r="AN590" s="138"/>
      <c r="AO590" s="2"/>
      <c r="AP590" s="139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131"/>
      <c r="BB590" s="15"/>
      <c r="BC590" s="99"/>
      <c r="BD590" s="149"/>
      <c r="BE590" s="134"/>
      <c r="BF590" s="134"/>
      <c r="BG590" s="137"/>
      <c r="BH590" s="150"/>
      <c r="BI590" s="137"/>
      <c r="BJ590" s="137"/>
      <c r="BK590" s="3"/>
      <c r="BL590" s="138"/>
      <c r="BM590" s="2"/>
      <c r="BN590" s="139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131"/>
      <c r="BZ590" s="15"/>
      <c r="CA590" s="99"/>
      <c r="CB590" s="149"/>
      <c r="CC590" s="134"/>
      <c r="CD590" s="134"/>
      <c r="CE590" s="137"/>
      <c r="CF590" s="150"/>
      <c r="CG590" s="137"/>
      <c r="CH590" s="137"/>
      <c r="CI590" s="3"/>
      <c r="CJ590" s="138"/>
      <c r="CK590" s="2"/>
      <c r="CL590" s="139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131"/>
      <c r="CX590" s="15"/>
      <c r="CY590" s="99"/>
      <c r="CZ590" s="149"/>
      <c r="DA590" s="134"/>
      <c r="DB590" s="134"/>
      <c r="DC590" s="137"/>
      <c r="DD590" s="150"/>
      <c r="DE590" s="137"/>
      <c r="DF590" s="137"/>
      <c r="DG590" s="3"/>
      <c r="DH590" s="138"/>
      <c r="DI590" s="2"/>
      <c r="DJ590" s="139"/>
      <c r="DK590" s="3"/>
      <c r="DL590" s="3"/>
      <c r="DM590" s="3"/>
      <c r="DN590" s="3"/>
      <c r="DO590" s="3"/>
      <c r="DP590" s="3"/>
      <c r="DQ590" s="3"/>
      <c r="DR590" s="3"/>
      <c r="DS590" s="3"/>
      <c r="DT590" s="3"/>
      <c r="DU590" s="131"/>
      <c r="DV590" s="15"/>
      <c r="DW590" s="99"/>
      <c r="DX590" s="149"/>
      <c r="DY590" s="134"/>
      <c r="DZ590" s="134"/>
      <c r="EA590" s="137"/>
      <c r="EB590" s="150"/>
      <c r="EC590" s="137"/>
      <c r="ED590" s="137"/>
      <c r="EE590" s="3"/>
      <c r="EF590" s="138"/>
      <c r="EG590" s="2"/>
      <c r="EH590" s="139"/>
      <c r="EI590" s="3"/>
      <c r="EJ590" s="3"/>
      <c r="EK590" s="3"/>
      <c r="EL590" s="3"/>
      <c r="EM590" s="3"/>
      <c r="EN590" s="3"/>
      <c r="EO590" s="3"/>
      <c r="EP590" s="3"/>
      <c r="EQ590" s="3"/>
      <c r="ER590" s="3"/>
      <c r="ES590" s="131"/>
      <c r="ET590" s="15"/>
      <c r="EU590" s="99"/>
      <c r="EV590" s="149"/>
      <c r="EW590" s="134"/>
      <c r="EX590" s="134"/>
      <c r="EY590" s="137"/>
      <c r="EZ590" s="150"/>
      <c r="FA590" s="137"/>
      <c r="FB590" s="137"/>
      <c r="FC590" s="3"/>
      <c r="FD590" s="138"/>
      <c r="FE590" s="2"/>
      <c r="FF590" s="139"/>
      <c r="FG590" s="3"/>
      <c r="FH590" s="3"/>
      <c r="FI590" s="3"/>
      <c r="FJ590" s="3"/>
      <c r="FK590" s="3"/>
      <c r="FL590" s="3"/>
      <c r="FM590" s="3"/>
      <c r="FN590" s="3"/>
      <c r="FO590" s="3"/>
      <c r="FP590" s="3"/>
      <c r="FQ590" s="131"/>
      <c r="FR590" s="15"/>
      <c r="FS590" s="99"/>
      <c r="FT590" s="149"/>
      <c r="FU590" s="134"/>
      <c r="FV590" s="134"/>
      <c r="FW590" s="137"/>
      <c r="FX590" s="150"/>
      <c r="FY590" s="137"/>
      <c r="FZ590" s="137"/>
      <c r="GA590" s="3"/>
      <c r="GB590" s="138"/>
      <c r="GC590" s="2"/>
      <c r="GD590" s="139"/>
      <c r="GE590" s="3"/>
      <c r="GF590" s="3"/>
    </row>
    <row r="591" spans="1:188" s="125" customFormat="1">
      <c r="A591" s="86">
        <v>2</v>
      </c>
      <c r="B591" s="56">
        <v>43025</v>
      </c>
      <c r="C591" s="18"/>
      <c r="D591" s="19" t="s">
        <v>1371</v>
      </c>
      <c r="E591" s="20" t="s">
        <v>372</v>
      </c>
      <c r="F591" s="24" t="s">
        <v>942</v>
      </c>
      <c r="G591" s="238">
        <v>1707</v>
      </c>
      <c r="H591" s="121">
        <v>4788000</v>
      </c>
      <c r="I591" s="24"/>
      <c r="J591" s="199">
        <f>SUM(H591)/1.05</f>
        <v>4560000</v>
      </c>
      <c r="K591" s="24">
        <f t="shared" si="45"/>
        <v>4560000</v>
      </c>
      <c r="L591" s="24"/>
      <c r="M591" s="24">
        <f>K591*L591</f>
        <v>0</v>
      </c>
      <c r="N591" s="129">
        <f t="shared" si="46"/>
        <v>4560000</v>
      </c>
      <c r="O591" s="108" t="s">
        <v>943</v>
      </c>
      <c r="P591" s="3"/>
      <c r="Q591" s="3"/>
      <c r="R591" s="3"/>
      <c r="S591" s="3"/>
      <c r="T591" s="3"/>
      <c r="U591" s="3"/>
      <c r="V591" s="131"/>
      <c r="W591" s="15"/>
      <c r="X591" s="3"/>
      <c r="Y591" s="3"/>
      <c r="Z591" s="3"/>
      <c r="AA591" s="3"/>
      <c r="AB591" s="3"/>
      <c r="AC591" s="131"/>
      <c r="AD591" s="15"/>
      <c r="AE591" s="99"/>
      <c r="AF591" s="149"/>
      <c r="AG591" s="134"/>
      <c r="AH591" s="134"/>
      <c r="AI591" s="137"/>
      <c r="AJ591" s="150"/>
      <c r="AK591" s="137"/>
      <c r="AL591" s="137"/>
      <c r="AM591" s="3"/>
      <c r="AN591" s="138"/>
      <c r="AO591" s="2"/>
      <c r="AP591" s="139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131"/>
      <c r="BB591" s="15"/>
      <c r="BC591" s="99"/>
      <c r="BD591" s="149"/>
      <c r="BE591" s="134"/>
      <c r="BF591" s="134"/>
      <c r="BG591" s="137"/>
      <c r="BH591" s="150"/>
      <c r="BI591" s="137"/>
      <c r="BJ591" s="137"/>
      <c r="BK591" s="3"/>
      <c r="BL591" s="138"/>
      <c r="BM591" s="2"/>
      <c r="BN591" s="139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131"/>
      <c r="BZ591" s="15"/>
      <c r="CA591" s="99"/>
      <c r="CB591" s="149"/>
      <c r="CC591" s="134"/>
      <c r="CD591" s="134"/>
      <c r="CE591" s="137"/>
      <c r="CF591" s="150"/>
      <c r="CG591" s="137"/>
      <c r="CH591" s="137"/>
      <c r="CI591" s="3"/>
      <c r="CJ591" s="138"/>
      <c r="CK591" s="2"/>
      <c r="CL591" s="139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131"/>
      <c r="CX591" s="15"/>
      <c r="CY591" s="99"/>
      <c r="CZ591" s="149"/>
      <c r="DA591" s="134"/>
      <c r="DB591" s="134"/>
      <c r="DC591" s="137"/>
      <c r="DD591" s="150"/>
      <c r="DE591" s="137"/>
      <c r="DF591" s="137"/>
      <c r="DG591" s="3"/>
      <c r="DH591" s="138"/>
      <c r="DI591" s="2"/>
      <c r="DJ591" s="139"/>
      <c r="DK591" s="3"/>
      <c r="DL591" s="3"/>
      <c r="DM591" s="3"/>
      <c r="DN591" s="3"/>
      <c r="DO591" s="3"/>
      <c r="DP591" s="3"/>
      <c r="DQ591" s="3"/>
      <c r="DR591" s="3"/>
      <c r="DS591" s="3"/>
      <c r="DT591" s="3"/>
      <c r="DU591" s="131"/>
      <c r="DV591" s="15"/>
      <c r="DW591" s="99"/>
      <c r="DX591" s="149"/>
      <c r="DY591" s="134"/>
      <c r="DZ591" s="134"/>
      <c r="EA591" s="137"/>
      <c r="EB591" s="150"/>
      <c r="EC591" s="137"/>
      <c r="ED591" s="137"/>
      <c r="EE591" s="3"/>
      <c r="EF591" s="138"/>
      <c r="EG591" s="2"/>
      <c r="EH591" s="139"/>
      <c r="EI591" s="3"/>
      <c r="EJ591" s="3"/>
      <c r="EK591" s="3"/>
      <c r="EL591" s="3"/>
      <c r="EM591" s="3"/>
      <c r="EN591" s="3"/>
      <c r="EO591" s="3"/>
      <c r="EP591" s="3"/>
      <c r="EQ591" s="3"/>
      <c r="ER591" s="3"/>
      <c r="ES591" s="131"/>
      <c r="ET591" s="15"/>
      <c r="EU591" s="99"/>
      <c r="EV591" s="149"/>
      <c r="EW591" s="134"/>
      <c r="EX591" s="134"/>
      <c r="EY591" s="137"/>
      <c r="EZ591" s="150"/>
      <c r="FA591" s="137"/>
      <c r="FB591" s="137"/>
      <c r="FC591" s="3"/>
      <c r="FD591" s="138"/>
      <c r="FE591" s="2"/>
      <c r="FF591" s="139"/>
      <c r="FG591" s="3"/>
      <c r="FH591" s="3"/>
      <c r="FI591" s="3"/>
      <c r="FJ591" s="3"/>
      <c r="FK591" s="3"/>
      <c r="FL591" s="3"/>
      <c r="FM591" s="3"/>
      <c r="FN591" s="3"/>
      <c r="FO591" s="3"/>
      <c r="FP591" s="3"/>
      <c r="FQ591" s="131"/>
      <c r="FR591" s="15"/>
      <c r="FS591" s="99"/>
      <c r="FT591" s="149"/>
      <c r="FU591" s="134"/>
      <c r="FV591" s="134"/>
      <c r="FW591" s="137"/>
      <c r="FX591" s="150"/>
      <c r="FY591" s="137"/>
      <c r="FZ591" s="137"/>
      <c r="GA591" s="3"/>
      <c r="GB591" s="138"/>
      <c r="GC591" s="2"/>
      <c r="GD591" s="139"/>
      <c r="GE591" s="3"/>
      <c r="GF591" s="3"/>
    </row>
    <row r="592" spans="1:188" s="125" customFormat="1">
      <c r="A592" s="86">
        <v>3</v>
      </c>
      <c r="B592" s="56">
        <v>43038</v>
      </c>
      <c r="C592" s="18"/>
      <c r="D592" s="19" t="s">
        <v>1371</v>
      </c>
      <c r="E592" s="20" t="s">
        <v>372</v>
      </c>
      <c r="F592" s="24" t="s">
        <v>944</v>
      </c>
      <c r="G592" s="238">
        <v>1708</v>
      </c>
      <c r="H592" s="121">
        <v>4788000</v>
      </c>
      <c r="I592" s="24"/>
      <c r="J592" s="199">
        <f>SUM(H592)/1.05</f>
        <v>4560000</v>
      </c>
      <c r="K592" s="24">
        <f t="shared" si="45"/>
        <v>4560000</v>
      </c>
      <c r="L592" s="24"/>
      <c r="M592" s="24">
        <f>K592*L592</f>
        <v>0</v>
      </c>
      <c r="N592" s="129">
        <f t="shared" si="46"/>
        <v>4560000</v>
      </c>
      <c r="O592" s="108" t="s">
        <v>945</v>
      </c>
      <c r="P592" s="3"/>
      <c r="Q592" s="3"/>
      <c r="R592" s="3"/>
      <c r="S592" s="3"/>
      <c r="T592" s="3"/>
      <c r="U592" s="3"/>
      <c r="V592" s="131"/>
      <c r="W592" s="15"/>
      <c r="X592" s="3"/>
      <c r="Y592" s="3"/>
      <c r="Z592" s="3"/>
      <c r="AA592" s="3"/>
      <c r="AB592" s="3"/>
      <c r="AC592" s="131"/>
      <c r="AD592" s="15"/>
      <c r="AE592" s="99"/>
      <c r="AF592" s="149"/>
      <c r="AG592" s="134"/>
      <c r="AH592" s="134"/>
      <c r="AI592" s="137"/>
      <c r="AJ592" s="150"/>
      <c r="AK592" s="137"/>
      <c r="AL592" s="137"/>
      <c r="AM592" s="3"/>
      <c r="AN592" s="138"/>
      <c r="AO592" s="2"/>
      <c r="AP592" s="139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131"/>
      <c r="BB592" s="15"/>
      <c r="BC592" s="99"/>
      <c r="BD592" s="149"/>
      <c r="BE592" s="134"/>
      <c r="BF592" s="134"/>
      <c r="BG592" s="137"/>
      <c r="BH592" s="150"/>
      <c r="BI592" s="137"/>
      <c r="BJ592" s="137"/>
      <c r="BK592" s="3"/>
      <c r="BL592" s="138"/>
      <c r="BM592" s="2"/>
      <c r="BN592" s="139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131"/>
      <c r="BZ592" s="15"/>
      <c r="CA592" s="99"/>
      <c r="CB592" s="149"/>
      <c r="CC592" s="134"/>
      <c r="CD592" s="134"/>
      <c r="CE592" s="137"/>
      <c r="CF592" s="150"/>
      <c r="CG592" s="137"/>
      <c r="CH592" s="137"/>
      <c r="CI592" s="3"/>
      <c r="CJ592" s="138"/>
      <c r="CK592" s="2"/>
      <c r="CL592" s="139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131"/>
      <c r="CX592" s="15"/>
      <c r="CY592" s="99"/>
      <c r="CZ592" s="149"/>
      <c r="DA592" s="134"/>
      <c r="DB592" s="134"/>
      <c r="DC592" s="137"/>
      <c r="DD592" s="150"/>
      <c r="DE592" s="137"/>
      <c r="DF592" s="137"/>
      <c r="DG592" s="3"/>
      <c r="DH592" s="138"/>
      <c r="DI592" s="2"/>
      <c r="DJ592" s="139"/>
      <c r="DK592" s="3"/>
      <c r="DL592" s="3"/>
      <c r="DM592" s="3"/>
      <c r="DN592" s="3"/>
      <c r="DO592" s="3"/>
      <c r="DP592" s="3"/>
      <c r="DQ592" s="3"/>
      <c r="DR592" s="3"/>
      <c r="DS592" s="3"/>
      <c r="DT592" s="3"/>
      <c r="DU592" s="131"/>
      <c r="DV592" s="15"/>
      <c r="DW592" s="99"/>
      <c r="DX592" s="149"/>
      <c r="DY592" s="134"/>
      <c r="DZ592" s="134"/>
      <c r="EA592" s="137"/>
      <c r="EB592" s="150"/>
      <c r="EC592" s="137"/>
      <c r="ED592" s="137"/>
      <c r="EE592" s="3"/>
      <c r="EF592" s="138"/>
      <c r="EG592" s="2"/>
      <c r="EH592" s="139"/>
      <c r="EI592" s="3"/>
      <c r="EJ592" s="3"/>
      <c r="EK592" s="3"/>
      <c r="EL592" s="3"/>
      <c r="EM592" s="3"/>
      <c r="EN592" s="3"/>
      <c r="EO592" s="3"/>
      <c r="EP592" s="3"/>
      <c r="EQ592" s="3"/>
      <c r="ER592" s="3"/>
      <c r="ES592" s="131"/>
      <c r="ET592" s="15"/>
      <c r="EU592" s="99"/>
      <c r="EV592" s="149"/>
      <c r="EW592" s="134"/>
      <c r="EX592" s="134"/>
      <c r="EY592" s="137"/>
      <c r="EZ592" s="150"/>
      <c r="FA592" s="137"/>
      <c r="FB592" s="137"/>
      <c r="FC592" s="3"/>
      <c r="FD592" s="138"/>
      <c r="FE592" s="2"/>
      <c r="FF592" s="139"/>
      <c r="FG592" s="3"/>
      <c r="FH592" s="3"/>
      <c r="FI592" s="3"/>
      <c r="FJ592" s="3"/>
      <c r="FK592" s="3"/>
      <c r="FL592" s="3"/>
      <c r="FM592" s="3"/>
      <c r="FN592" s="3"/>
      <c r="FO592" s="3"/>
      <c r="FP592" s="3"/>
      <c r="FQ592" s="131"/>
      <c r="FR592" s="15"/>
      <c r="FS592" s="99"/>
      <c r="FT592" s="149"/>
      <c r="FU592" s="134"/>
      <c r="FV592" s="134"/>
      <c r="FW592" s="137"/>
      <c r="FX592" s="150"/>
      <c r="FY592" s="137"/>
      <c r="FZ592" s="137"/>
      <c r="GA592" s="3"/>
      <c r="GB592" s="138"/>
      <c r="GC592" s="2"/>
      <c r="GD592" s="139"/>
      <c r="GE592" s="3"/>
      <c r="GF592" s="3"/>
    </row>
    <row r="593" spans="1:188" s="125" customFormat="1">
      <c r="A593" s="86">
        <v>4</v>
      </c>
      <c r="B593" s="56">
        <v>42814</v>
      </c>
      <c r="C593" s="18"/>
      <c r="D593" s="19" t="s">
        <v>1371</v>
      </c>
      <c r="E593" s="20" t="s">
        <v>946</v>
      </c>
      <c r="F593" s="24" t="s">
        <v>947</v>
      </c>
      <c r="G593" s="238">
        <v>1701</v>
      </c>
      <c r="H593" s="121"/>
      <c r="I593" s="24">
        <v>2196571</v>
      </c>
      <c r="J593" s="199"/>
      <c r="K593" s="24">
        <f t="shared" si="45"/>
        <v>2196571</v>
      </c>
      <c r="L593" s="24"/>
      <c r="M593" s="24">
        <f>K593*L593</f>
        <v>0</v>
      </c>
      <c r="N593" s="129">
        <f t="shared" si="46"/>
        <v>2196571</v>
      </c>
      <c r="O593" s="108" t="s">
        <v>900</v>
      </c>
      <c r="P593" s="3"/>
      <c r="Q593" s="3"/>
      <c r="R593" s="3"/>
      <c r="S593" s="3"/>
      <c r="T593" s="3"/>
      <c r="U593" s="3"/>
      <c r="V593" s="131"/>
      <c r="W593" s="15"/>
      <c r="X593" s="3"/>
      <c r="Y593" s="3"/>
      <c r="Z593" s="3"/>
      <c r="AA593" s="3"/>
      <c r="AB593" s="3"/>
      <c r="AC593" s="131"/>
      <c r="AD593" s="15"/>
      <c r="AE593" s="99"/>
      <c r="AF593" s="149"/>
      <c r="AG593" s="134"/>
      <c r="AH593" s="134"/>
      <c r="AI593" s="137"/>
      <c r="AJ593" s="150"/>
      <c r="AK593" s="137"/>
      <c r="AL593" s="137"/>
      <c r="AM593" s="3"/>
      <c r="AN593" s="138"/>
      <c r="AO593" s="2"/>
      <c r="AP593" s="139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131"/>
      <c r="BB593" s="15"/>
      <c r="BC593" s="99"/>
      <c r="BD593" s="149"/>
      <c r="BE593" s="134"/>
      <c r="BF593" s="134"/>
      <c r="BG593" s="137"/>
      <c r="BH593" s="150"/>
      <c r="BI593" s="137"/>
      <c r="BJ593" s="137"/>
      <c r="BK593" s="3"/>
      <c r="BL593" s="138"/>
      <c r="BM593" s="2"/>
      <c r="BN593" s="139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131"/>
      <c r="BZ593" s="15"/>
      <c r="CA593" s="99"/>
      <c r="CB593" s="149"/>
      <c r="CC593" s="134"/>
      <c r="CD593" s="134"/>
      <c r="CE593" s="137"/>
      <c r="CF593" s="150"/>
      <c r="CG593" s="137"/>
      <c r="CH593" s="137"/>
      <c r="CI593" s="3"/>
      <c r="CJ593" s="138"/>
      <c r="CK593" s="2"/>
      <c r="CL593" s="139"/>
      <c r="CM593" s="3"/>
      <c r="CN593" s="3"/>
      <c r="CO593" s="3"/>
      <c r="CP593" s="3"/>
      <c r="CQ593" s="3"/>
      <c r="CR593" s="3"/>
      <c r="CS593" s="3"/>
      <c r="CT593" s="3"/>
      <c r="CU593" s="3"/>
      <c r="CV593" s="3"/>
      <c r="CW593" s="131"/>
      <c r="CX593" s="15"/>
      <c r="CY593" s="99"/>
      <c r="CZ593" s="149"/>
      <c r="DA593" s="134"/>
      <c r="DB593" s="134"/>
      <c r="DC593" s="137"/>
      <c r="DD593" s="150"/>
      <c r="DE593" s="137"/>
      <c r="DF593" s="137"/>
      <c r="DG593" s="3"/>
      <c r="DH593" s="138"/>
      <c r="DI593" s="2"/>
      <c r="DJ593" s="139"/>
      <c r="DK593" s="3"/>
      <c r="DL593" s="3"/>
      <c r="DM593" s="3"/>
      <c r="DN593" s="3"/>
      <c r="DO593" s="3"/>
      <c r="DP593" s="3"/>
      <c r="DQ593" s="3"/>
      <c r="DR593" s="3"/>
      <c r="DS593" s="3"/>
      <c r="DT593" s="3"/>
      <c r="DU593" s="131"/>
      <c r="DV593" s="15"/>
      <c r="DW593" s="99"/>
      <c r="DX593" s="149"/>
      <c r="DY593" s="134"/>
      <c r="DZ593" s="134"/>
      <c r="EA593" s="137"/>
      <c r="EB593" s="150"/>
      <c r="EC593" s="137"/>
      <c r="ED593" s="137"/>
      <c r="EE593" s="3"/>
      <c r="EF593" s="138"/>
      <c r="EG593" s="2"/>
      <c r="EH593" s="139"/>
      <c r="EI593" s="3"/>
      <c r="EJ593" s="3"/>
      <c r="EK593" s="3"/>
      <c r="EL593" s="3"/>
      <c r="EM593" s="3"/>
      <c r="EN593" s="3"/>
      <c r="EO593" s="3"/>
      <c r="EP593" s="3"/>
      <c r="EQ593" s="3"/>
      <c r="ER593" s="3"/>
      <c r="ES593" s="131"/>
      <c r="ET593" s="15"/>
      <c r="EU593" s="99"/>
      <c r="EV593" s="149"/>
      <c r="EW593" s="134"/>
      <c r="EX593" s="134"/>
      <c r="EY593" s="137"/>
      <c r="EZ593" s="150"/>
      <c r="FA593" s="137"/>
      <c r="FB593" s="137"/>
      <c r="FC593" s="3"/>
      <c r="FD593" s="138"/>
      <c r="FE593" s="2"/>
      <c r="FF593" s="139"/>
      <c r="FG593" s="3"/>
      <c r="FH593" s="3"/>
      <c r="FI593" s="3"/>
      <c r="FJ593" s="3"/>
      <c r="FK593" s="3"/>
      <c r="FL593" s="3"/>
      <c r="FM593" s="3"/>
      <c r="FN593" s="3"/>
      <c r="FO593" s="3"/>
      <c r="FP593" s="3"/>
      <c r="FQ593" s="131"/>
      <c r="FR593" s="15"/>
      <c r="FS593" s="99"/>
      <c r="FT593" s="149"/>
      <c r="FU593" s="134"/>
      <c r="FV593" s="134"/>
      <c r="FW593" s="137"/>
      <c r="FX593" s="150"/>
      <c r="FY593" s="137"/>
      <c r="FZ593" s="137"/>
      <c r="GA593" s="3"/>
      <c r="GB593" s="138"/>
      <c r="GC593" s="2"/>
      <c r="GD593" s="139"/>
      <c r="GE593" s="3"/>
      <c r="GF593" s="3"/>
    </row>
    <row r="594" spans="1:188" s="125" customFormat="1">
      <c r="A594" s="86">
        <v>5</v>
      </c>
      <c r="B594" s="56">
        <v>42986</v>
      </c>
      <c r="C594" s="18"/>
      <c r="D594" s="19" t="s">
        <v>1371</v>
      </c>
      <c r="E594" s="20" t="s">
        <v>428</v>
      </c>
      <c r="F594" s="24" t="s">
        <v>948</v>
      </c>
      <c r="G594" s="238">
        <v>1707</v>
      </c>
      <c r="H594" s="121">
        <v>3152700</v>
      </c>
      <c r="I594" s="24">
        <v>3002571</v>
      </c>
      <c r="J594" s="199"/>
      <c r="K594" s="24">
        <f t="shared" si="45"/>
        <v>3002571</v>
      </c>
      <c r="L594" s="24"/>
      <c r="M594" s="24">
        <f>K594*L594</f>
        <v>0</v>
      </c>
      <c r="N594" s="129">
        <f t="shared" si="46"/>
        <v>3002571</v>
      </c>
      <c r="O594" s="108" t="s">
        <v>900</v>
      </c>
      <c r="P594" s="3"/>
      <c r="Q594" s="3"/>
      <c r="R594" s="3"/>
      <c r="S594" s="3"/>
      <c r="T594" s="3"/>
      <c r="U594" s="3"/>
      <c r="V594" s="131"/>
      <c r="W594" s="15"/>
      <c r="X594" s="3"/>
      <c r="Y594" s="3"/>
      <c r="Z594" s="3"/>
      <c r="AA594" s="3"/>
      <c r="AB594" s="3"/>
      <c r="AC594" s="131"/>
      <c r="AD594" s="15"/>
      <c r="AE594" s="99"/>
      <c r="AF594" s="149"/>
      <c r="AG594" s="134"/>
      <c r="AH594" s="134"/>
      <c r="AI594" s="137"/>
      <c r="AJ594" s="150"/>
      <c r="AK594" s="137"/>
      <c r="AL594" s="137"/>
      <c r="AM594" s="3"/>
      <c r="AN594" s="138"/>
      <c r="AO594" s="2"/>
      <c r="AP594" s="139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131"/>
      <c r="BB594" s="15"/>
      <c r="BC594" s="99"/>
      <c r="BD594" s="149"/>
      <c r="BE594" s="134"/>
      <c r="BF594" s="134"/>
      <c r="BG594" s="137"/>
      <c r="BH594" s="150"/>
      <c r="BI594" s="137"/>
      <c r="BJ594" s="137"/>
      <c r="BK594" s="3"/>
      <c r="BL594" s="138"/>
      <c r="BM594" s="2"/>
      <c r="BN594" s="139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131"/>
      <c r="BZ594" s="15"/>
      <c r="CA594" s="99"/>
      <c r="CB594" s="149"/>
      <c r="CC594" s="134"/>
      <c r="CD594" s="134"/>
      <c r="CE594" s="137"/>
      <c r="CF594" s="150"/>
      <c r="CG594" s="137"/>
      <c r="CH594" s="137"/>
      <c r="CI594" s="3"/>
      <c r="CJ594" s="138"/>
      <c r="CK594" s="2"/>
      <c r="CL594" s="139"/>
      <c r="CM594" s="3"/>
      <c r="CN594" s="3"/>
      <c r="CO594" s="3"/>
      <c r="CP594" s="3"/>
      <c r="CQ594" s="3"/>
      <c r="CR594" s="3"/>
      <c r="CS594" s="3"/>
      <c r="CT594" s="3"/>
      <c r="CU594" s="3"/>
      <c r="CV594" s="3"/>
      <c r="CW594" s="131"/>
      <c r="CX594" s="15"/>
      <c r="CY594" s="99"/>
      <c r="CZ594" s="149"/>
      <c r="DA594" s="134"/>
      <c r="DB594" s="134"/>
      <c r="DC594" s="137"/>
      <c r="DD594" s="150"/>
      <c r="DE594" s="137"/>
      <c r="DF594" s="137"/>
      <c r="DG594" s="3"/>
      <c r="DH594" s="138"/>
      <c r="DI594" s="2"/>
      <c r="DJ594" s="139"/>
      <c r="DK594" s="3"/>
      <c r="DL594" s="3"/>
      <c r="DM594" s="3"/>
      <c r="DN594" s="3"/>
      <c r="DO594" s="3"/>
      <c r="DP594" s="3"/>
      <c r="DQ594" s="3"/>
      <c r="DR594" s="3"/>
      <c r="DS594" s="3"/>
      <c r="DT594" s="3"/>
      <c r="DU594" s="131"/>
      <c r="DV594" s="15"/>
      <c r="DW594" s="99"/>
      <c r="DX594" s="149"/>
      <c r="DY594" s="134"/>
      <c r="DZ594" s="134"/>
      <c r="EA594" s="137"/>
      <c r="EB594" s="150"/>
      <c r="EC594" s="137"/>
      <c r="ED594" s="137"/>
      <c r="EE594" s="3"/>
      <c r="EF594" s="138"/>
      <c r="EG594" s="2"/>
      <c r="EH594" s="139"/>
      <c r="EI594" s="3"/>
      <c r="EJ594" s="3"/>
      <c r="EK594" s="3"/>
      <c r="EL594" s="3"/>
      <c r="EM594" s="3"/>
      <c r="EN594" s="3"/>
      <c r="EO594" s="3"/>
      <c r="EP594" s="3"/>
      <c r="EQ594" s="3"/>
      <c r="ER594" s="3"/>
      <c r="ES594" s="131"/>
      <c r="ET594" s="15"/>
      <c r="EU594" s="99"/>
      <c r="EV594" s="149"/>
      <c r="EW594" s="134"/>
      <c r="EX594" s="134"/>
      <c r="EY594" s="137"/>
      <c r="EZ594" s="150"/>
      <c r="FA594" s="137"/>
      <c r="FB594" s="137"/>
      <c r="FC594" s="3"/>
      <c r="FD594" s="138"/>
      <c r="FE594" s="2"/>
      <c r="FF594" s="139"/>
      <c r="FG594" s="3"/>
      <c r="FH594" s="3"/>
      <c r="FI594" s="3"/>
      <c r="FJ594" s="3"/>
      <c r="FK594" s="3"/>
      <c r="FL594" s="3"/>
      <c r="FM594" s="3"/>
      <c r="FN594" s="3"/>
      <c r="FO594" s="3"/>
      <c r="FP594" s="3"/>
      <c r="FQ594" s="131"/>
      <c r="FR594" s="15"/>
      <c r="FS594" s="99"/>
      <c r="FT594" s="149"/>
      <c r="FU594" s="134"/>
      <c r="FV594" s="134"/>
      <c r="FW594" s="137"/>
      <c r="FX594" s="150"/>
      <c r="FY594" s="137"/>
      <c r="FZ594" s="137"/>
      <c r="GA594" s="3"/>
      <c r="GB594" s="138"/>
      <c r="GC594" s="2"/>
      <c r="GD594" s="139"/>
      <c r="GE594" s="3"/>
      <c r="GF594" s="3"/>
    </row>
    <row r="595" spans="1:188" s="125" customFormat="1">
      <c r="A595" s="86">
        <v>6</v>
      </c>
      <c r="B595" s="56"/>
      <c r="C595" s="18"/>
      <c r="D595" s="19" t="s">
        <v>1371</v>
      </c>
      <c r="E595" s="20" t="s">
        <v>1404</v>
      </c>
      <c r="F595" s="82" t="s">
        <v>1405</v>
      </c>
      <c r="G595" s="58"/>
      <c r="H595" s="121"/>
      <c r="I595" s="24">
        <v>2267429</v>
      </c>
      <c r="J595" s="24"/>
      <c r="K595" s="199">
        <f t="shared" si="45"/>
        <v>2267429</v>
      </c>
      <c r="L595" s="26"/>
      <c r="M595" s="24"/>
      <c r="N595" s="129">
        <f t="shared" si="46"/>
        <v>2267429</v>
      </c>
      <c r="O595" s="108"/>
      <c r="P595" s="3"/>
      <c r="Q595" s="3"/>
      <c r="R595" s="3"/>
      <c r="S595" s="3"/>
      <c r="T595" s="3"/>
      <c r="U595" s="3"/>
      <c r="V595" s="131"/>
      <c r="W595" s="15"/>
      <c r="X595" s="3"/>
      <c r="Y595" s="3"/>
      <c r="Z595" s="3"/>
      <c r="AA595" s="3"/>
      <c r="AB595" s="3"/>
      <c r="AC595" s="131"/>
      <c r="AD595" s="15"/>
      <c r="AE595" s="99"/>
      <c r="AF595" s="149"/>
      <c r="AG595" s="134"/>
      <c r="AH595" s="134"/>
      <c r="AI595" s="137"/>
      <c r="AJ595" s="150"/>
      <c r="AK595" s="137"/>
      <c r="AL595" s="137"/>
      <c r="AM595" s="3"/>
      <c r="AN595" s="138"/>
      <c r="AO595" s="2"/>
      <c r="AP595" s="139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131"/>
      <c r="BB595" s="15"/>
      <c r="BC595" s="99"/>
      <c r="BD595" s="149"/>
      <c r="BE595" s="134"/>
      <c r="BF595" s="134"/>
      <c r="BG595" s="137"/>
      <c r="BH595" s="150"/>
      <c r="BI595" s="137"/>
      <c r="BJ595" s="137"/>
      <c r="BK595" s="3"/>
      <c r="BL595" s="138"/>
      <c r="BM595" s="2"/>
      <c r="BN595" s="139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131"/>
      <c r="BZ595" s="15"/>
      <c r="CA595" s="99"/>
      <c r="CB595" s="149"/>
      <c r="CC595" s="134"/>
      <c r="CD595" s="134"/>
      <c r="CE595" s="137"/>
      <c r="CF595" s="150"/>
      <c r="CG595" s="137"/>
      <c r="CH595" s="137"/>
      <c r="CI595" s="3"/>
      <c r="CJ595" s="138"/>
      <c r="CK595" s="2"/>
      <c r="CL595" s="139"/>
      <c r="CM595" s="3"/>
      <c r="CN595" s="3"/>
      <c r="CO595" s="3"/>
      <c r="CP595" s="3"/>
      <c r="CQ595" s="3"/>
      <c r="CR595" s="3"/>
      <c r="CS595" s="3"/>
      <c r="CT595" s="3"/>
      <c r="CU595" s="3"/>
      <c r="CV595" s="3"/>
      <c r="CW595" s="131"/>
      <c r="CX595" s="15"/>
      <c r="CY595" s="99"/>
      <c r="CZ595" s="149"/>
      <c r="DA595" s="134"/>
      <c r="DB595" s="134"/>
      <c r="DC595" s="137"/>
      <c r="DD595" s="150"/>
      <c r="DE595" s="137"/>
      <c r="DF595" s="137"/>
      <c r="DG595" s="3"/>
      <c r="DH595" s="138"/>
      <c r="DI595" s="2"/>
      <c r="DJ595" s="139"/>
      <c r="DK595" s="3"/>
      <c r="DL595" s="3"/>
      <c r="DM595" s="3"/>
      <c r="DN595" s="3"/>
      <c r="DO595" s="3"/>
      <c r="DP595" s="3"/>
      <c r="DQ595" s="3"/>
      <c r="DR595" s="3"/>
      <c r="DS595" s="3"/>
      <c r="DT595" s="3"/>
      <c r="DU595" s="131"/>
      <c r="DV595" s="15"/>
      <c r="DW595" s="99"/>
      <c r="DX595" s="149"/>
      <c r="DY595" s="134"/>
      <c r="DZ595" s="134"/>
      <c r="EA595" s="137"/>
      <c r="EB595" s="150"/>
      <c r="EC595" s="137"/>
      <c r="ED595" s="137"/>
      <c r="EE595" s="3"/>
      <c r="EF595" s="138"/>
      <c r="EG595" s="2"/>
      <c r="EH595" s="139"/>
      <c r="EI595" s="3"/>
      <c r="EJ595" s="3"/>
      <c r="EK595" s="3"/>
      <c r="EL595" s="3"/>
      <c r="EM595" s="3"/>
      <c r="EN595" s="3"/>
      <c r="EO595" s="3"/>
      <c r="EP595" s="3"/>
      <c r="EQ595" s="3"/>
      <c r="ER595" s="3"/>
      <c r="ES595" s="131"/>
      <c r="ET595" s="15"/>
      <c r="EU595" s="99"/>
      <c r="EV595" s="149"/>
      <c r="EW595" s="134"/>
      <c r="EX595" s="134"/>
      <c r="EY595" s="137"/>
      <c r="EZ595" s="150"/>
      <c r="FA595" s="137"/>
      <c r="FB595" s="137"/>
      <c r="FC595" s="3"/>
      <c r="FD595" s="138"/>
      <c r="FE595" s="2"/>
      <c r="FF595" s="139"/>
      <c r="FG595" s="3"/>
      <c r="FH595" s="3"/>
      <c r="FI595" s="3"/>
      <c r="FJ595" s="3"/>
      <c r="FK595" s="3"/>
      <c r="FL595" s="3"/>
      <c r="FM595" s="3"/>
      <c r="FN595" s="3"/>
      <c r="FO595" s="3"/>
      <c r="FP595" s="3"/>
      <c r="FQ595" s="131"/>
      <c r="FR595" s="15"/>
      <c r="FS595" s="99"/>
      <c r="FT595" s="149"/>
      <c r="FU595" s="134"/>
      <c r="FV595" s="134"/>
      <c r="FW595" s="137"/>
      <c r="FX595" s="150"/>
      <c r="FY595" s="137"/>
      <c r="FZ595" s="137"/>
      <c r="GA595" s="3"/>
      <c r="GB595" s="138"/>
      <c r="GC595" s="2"/>
      <c r="GD595" s="139"/>
      <c r="GE595" s="3"/>
      <c r="GF595" s="3"/>
    </row>
    <row r="596" spans="1:188" s="125" customFormat="1">
      <c r="A596" s="86">
        <v>7</v>
      </c>
      <c r="B596" s="56"/>
      <c r="C596" s="18"/>
      <c r="D596" s="19" t="s">
        <v>1371</v>
      </c>
      <c r="E596" s="265" t="s">
        <v>602</v>
      </c>
      <c r="F596" s="24" t="s">
        <v>951</v>
      </c>
      <c r="G596" s="238"/>
      <c r="H596" s="121"/>
      <c r="I596" s="24"/>
      <c r="J596" s="24">
        <v>4924571</v>
      </c>
      <c r="K596" s="24">
        <v>4924571</v>
      </c>
      <c r="L596" s="24"/>
      <c r="M596" s="24"/>
      <c r="N596" s="129">
        <v>4924571</v>
      </c>
      <c r="O596" s="87" t="s">
        <v>1056</v>
      </c>
      <c r="P596" s="3"/>
      <c r="Q596" s="3"/>
      <c r="R596" s="3"/>
      <c r="S596" s="3"/>
      <c r="T596" s="3"/>
      <c r="U596" s="3"/>
      <c r="V596" s="131"/>
      <c r="W596" s="15"/>
      <c r="X596" s="3"/>
      <c r="Y596" s="3"/>
      <c r="Z596" s="3"/>
      <c r="AA596" s="3"/>
      <c r="AB596" s="3"/>
      <c r="AC596" s="131"/>
      <c r="AD596" s="15"/>
      <c r="AE596" s="99"/>
      <c r="AF596" s="149"/>
      <c r="AG596" s="134"/>
      <c r="AH596" s="134"/>
      <c r="AI596" s="137"/>
      <c r="AJ596" s="150"/>
      <c r="AK596" s="137"/>
      <c r="AL596" s="137"/>
      <c r="AM596" s="3"/>
      <c r="AN596" s="138"/>
      <c r="AO596" s="2"/>
      <c r="AP596" s="139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131"/>
      <c r="BB596" s="15"/>
      <c r="BC596" s="99"/>
      <c r="BD596" s="149"/>
      <c r="BE596" s="134"/>
      <c r="BF596" s="134"/>
      <c r="BG596" s="137"/>
      <c r="BH596" s="150"/>
      <c r="BI596" s="137"/>
      <c r="BJ596" s="137"/>
      <c r="BK596" s="3"/>
      <c r="BL596" s="138"/>
      <c r="BM596" s="2"/>
      <c r="BN596" s="139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131"/>
      <c r="BZ596" s="15"/>
      <c r="CA596" s="99"/>
      <c r="CB596" s="149"/>
      <c r="CC596" s="134"/>
      <c r="CD596" s="134"/>
      <c r="CE596" s="137"/>
      <c r="CF596" s="150"/>
      <c r="CG596" s="137"/>
      <c r="CH596" s="137"/>
      <c r="CI596" s="3"/>
      <c r="CJ596" s="138"/>
      <c r="CK596" s="2"/>
      <c r="CL596" s="139"/>
      <c r="CM596" s="3"/>
      <c r="CN596" s="3"/>
      <c r="CO596" s="3"/>
      <c r="CP596" s="3"/>
      <c r="CQ596" s="3"/>
      <c r="CR596" s="3"/>
      <c r="CS596" s="3"/>
      <c r="CT596" s="3"/>
      <c r="CU596" s="3"/>
      <c r="CV596" s="3"/>
      <c r="CW596" s="131"/>
      <c r="CX596" s="15"/>
      <c r="CY596" s="99"/>
      <c r="CZ596" s="149"/>
      <c r="DA596" s="134"/>
      <c r="DB596" s="134"/>
      <c r="DC596" s="137"/>
      <c r="DD596" s="150"/>
      <c r="DE596" s="137"/>
      <c r="DF596" s="137"/>
      <c r="DG596" s="3"/>
      <c r="DH596" s="138"/>
      <c r="DI596" s="2"/>
      <c r="DJ596" s="139"/>
      <c r="DK596" s="3"/>
      <c r="DL596" s="3"/>
      <c r="DM596" s="3"/>
      <c r="DN596" s="3"/>
      <c r="DO596" s="3"/>
      <c r="DP596" s="3"/>
      <c r="DQ596" s="3"/>
      <c r="DR596" s="3"/>
      <c r="DS596" s="3"/>
      <c r="DT596" s="3"/>
      <c r="DU596" s="131"/>
      <c r="DV596" s="15"/>
      <c r="DW596" s="99"/>
      <c r="DX596" s="149"/>
      <c r="DY596" s="134"/>
      <c r="DZ596" s="134"/>
      <c r="EA596" s="137"/>
      <c r="EB596" s="150"/>
      <c r="EC596" s="137"/>
      <c r="ED596" s="137"/>
      <c r="EE596" s="3"/>
      <c r="EF596" s="138"/>
      <c r="EG596" s="2"/>
      <c r="EH596" s="139"/>
      <c r="EI596" s="3"/>
      <c r="EJ596" s="3"/>
      <c r="EK596" s="3"/>
      <c r="EL596" s="3"/>
      <c r="EM596" s="3"/>
      <c r="EN596" s="3"/>
      <c r="EO596" s="3"/>
      <c r="EP596" s="3"/>
      <c r="EQ596" s="3"/>
      <c r="ER596" s="3"/>
      <c r="ES596" s="131"/>
      <c r="ET596" s="15"/>
      <c r="EU596" s="99"/>
      <c r="EV596" s="149"/>
      <c r="EW596" s="134"/>
      <c r="EX596" s="134"/>
      <c r="EY596" s="137"/>
      <c r="EZ596" s="150"/>
      <c r="FA596" s="137"/>
      <c r="FB596" s="137"/>
      <c r="FC596" s="3"/>
      <c r="FD596" s="138"/>
      <c r="FE596" s="2"/>
      <c r="FF596" s="139"/>
      <c r="FG596" s="3"/>
      <c r="FH596" s="3"/>
      <c r="FI596" s="3"/>
      <c r="FJ596" s="3"/>
      <c r="FK596" s="3"/>
      <c r="FL596" s="3"/>
      <c r="FM596" s="3"/>
      <c r="FN596" s="3"/>
      <c r="FO596" s="3"/>
      <c r="FP596" s="3"/>
      <c r="FQ596" s="131"/>
      <c r="FR596" s="15"/>
      <c r="FS596" s="99"/>
      <c r="FT596" s="149"/>
      <c r="FU596" s="134"/>
      <c r="FV596" s="134"/>
      <c r="FW596" s="137"/>
      <c r="FX596" s="150"/>
      <c r="FY596" s="137"/>
      <c r="FZ596" s="137"/>
      <c r="GA596" s="3"/>
      <c r="GB596" s="138"/>
      <c r="GC596" s="2"/>
      <c r="GD596" s="139"/>
      <c r="GE596" s="3"/>
      <c r="GF596" s="3"/>
    </row>
    <row r="597" spans="1:188" s="125" customFormat="1">
      <c r="A597" s="86">
        <v>8</v>
      </c>
      <c r="B597" s="56"/>
      <c r="C597" s="18"/>
      <c r="D597" s="19" t="s">
        <v>1371</v>
      </c>
      <c r="E597" s="20" t="s">
        <v>1189</v>
      </c>
      <c r="F597" s="82" t="s">
        <v>1406</v>
      </c>
      <c r="G597" s="58"/>
      <c r="H597" s="121"/>
      <c r="I597" s="24">
        <v>2300762</v>
      </c>
      <c r="J597" s="24"/>
      <c r="K597" s="199">
        <f>I597+J597</f>
        <v>2300762</v>
      </c>
      <c r="L597" s="26"/>
      <c r="M597" s="24"/>
      <c r="N597" s="129">
        <f>K597-M597</f>
        <v>2300762</v>
      </c>
      <c r="O597" s="87" t="s">
        <v>1056</v>
      </c>
      <c r="P597" s="3"/>
      <c r="Q597" s="3"/>
      <c r="R597" s="3"/>
      <c r="S597" s="3"/>
      <c r="T597" s="3"/>
      <c r="U597" s="3"/>
      <c r="V597" s="131"/>
      <c r="W597" s="15"/>
      <c r="X597" s="3"/>
      <c r="Y597" s="3"/>
      <c r="Z597" s="3"/>
      <c r="AA597" s="3"/>
      <c r="AB597" s="3"/>
      <c r="AC597" s="131"/>
      <c r="AD597" s="15"/>
      <c r="AE597" s="99"/>
      <c r="AF597" s="149"/>
      <c r="AG597" s="134"/>
      <c r="AH597" s="134"/>
      <c r="AI597" s="137"/>
      <c r="AJ597" s="150"/>
      <c r="AK597" s="137"/>
      <c r="AL597" s="137"/>
      <c r="AM597" s="3"/>
      <c r="AN597" s="138"/>
      <c r="AO597" s="2"/>
      <c r="AP597" s="139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131"/>
      <c r="BB597" s="15"/>
      <c r="BC597" s="99"/>
      <c r="BD597" s="149"/>
      <c r="BE597" s="134"/>
      <c r="BF597" s="134"/>
      <c r="BG597" s="137"/>
      <c r="BH597" s="150"/>
      <c r="BI597" s="137"/>
      <c r="BJ597" s="137"/>
      <c r="BK597" s="3"/>
      <c r="BL597" s="138"/>
      <c r="BM597" s="2"/>
      <c r="BN597" s="139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131"/>
      <c r="BZ597" s="15"/>
      <c r="CA597" s="99"/>
      <c r="CB597" s="149"/>
      <c r="CC597" s="134"/>
      <c r="CD597" s="134"/>
      <c r="CE597" s="137"/>
      <c r="CF597" s="150"/>
      <c r="CG597" s="137"/>
      <c r="CH597" s="137"/>
      <c r="CI597" s="3"/>
      <c r="CJ597" s="138"/>
      <c r="CK597" s="2"/>
      <c r="CL597" s="139"/>
      <c r="CM597" s="3"/>
      <c r="CN597" s="3"/>
      <c r="CO597" s="3"/>
      <c r="CP597" s="3"/>
      <c r="CQ597" s="3"/>
      <c r="CR597" s="3"/>
      <c r="CS597" s="3"/>
      <c r="CT597" s="3"/>
      <c r="CU597" s="3"/>
      <c r="CV597" s="3"/>
      <c r="CW597" s="131"/>
      <c r="CX597" s="15"/>
      <c r="CY597" s="99"/>
      <c r="CZ597" s="149"/>
      <c r="DA597" s="134"/>
      <c r="DB597" s="134"/>
      <c r="DC597" s="137"/>
      <c r="DD597" s="150"/>
      <c r="DE597" s="137"/>
      <c r="DF597" s="137"/>
      <c r="DG597" s="3"/>
      <c r="DH597" s="138"/>
      <c r="DI597" s="2"/>
      <c r="DJ597" s="139"/>
      <c r="DK597" s="3"/>
      <c r="DL597" s="3"/>
      <c r="DM597" s="3"/>
      <c r="DN597" s="3"/>
      <c r="DO597" s="3"/>
      <c r="DP597" s="3"/>
      <c r="DQ597" s="3"/>
      <c r="DR597" s="3"/>
      <c r="DS597" s="3"/>
      <c r="DT597" s="3"/>
      <c r="DU597" s="131"/>
      <c r="DV597" s="15"/>
      <c r="DW597" s="99"/>
      <c r="DX597" s="149"/>
      <c r="DY597" s="134"/>
      <c r="DZ597" s="134"/>
      <c r="EA597" s="137"/>
      <c r="EB597" s="150"/>
      <c r="EC597" s="137"/>
      <c r="ED597" s="137"/>
      <c r="EE597" s="3"/>
      <c r="EF597" s="138"/>
      <c r="EG597" s="2"/>
      <c r="EH597" s="139"/>
      <c r="EI597" s="3"/>
      <c r="EJ597" s="3"/>
      <c r="EK597" s="3"/>
      <c r="EL597" s="3"/>
      <c r="EM597" s="3"/>
      <c r="EN597" s="3"/>
      <c r="EO597" s="3"/>
      <c r="EP597" s="3"/>
      <c r="EQ597" s="3"/>
      <c r="ER597" s="3"/>
      <c r="ES597" s="131"/>
      <c r="ET597" s="15"/>
      <c r="EU597" s="99"/>
      <c r="EV597" s="149"/>
      <c r="EW597" s="134"/>
      <c r="EX597" s="134"/>
      <c r="EY597" s="137"/>
      <c r="EZ597" s="150"/>
      <c r="FA597" s="137"/>
      <c r="FB597" s="137"/>
      <c r="FC597" s="3"/>
      <c r="FD597" s="138"/>
      <c r="FE597" s="2"/>
      <c r="FF597" s="139"/>
      <c r="FG597" s="3"/>
      <c r="FH597" s="3"/>
      <c r="FI597" s="3"/>
      <c r="FJ597" s="3"/>
      <c r="FK597" s="3"/>
      <c r="FL597" s="3"/>
      <c r="FM597" s="3"/>
      <c r="FN597" s="3"/>
      <c r="FO597" s="3"/>
      <c r="FP597" s="3"/>
      <c r="FQ597" s="131"/>
      <c r="FR597" s="15"/>
      <c r="FS597" s="99"/>
      <c r="FT597" s="149"/>
      <c r="FU597" s="134"/>
      <c r="FV597" s="134"/>
      <c r="FW597" s="137"/>
      <c r="FX597" s="150"/>
      <c r="FY597" s="137"/>
      <c r="FZ597" s="137"/>
      <c r="GA597" s="3"/>
      <c r="GB597" s="138"/>
      <c r="GC597" s="2"/>
      <c r="GD597" s="139"/>
      <c r="GE597" s="3"/>
      <c r="GF597" s="3"/>
    </row>
    <row r="598" spans="1:188" s="125" customFormat="1">
      <c r="A598" s="86">
        <v>9</v>
      </c>
      <c r="B598" s="56"/>
      <c r="C598" s="18"/>
      <c r="D598" s="19" t="s">
        <v>1371</v>
      </c>
      <c r="E598" s="20" t="s">
        <v>1189</v>
      </c>
      <c r="F598" s="82" t="s">
        <v>1407</v>
      </c>
      <c r="G598" s="58"/>
      <c r="H598" s="121"/>
      <c r="I598" s="24">
        <v>1579619</v>
      </c>
      <c r="J598" s="24"/>
      <c r="K598" s="199">
        <f>I598+J598</f>
        <v>1579619</v>
      </c>
      <c r="L598" s="26"/>
      <c r="M598" s="24"/>
      <c r="N598" s="129">
        <f>K598-M598</f>
        <v>1579619</v>
      </c>
      <c r="O598" s="108"/>
      <c r="P598" s="3"/>
      <c r="Q598" s="3"/>
      <c r="R598" s="3"/>
      <c r="S598" s="3"/>
      <c r="T598" s="3"/>
      <c r="U598" s="3"/>
      <c r="V598" s="131"/>
      <c r="W598" s="15"/>
      <c r="X598" s="3"/>
      <c r="Y598" s="3"/>
      <c r="Z598" s="3"/>
      <c r="AA598" s="3"/>
      <c r="AB598" s="3"/>
      <c r="AC598" s="131"/>
      <c r="AD598" s="15"/>
      <c r="AE598" s="99"/>
      <c r="AF598" s="149"/>
      <c r="AG598" s="134"/>
      <c r="AH598" s="134"/>
      <c r="AI598" s="137"/>
      <c r="AJ598" s="150"/>
      <c r="AK598" s="137"/>
      <c r="AL598" s="137"/>
      <c r="AM598" s="3"/>
      <c r="AN598" s="138"/>
      <c r="AO598" s="2"/>
      <c r="AP598" s="139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131"/>
      <c r="BB598" s="15"/>
      <c r="BC598" s="99"/>
      <c r="BD598" s="149"/>
      <c r="BE598" s="134"/>
      <c r="BF598" s="134"/>
      <c r="BG598" s="137"/>
      <c r="BH598" s="150"/>
      <c r="BI598" s="137"/>
      <c r="BJ598" s="137"/>
      <c r="BK598" s="3"/>
      <c r="BL598" s="138"/>
      <c r="BM598" s="2"/>
      <c r="BN598" s="139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131"/>
      <c r="BZ598" s="15"/>
      <c r="CA598" s="99"/>
      <c r="CB598" s="149"/>
      <c r="CC598" s="134"/>
      <c r="CD598" s="134"/>
      <c r="CE598" s="137"/>
      <c r="CF598" s="150"/>
      <c r="CG598" s="137"/>
      <c r="CH598" s="137"/>
      <c r="CI598" s="3"/>
      <c r="CJ598" s="138"/>
      <c r="CK598" s="2"/>
      <c r="CL598" s="139"/>
      <c r="CM598" s="3"/>
      <c r="CN598" s="3"/>
      <c r="CO598" s="3"/>
      <c r="CP598" s="3"/>
      <c r="CQ598" s="3"/>
      <c r="CR598" s="3"/>
      <c r="CS598" s="3"/>
      <c r="CT598" s="3"/>
      <c r="CU598" s="3"/>
      <c r="CV598" s="3"/>
      <c r="CW598" s="131"/>
      <c r="CX598" s="15"/>
      <c r="CY598" s="99"/>
      <c r="CZ598" s="149"/>
      <c r="DA598" s="134"/>
      <c r="DB598" s="134"/>
      <c r="DC598" s="137"/>
      <c r="DD598" s="150"/>
      <c r="DE598" s="137"/>
      <c r="DF598" s="137"/>
      <c r="DG598" s="3"/>
      <c r="DH598" s="138"/>
      <c r="DI598" s="2"/>
      <c r="DJ598" s="139"/>
      <c r="DK598" s="3"/>
      <c r="DL598" s="3"/>
      <c r="DM598" s="3"/>
      <c r="DN598" s="3"/>
      <c r="DO598" s="3"/>
      <c r="DP598" s="3"/>
      <c r="DQ598" s="3"/>
      <c r="DR598" s="3"/>
      <c r="DS598" s="3"/>
      <c r="DT598" s="3"/>
      <c r="DU598" s="131"/>
      <c r="DV598" s="15"/>
      <c r="DW598" s="99"/>
      <c r="DX598" s="149"/>
      <c r="DY598" s="134"/>
      <c r="DZ598" s="134"/>
      <c r="EA598" s="137"/>
      <c r="EB598" s="150"/>
      <c r="EC598" s="137"/>
      <c r="ED598" s="137"/>
      <c r="EE598" s="3"/>
      <c r="EF598" s="138"/>
      <c r="EG598" s="2"/>
      <c r="EH598" s="139"/>
      <c r="EI598" s="3"/>
      <c r="EJ598" s="3"/>
      <c r="EK598" s="3"/>
      <c r="EL598" s="3"/>
      <c r="EM598" s="3"/>
      <c r="EN598" s="3"/>
      <c r="EO598" s="3"/>
      <c r="EP598" s="3"/>
      <c r="EQ598" s="3"/>
      <c r="ER598" s="3"/>
      <c r="ES598" s="131"/>
      <c r="ET598" s="15"/>
      <c r="EU598" s="99"/>
      <c r="EV598" s="149"/>
      <c r="EW598" s="134"/>
      <c r="EX598" s="134"/>
      <c r="EY598" s="137"/>
      <c r="EZ598" s="150"/>
      <c r="FA598" s="137"/>
      <c r="FB598" s="137"/>
      <c r="FC598" s="3"/>
      <c r="FD598" s="138"/>
      <c r="FE598" s="2"/>
      <c r="FF598" s="139"/>
      <c r="FG598" s="3"/>
      <c r="FH598" s="3"/>
      <c r="FI598" s="3"/>
      <c r="FJ598" s="3"/>
      <c r="FK598" s="3"/>
      <c r="FL598" s="3"/>
      <c r="FM598" s="3"/>
      <c r="FN598" s="3"/>
      <c r="FO598" s="3"/>
      <c r="FP598" s="3"/>
      <c r="FQ598" s="131"/>
      <c r="FR598" s="15"/>
      <c r="FS598" s="99"/>
      <c r="FT598" s="149"/>
      <c r="FU598" s="134"/>
      <c r="FV598" s="134"/>
      <c r="FW598" s="137"/>
      <c r="FX598" s="150"/>
      <c r="FY598" s="137"/>
      <c r="FZ598" s="137"/>
      <c r="GA598" s="3"/>
      <c r="GB598" s="138"/>
      <c r="GC598" s="2"/>
      <c r="GD598" s="139"/>
      <c r="GE598" s="3"/>
      <c r="GF598" s="3"/>
    </row>
    <row r="599" spans="1:188" s="125" customFormat="1">
      <c r="A599" s="86">
        <v>10</v>
      </c>
      <c r="B599" s="56"/>
      <c r="C599" s="18"/>
      <c r="D599" s="19" t="s">
        <v>1371</v>
      </c>
      <c r="E599" s="20" t="s">
        <v>954</v>
      </c>
      <c r="F599" s="24" t="s">
        <v>955</v>
      </c>
      <c r="G599" s="238"/>
      <c r="H599" s="121"/>
      <c r="I599" s="24">
        <v>1709714</v>
      </c>
      <c r="J599" s="24"/>
      <c r="K599" s="24">
        <v>1709714</v>
      </c>
      <c r="L599" s="24"/>
      <c r="M599" s="24"/>
      <c r="N599" s="129">
        <v>1709714</v>
      </c>
      <c r="O599" s="87" t="s">
        <v>1056</v>
      </c>
      <c r="P599" s="3"/>
      <c r="Q599" s="3"/>
      <c r="R599" s="3"/>
      <c r="S599" s="3"/>
      <c r="T599" s="3"/>
      <c r="U599" s="3"/>
      <c r="V599" s="131"/>
      <c r="W599" s="15"/>
      <c r="X599" s="3"/>
      <c r="Y599" s="3"/>
      <c r="Z599" s="3"/>
      <c r="AA599" s="3"/>
      <c r="AB599" s="3"/>
      <c r="AC599" s="131"/>
      <c r="AD599" s="15"/>
      <c r="AE599" s="99"/>
      <c r="AF599" s="149"/>
      <c r="AG599" s="134"/>
      <c r="AH599" s="134"/>
      <c r="AI599" s="137"/>
      <c r="AJ599" s="150"/>
      <c r="AK599" s="137"/>
      <c r="AL599" s="137"/>
      <c r="AM599" s="3"/>
      <c r="AN599" s="138"/>
      <c r="AO599" s="2"/>
      <c r="AP599" s="139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131"/>
      <c r="BB599" s="15"/>
      <c r="BC599" s="99"/>
      <c r="BD599" s="149"/>
      <c r="BE599" s="134"/>
      <c r="BF599" s="134"/>
      <c r="BG599" s="137"/>
      <c r="BH599" s="150"/>
      <c r="BI599" s="137"/>
      <c r="BJ599" s="137"/>
      <c r="BK599" s="3"/>
      <c r="BL599" s="138"/>
      <c r="BM599" s="2"/>
      <c r="BN599" s="139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131"/>
      <c r="BZ599" s="15"/>
      <c r="CA599" s="99"/>
      <c r="CB599" s="149"/>
      <c r="CC599" s="134"/>
      <c r="CD599" s="134"/>
      <c r="CE599" s="137"/>
      <c r="CF599" s="150"/>
      <c r="CG599" s="137"/>
      <c r="CH599" s="137"/>
      <c r="CI599" s="3"/>
      <c r="CJ599" s="138"/>
      <c r="CK599" s="2"/>
      <c r="CL599" s="139"/>
      <c r="CM599" s="3"/>
      <c r="CN599" s="3"/>
      <c r="CO599" s="3"/>
      <c r="CP599" s="3"/>
      <c r="CQ599" s="3"/>
      <c r="CR599" s="3"/>
      <c r="CS599" s="3"/>
      <c r="CT599" s="3"/>
      <c r="CU599" s="3"/>
      <c r="CV599" s="3"/>
      <c r="CW599" s="131"/>
      <c r="CX599" s="15"/>
      <c r="CY599" s="99"/>
      <c r="CZ599" s="149"/>
      <c r="DA599" s="134"/>
      <c r="DB599" s="134"/>
      <c r="DC599" s="137"/>
      <c r="DD599" s="150"/>
      <c r="DE599" s="137"/>
      <c r="DF599" s="137"/>
      <c r="DG599" s="3"/>
      <c r="DH599" s="138"/>
      <c r="DI599" s="2"/>
      <c r="DJ599" s="139"/>
      <c r="DK599" s="3"/>
      <c r="DL599" s="3"/>
      <c r="DM599" s="3"/>
      <c r="DN599" s="3"/>
      <c r="DO599" s="3"/>
      <c r="DP599" s="3"/>
      <c r="DQ599" s="3"/>
      <c r="DR599" s="3"/>
      <c r="DS599" s="3"/>
      <c r="DT599" s="3"/>
      <c r="DU599" s="131"/>
      <c r="DV599" s="15"/>
      <c r="DW599" s="99"/>
      <c r="DX599" s="149"/>
      <c r="DY599" s="134"/>
      <c r="DZ599" s="134"/>
      <c r="EA599" s="137"/>
      <c r="EB599" s="150"/>
      <c r="EC599" s="137"/>
      <c r="ED599" s="137"/>
      <c r="EE599" s="3"/>
      <c r="EF599" s="138"/>
      <c r="EG599" s="2"/>
      <c r="EH599" s="139"/>
      <c r="EI599" s="3"/>
      <c r="EJ599" s="3"/>
      <c r="EK599" s="3"/>
      <c r="EL599" s="3"/>
      <c r="EM599" s="3"/>
      <c r="EN599" s="3"/>
      <c r="EO599" s="3"/>
      <c r="EP599" s="3"/>
      <c r="EQ599" s="3"/>
      <c r="ER599" s="3"/>
      <c r="ES599" s="131"/>
      <c r="ET599" s="15"/>
      <c r="EU599" s="99"/>
      <c r="EV599" s="149"/>
      <c r="EW599" s="134"/>
      <c r="EX599" s="134"/>
      <c r="EY599" s="137"/>
      <c r="EZ599" s="150"/>
      <c r="FA599" s="137"/>
      <c r="FB599" s="137"/>
      <c r="FC599" s="3"/>
      <c r="FD599" s="138"/>
      <c r="FE599" s="2"/>
      <c r="FF599" s="139"/>
      <c r="FG599" s="3"/>
      <c r="FH599" s="3"/>
      <c r="FI599" s="3"/>
      <c r="FJ599" s="3"/>
      <c r="FK599" s="3"/>
      <c r="FL599" s="3"/>
      <c r="FM599" s="3"/>
      <c r="FN599" s="3"/>
      <c r="FO599" s="3"/>
      <c r="FP599" s="3"/>
      <c r="FQ599" s="131"/>
      <c r="FR599" s="15"/>
      <c r="FS599" s="99"/>
      <c r="FT599" s="149"/>
      <c r="FU599" s="134"/>
      <c r="FV599" s="134"/>
      <c r="FW599" s="137"/>
      <c r="FX599" s="150"/>
      <c r="FY599" s="137"/>
      <c r="FZ599" s="137"/>
      <c r="GA599" s="3"/>
      <c r="GB599" s="138"/>
      <c r="GC599" s="2"/>
      <c r="GD599" s="139"/>
      <c r="GE599" s="3"/>
      <c r="GF599" s="3"/>
    </row>
    <row r="600" spans="1:188" s="125" customFormat="1">
      <c r="A600" s="86">
        <v>11</v>
      </c>
      <c r="B600" s="56">
        <v>43035</v>
      </c>
      <c r="C600" s="18"/>
      <c r="D600" s="19" t="s">
        <v>1371</v>
      </c>
      <c r="E600" s="20" t="s">
        <v>447</v>
      </c>
      <c r="F600" s="24" t="s">
        <v>956</v>
      </c>
      <c r="G600" s="238">
        <v>1708</v>
      </c>
      <c r="H600" s="121">
        <v>1627500</v>
      </c>
      <c r="I600" s="24"/>
      <c r="J600" s="199">
        <f>SUM(H600)/1.05</f>
        <v>1550000</v>
      </c>
      <c r="K600" s="24">
        <f>I600+J600</f>
        <v>1550000</v>
      </c>
      <c r="L600" s="24"/>
      <c r="M600" s="24">
        <f>K600*L600</f>
        <v>0</v>
      </c>
      <c r="N600" s="129">
        <f>K600-M600</f>
        <v>1550000</v>
      </c>
      <c r="O600" s="108" t="s">
        <v>957</v>
      </c>
      <c r="P600" s="3"/>
      <c r="Q600" s="3"/>
      <c r="R600" s="3"/>
      <c r="S600" s="3"/>
      <c r="T600" s="3"/>
      <c r="U600" s="3"/>
      <c r="V600" s="131"/>
      <c r="W600" s="15"/>
      <c r="X600" s="3"/>
      <c r="Y600" s="3"/>
      <c r="Z600" s="3"/>
      <c r="AA600" s="3"/>
      <c r="AB600" s="3"/>
      <c r="AC600" s="131"/>
      <c r="AD600" s="15"/>
      <c r="AE600" s="99"/>
      <c r="AF600" s="149"/>
      <c r="AG600" s="134"/>
      <c r="AH600" s="134"/>
      <c r="AI600" s="137"/>
      <c r="AJ600" s="150"/>
      <c r="AK600" s="137"/>
      <c r="AL600" s="137"/>
      <c r="AM600" s="3"/>
      <c r="AN600" s="138"/>
      <c r="AO600" s="2"/>
      <c r="AP600" s="139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131"/>
      <c r="BB600" s="15"/>
      <c r="BC600" s="99"/>
      <c r="BD600" s="149"/>
      <c r="BE600" s="134"/>
      <c r="BF600" s="134"/>
      <c r="BG600" s="137"/>
      <c r="BH600" s="150"/>
      <c r="BI600" s="137"/>
      <c r="BJ600" s="137"/>
      <c r="BK600" s="3"/>
      <c r="BL600" s="138"/>
      <c r="BM600" s="2"/>
      <c r="BN600" s="139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131"/>
      <c r="BZ600" s="15"/>
      <c r="CA600" s="99"/>
      <c r="CB600" s="149"/>
      <c r="CC600" s="134"/>
      <c r="CD600" s="134"/>
      <c r="CE600" s="137"/>
      <c r="CF600" s="150"/>
      <c r="CG600" s="137"/>
      <c r="CH600" s="137"/>
      <c r="CI600" s="3"/>
      <c r="CJ600" s="138"/>
      <c r="CK600" s="2"/>
      <c r="CL600" s="139"/>
      <c r="CM600" s="3"/>
      <c r="CN600" s="3"/>
      <c r="CO600" s="3"/>
      <c r="CP600" s="3"/>
      <c r="CQ600" s="3"/>
      <c r="CR600" s="3"/>
      <c r="CS600" s="3"/>
      <c r="CT600" s="3"/>
      <c r="CU600" s="3"/>
      <c r="CV600" s="3"/>
      <c r="CW600" s="131"/>
      <c r="CX600" s="15"/>
      <c r="CY600" s="99"/>
      <c r="CZ600" s="149"/>
      <c r="DA600" s="134"/>
      <c r="DB600" s="134"/>
      <c r="DC600" s="137"/>
      <c r="DD600" s="150"/>
      <c r="DE600" s="137"/>
      <c r="DF600" s="137"/>
      <c r="DG600" s="3"/>
      <c r="DH600" s="138"/>
      <c r="DI600" s="2"/>
      <c r="DJ600" s="139"/>
      <c r="DK600" s="3"/>
      <c r="DL600" s="3"/>
      <c r="DM600" s="3"/>
      <c r="DN600" s="3"/>
      <c r="DO600" s="3"/>
      <c r="DP600" s="3"/>
      <c r="DQ600" s="3"/>
      <c r="DR600" s="3"/>
      <c r="DS600" s="3"/>
      <c r="DT600" s="3"/>
      <c r="DU600" s="131"/>
      <c r="DV600" s="15"/>
      <c r="DW600" s="99"/>
      <c r="DX600" s="149"/>
      <c r="DY600" s="134"/>
      <c r="DZ600" s="134"/>
      <c r="EA600" s="137"/>
      <c r="EB600" s="150"/>
      <c r="EC600" s="137"/>
      <c r="ED600" s="137"/>
      <c r="EE600" s="3"/>
      <c r="EF600" s="138"/>
      <c r="EG600" s="2"/>
      <c r="EH600" s="139"/>
      <c r="EI600" s="3"/>
      <c r="EJ600" s="3"/>
      <c r="EK600" s="3"/>
      <c r="EL600" s="3"/>
      <c r="EM600" s="3"/>
      <c r="EN600" s="3"/>
      <c r="EO600" s="3"/>
      <c r="EP600" s="3"/>
      <c r="EQ600" s="3"/>
      <c r="ER600" s="3"/>
      <c r="ES600" s="131"/>
      <c r="ET600" s="15"/>
      <c r="EU600" s="99"/>
      <c r="EV600" s="149"/>
      <c r="EW600" s="134"/>
      <c r="EX600" s="134"/>
      <c r="EY600" s="137"/>
      <c r="EZ600" s="150"/>
      <c r="FA600" s="137"/>
      <c r="FB600" s="137"/>
      <c r="FC600" s="3"/>
      <c r="FD600" s="138"/>
      <c r="FE600" s="2"/>
      <c r="FF600" s="139"/>
      <c r="FG600" s="3"/>
      <c r="FH600" s="3"/>
      <c r="FI600" s="3"/>
      <c r="FJ600" s="3"/>
      <c r="FK600" s="3"/>
      <c r="FL600" s="3"/>
      <c r="FM600" s="3"/>
      <c r="FN600" s="3"/>
      <c r="FO600" s="3"/>
      <c r="FP600" s="3"/>
      <c r="FQ600" s="131"/>
      <c r="FR600" s="15"/>
      <c r="FS600" s="99"/>
      <c r="FT600" s="149"/>
      <c r="FU600" s="134"/>
      <c r="FV600" s="134"/>
      <c r="FW600" s="137"/>
      <c r="FX600" s="150"/>
      <c r="FY600" s="137"/>
      <c r="FZ600" s="137"/>
      <c r="GA600" s="3"/>
      <c r="GB600" s="138"/>
      <c r="GC600" s="2"/>
      <c r="GD600" s="139"/>
      <c r="GE600" s="3"/>
      <c r="GF600" s="3"/>
    </row>
    <row r="601" spans="1:188" s="125" customFormat="1">
      <c r="A601" s="86">
        <v>12</v>
      </c>
      <c r="B601" s="56">
        <v>43038</v>
      </c>
      <c r="C601" s="18"/>
      <c r="D601" s="19" t="s">
        <v>1371</v>
      </c>
      <c r="E601" s="20" t="s">
        <v>454</v>
      </c>
      <c r="F601" s="24" t="s">
        <v>958</v>
      </c>
      <c r="G601" s="238">
        <v>1708</v>
      </c>
      <c r="H601" s="121">
        <v>1822800</v>
      </c>
      <c r="I601" s="24"/>
      <c r="J601" s="199">
        <f>SUM(H601)/1.05</f>
        <v>1736000</v>
      </c>
      <c r="K601" s="24">
        <f>I601+J601</f>
        <v>1736000</v>
      </c>
      <c r="L601" s="24"/>
      <c r="M601" s="24">
        <f>K601*L601</f>
        <v>0</v>
      </c>
      <c r="N601" s="129">
        <f>K601-M601</f>
        <v>1736000</v>
      </c>
      <c r="O601" s="108" t="s">
        <v>957</v>
      </c>
      <c r="P601" s="3"/>
      <c r="Q601" s="3"/>
      <c r="R601" s="3"/>
      <c r="S601" s="3"/>
      <c r="T601" s="3"/>
      <c r="U601" s="3"/>
      <c r="V601" s="131"/>
      <c r="W601" s="15"/>
      <c r="X601" s="3"/>
      <c r="Y601" s="3"/>
      <c r="Z601" s="3"/>
      <c r="AA601" s="3"/>
      <c r="AB601" s="3"/>
      <c r="AC601" s="131"/>
      <c r="AD601" s="15"/>
      <c r="AE601" s="99"/>
      <c r="AF601" s="149"/>
      <c r="AG601" s="134"/>
      <c r="AH601" s="134"/>
      <c r="AI601" s="137"/>
      <c r="AJ601" s="150"/>
      <c r="AK601" s="137"/>
      <c r="AL601" s="137"/>
      <c r="AM601" s="3"/>
      <c r="AN601" s="138"/>
      <c r="AO601" s="2"/>
      <c r="AP601" s="139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131"/>
      <c r="BB601" s="15"/>
      <c r="BC601" s="99"/>
      <c r="BD601" s="149"/>
      <c r="BE601" s="134"/>
      <c r="BF601" s="134"/>
      <c r="BG601" s="137"/>
      <c r="BH601" s="150"/>
      <c r="BI601" s="137"/>
      <c r="BJ601" s="137"/>
      <c r="BK601" s="3"/>
      <c r="BL601" s="138"/>
      <c r="BM601" s="2"/>
      <c r="BN601" s="139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131"/>
      <c r="BZ601" s="15"/>
      <c r="CA601" s="99"/>
      <c r="CB601" s="149"/>
      <c r="CC601" s="134"/>
      <c r="CD601" s="134"/>
      <c r="CE601" s="137"/>
      <c r="CF601" s="150"/>
      <c r="CG601" s="137"/>
      <c r="CH601" s="137"/>
      <c r="CI601" s="3"/>
      <c r="CJ601" s="138"/>
      <c r="CK601" s="2"/>
      <c r="CL601" s="139"/>
      <c r="CM601" s="3"/>
      <c r="CN601" s="3"/>
      <c r="CO601" s="3"/>
      <c r="CP601" s="3"/>
      <c r="CQ601" s="3"/>
      <c r="CR601" s="3"/>
      <c r="CS601" s="3"/>
      <c r="CT601" s="3"/>
      <c r="CU601" s="3"/>
      <c r="CV601" s="3"/>
      <c r="CW601" s="131"/>
      <c r="CX601" s="15"/>
      <c r="CY601" s="99"/>
      <c r="CZ601" s="149"/>
      <c r="DA601" s="134"/>
      <c r="DB601" s="134"/>
      <c r="DC601" s="137"/>
      <c r="DD601" s="150"/>
      <c r="DE601" s="137"/>
      <c r="DF601" s="137"/>
      <c r="DG601" s="3"/>
      <c r="DH601" s="138"/>
      <c r="DI601" s="2"/>
      <c r="DJ601" s="139"/>
      <c r="DK601" s="3"/>
      <c r="DL601" s="3"/>
      <c r="DM601" s="3"/>
      <c r="DN601" s="3"/>
      <c r="DO601" s="3"/>
      <c r="DP601" s="3"/>
      <c r="DQ601" s="3"/>
      <c r="DR601" s="3"/>
      <c r="DS601" s="3"/>
      <c r="DT601" s="3"/>
      <c r="DU601" s="131"/>
      <c r="DV601" s="15"/>
      <c r="DW601" s="99"/>
      <c r="DX601" s="149"/>
      <c r="DY601" s="134"/>
      <c r="DZ601" s="134"/>
      <c r="EA601" s="137"/>
      <c r="EB601" s="150"/>
      <c r="EC601" s="137"/>
      <c r="ED601" s="137"/>
      <c r="EE601" s="3"/>
      <c r="EF601" s="138"/>
      <c r="EG601" s="2"/>
      <c r="EH601" s="139"/>
      <c r="EI601" s="3"/>
      <c r="EJ601" s="3"/>
      <c r="EK601" s="3"/>
      <c r="EL601" s="3"/>
      <c r="EM601" s="3"/>
      <c r="EN601" s="3"/>
      <c r="EO601" s="3"/>
      <c r="EP601" s="3"/>
      <c r="EQ601" s="3"/>
      <c r="ER601" s="3"/>
      <c r="ES601" s="131"/>
      <c r="ET601" s="15"/>
      <c r="EU601" s="99"/>
      <c r="EV601" s="149"/>
      <c r="EW601" s="134"/>
      <c r="EX601" s="134"/>
      <c r="EY601" s="137"/>
      <c r="EZ601" s="150"/>
      <c r="FA601" s="137"/>
      <c r="FB601" s="137"/>
      <c r="FC601" s="3"/>
      <c r="FD601" s="138"/>
      <c r="FE601" s="2"/>
      <c r="FF601" s="139"/>
      <c r="FG601" s="3"/>
      <c r="FH601" s="3"/>
      <c r="FI601" s="3"/>
      <c r="FJ601" s="3"/>
      <c r="FK601" s="3"/>
      <c r="FL601" s="3"/>
      <c r="FM601" s="3"/>
      <c r="FN601" s="3"/>
      <c r="FO601" s="3"/>
      <c r="FP601" s="3"/>
      <c r="FQ601" s="131"/>
      <c r="FR601" s="15"/>
      <c r="FS601" s="99"/>
      <c r="FT601" s="149"/>
      <c r="FU601" s="134"/>
      <c r="FV601" s="134"/>
      <c r="FW601" s="137"/>
      <c r="FX601" s="150"/>
      <c r="FY601" s="137"/>
      <c r="FZ601" s="137"/>
      <c r="GA601" s="3"/>
      <c r="GB601" s="138"/>
      <c r="GC601" s="2"/>
      <c r="GD601" s="139"/>
      <c r="GE601" s="3"/>
      <c r="GF601" s="3"/>
    </row>
    <row r="602" spans="1:188" s="125" customFormat="1">
      <c r="A602" s="86">
        <v>13</v>
      </c>
      <c r="B602" s="56"/>
      <c r="C602" s="18"/>
      <c r="D602" s="19" t="s">
        <v>1371</v>
      </c>
      <c r="E602" s="20" t="s">
        <v>1203</v>
      </c>
      <c r="F602" s="82" t="s">
        <v>1408</v>
      </c>
      <c r="G602" s="58"/>
      <c r="H602" s="121"/>
      <c r="I602" s="24">
        <v>1792000</v>
      </c>
      <c r="J602" s="24"/>
      <c r="K602" s="199">
        <f>I602+J602</f>
        <v>1792000</v>
      </c>
      <c r="L602" s="26"/>
      <c r="M602" s="24"/>
      <c r="N602" s="129">
        <f>K602-M602</f>
        <v>1792000</v>
      </c>
      <c r="O602" s="87" t="s">
        <v>1056</v>
      </c>
      <c r="P602" s="3"/>
      <c r="Q602" s="3"/>
      <c r="R602" s="3"/>
      <c r="S602" s="3"/>
      <c r="T602" s="3"/>
      <c r="U602" s="3"/>
      <c r="V602" s="131"/>
      <c r="W602" s="15"/>
      <c r="X602" s="3"/>
      <c r="Y602" s="3"/>
      <c r="Z602" s="3"/>
      <c r="AA602" s="3"/>
      <c r="AB602" s="3"/>
      <c r="AC602" s="131"/>
      <c r="AD602" s="15"/>
      <c r="AE602" s="99"/>
      <c r="AF602" s="149"/>
      <c r="AG602" s="134"/>
      <c r="AH602" s="134"/>
      <c r="AI602" s="137"/>
      <c r="AJ602" s="150"/>
      <c r="AK602" s="137"/>
      <c r="AL602" s="137"/>
      <c r="AM602" s="3"/>
      <c r="AN602" s="138"/>
      <c r="AO602" s="2"/>
      <c r="AP602" s="139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131"/>
      <c r="BB602" s="15"/>
      <c r="BC602" s="99"/>
      <c r="BD602" s="149"/>
      <c r="BE602" s="134"/>
      <c r="BF602" s="134"/>
      <c r="BG602" s="137"/>
      <c r="BH602" s="150"/>
      <c r="BI602" s="137"/>
      <c r="BJ602" s="137"/>
      <c r="BK602" s="3"/>
      <c r="BL602" s="138"/>
      <c r="BM602" s="2"/>
      <c r="BN602" s="139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131"/>
      <c r="BZ602" s="15"/>
      <c r="CA602" s="99"/>
      <c r="CB602" s="149"/>
      <c r="CC602" s="134"/>
      <c r="CD602" s="134"/>
      <c r="CE602" s="137"/>
      <c r="CF602" s="150"/>
      <c r="CG602" s="137"/>
      <c r="CH602" s="137"/>
      <c r="CI602" s="3"/>
      <c r="CJ602" s="138"/>
      <c r="CK602" s="2"/>
      <c r="CL602" s="139"/>
      <c r="CM602" s="3"/>
      <c r="CN602" s="3"/>
      <c r="CO602" s="3"/>
      <c r="CP602" s="3"/>
      <c r="CQ602" s="3"/>
      <c r="CR602" s="3"/>
      <c r="CS602" s="3"/>
      <c r="CT602" s="3"/>
      <c r="CU602" s="3"/>
      <c r="CV602" s="3"/>
      <c r="CW602" s="131"/>
      <c r="CX602" s="15"/>
      <c r="CY602" s="99"/>
      <c r="CZ602" s="149"/>
      <c r="DA602" s="134"/>
      <c r="DB602" s="134"/>
      <c r="DC602" s="137"/>
      <c r="DD602" s="150"/>
      <c r="DE602" s="137"/>
      <c r="DF602" s="137"/>
      <c r="DG602" s="3"/>
      <c r="DH602" s="138"/>
      <c r="DI602" s="2"/>
      <c r="DJ602" s="139"/>
      <c r="DK602" s="3"/>
      <c r="DL602" s="3"/>
      <c r="DM602" s="3"/>
      <c r="DN602" s="3"/>
      <c r="DO602" s="3"/>
      <c r="DP602" s="3"/>
      <c r="DQ602" s="3"/>
      <c r="DR602" s="3"/>
      <c r="DS602" s="3"/>
      <c r="DT602" s="3"/>
      <c r="DU602" s="131"/>
      <c r="DV602" s="15"/>
      <c r="DW602" s="99"/>
      <c r="DX602" s="149"/>
      <c r="DY602" s="134"/>
      <c r="DZ602" s="134"/>
      <c r="EA602" s="137"/>
      <c r="EB602" s="150"/>
      <c r="EC602" s="137"/>
      <c r="ED602" s="137"/>
      <c r="EE602" s="3"/>
      <c r="EF602" s="138"/>
      <c r="EG602" s="2"/>
      <c r="EH602" s="139"/>
      <c r="EI602" s="3"/>
      <c r="EJ602" s="3"/>
      <c r="EK602" s="3"/>
      <c r="EL602" s="3"/>
      <c r="EM602" s="3"/>
      <c r="EN602" s="3"/>
      <c r="EO602" s="3"/>
      <c r="EP602" s="3"/>
      <c r="EQ602" s="3"/>
      <c r="ER602" s="3"/>
      <c r="ES602" s="131"/>
      <c r="ET602" s="15"/>
      <c r="EU602" s="99"/>
      <c r="EV602" s="149"/>
      <c r="EW602" s="134"/>
      <c r="EX602" s="134"/>
      <c r="EY602" s="137"/>
      <c r="EZ602" s="150"/>
      <c r="FA602" s="137"/>
      <c r="FB602" s="137"/>
      <c r="FC602" s="3"/>
      <c r="FD602" s="138"/>
      <c r="FE602" s="2"/>
      <c r="FF602" s="139"/>
      <c r="FG602" s="3"/>
      <c r="FH602" s="3"/>
      <c r="FI602" s="3"/>
      <c r="FJ602" s="3"/>
      <c r="FK602" s="3"/>
      <c r="FL602" s="3"/>
      <c r="FM602" s="3"/>
      <c r="FN602" s="3"/>
      <c r="FO602" s="3"/>
      <c r="FP602" s="3"/>
      <c r="FQ602" s="131"/>
      <c r="FR602" s="15"/>
      <c r="FS602" s="99"/>
      <c r="FT602" s="149"/>
      <c r="FU602" s="134"/>
      <c r="FV602" s="134"/>
      <c r="FW602" s="137"/>
      <c r="FX602" s="150"/>
      <c r="FY602" s="137"/>
      <c r="FZ602" s="137"/>
      <c r="GA602" s="3"/>
      <c r="GB602" s="138"/>
      <c r="GC602" s="2"/>
      <c r="GD602" s="139"/>
      <c r="GE602" s="3"/>
      <c r="GF602" s="3"/>
    </row>
    <row r="603" spans="1:188" s="125" customFormat="1">
      <c r="A603" s="86">
        <v>14</v>
      </c>
      <c r="B603" s="56"/>
      <c r="C603" s="18"/>
      <c r="D603" s="19" t="s">
        <v>1371</v>
      </c>
      <c r="E603" s="20" t="s">
        <v>960</v>
      </c>
      <c r="F603" s="24" t="s">
        <v>961</v>
      </c>
      <c r="G603" s="238"/>
      <c r="H603" s="121"/>
      <c r="I603" s="24"/>
      <c r="J603" s="24">
        <v>2059048</v>
      </c>
      <c r="K603" s="24">
        <v>2059048</v>
      </c>
      <c r="L603" s="24"/>
      <c r="M603" s="24"/>
      <c r="N603" s="129">
        <v>2059048</v>
      </c>
      <c r="O603" s="87" t="s">
        <v>1056</v>
      </c>
      <c r="P603" s="3"/>
      <c r="Q603" s="3"/>
      <c r="R603" s="3"/>
      <c r="S603" s="3"/>
      <c r="T603" s="3"/>
      <c r="U603" s="3"/>
      <c r="V603" s="131"/>
      <c r="W603" s="15"/>
      <c r="X603" s="3"/>
      <c r="Y603" s="3"/>
      <c r="Z603" s="3"/>
      <c r="AA603" s="3"/>
      <c r="AB603" s="3"/>
      <c r="AC603" s="131"/>
      <c r="AD603" s="15"/>
      <c r="AE603" s="99"/>
      <c r="AF603" s="149"/>
      <c r="AG603" s="134"/>
      <c r="AH603" s="134"/>
      <c r="AI603" s="137"/>
      <c r="AJ603" s="150"/>
      <c r="AK603" s="137"/>
      <c r="AL603" s="137"/>
      <c r="AM603" s="3"/>
      <c r="AN603" s="138"/>
      <c r="AO603" s="2"/>
      <c r="AP603" s="139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131"/>
      <c r="BB603" s="15"/>
      <c r="BC603" s="99"/>
      <c r="BD603" s="149"/>
      <c r="BE603" s="134"/>
      <c r="BF603" s="134"/>
      <c r="BG603" s="137"/>
      <c r="BH603" s="150"/>
      <c r="BI603" s="137"/>
      <c r="BJ603" s="137"/>
      <c r="BK603" s="3"/>
      <c r="BL603" s="138"/>
      <c r="BM603" s="2"/>
      <c r="BN603" s="139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131"/>
      <c r="BZ603" s="15"/>
      <c r="CA603" s="99"/>
      <c r="CB603" s="149"/>
      <c r="CC603" s="134"/>
      <c r="CD603" s="134"/>
      <c r="CE603" s="137"/>
      <c r="CF603" s="150"/>
      <c r="CG603" s="137"/>
      <c r="CH603" s="137"/>
      <c r="CI603" s="3"/>
      <c r="CJ603" s="138"/>
      <c r="CK603" s="2"/>
      <c r="CL603" s="139"/>
      <c r="CM603" s="3"/>
      <c r="CN603" s="3"/>
      <c r="CO603" s="3"/>
      <c r="CP603" s="3"/>
      <c r="CQ603" s="3"/>
      <c r="CR603" s="3"/>
      <c r="CS603" s="3"/>
      <c r="CT603" s="3"/>
      <c r="CU603" s="3"/>
      <c r="CV603" s="3"/>
      <c r="CW603" s="131"/>
      <c r="CX603" s="15"/>
      <c r="CY603" s="99"/>
      <c r="CZ603" s="149"/>
      <c r="DA603" s="134"/>
      <c r="DB603" s="134"/>
      <c r="DC603" s="137"/>
      <c r="DD603" s="150"/>
      <c r="DE603" s="137"/>
      <c r="DF603" s="137"/>
      <c r="DG603" s="3"/>
      <c r="DH603" s="138"/>
      <c r="DI603" s="2"/>
      <c r="DJ603" s="139"/>
      <c r="DK603" s="3"/>
      <c r="DL603" s="3"/>
      <c r="DM603" s="3"/>
      <c r="DN603" s="3"/>
      <c r="DO603" s="3"/>
      <c r="DP603" s="3"/>
      <c r="DQ603" s="3"/>
      <c r="DR603" s="3"/>
      <c r="DS603" s="3"/>
      <c r="DT603" s="3"/>
      <c r="DU603" s="131"/>
      <c r="DV603" s="15"/>
      <c r="DW603" s="99"/>
      <c r="DX603" s="149"/>
      <c r="DY603" s="134"/>
      <c r="DZ603" s="134"/>
      <c r="EA603" s="137"/>
      <c r="EB603" s="150"/>
      <c r="EC603" s="137"/>
      <c r="ED603" s="137"/>
      <c r="EE603" s="3"/>
      <c r="EF603" s="138"/>
      <c r="EG603" s="2"/>
      <c r="EH603" s="139"/>
      <c r="EI603" s="3"/>
      <c r="EJ603" s="3"/>
      <c r="EK603" s="3"/>
      <c r="EL603" s="3"/>
      <c r="EM603" s="3"/>
      <c r="EN603" s="3"/>
      <c r="EO603" s="3"/>
      <c r="EP603" s="3"/>
      <c r="EQ603" s="3"/>
      <c r="ER603" s="3"/>
      <c r="ES603" s="131"/>
      <c r="ET603" s="15"/>
      <c r="EU603" s="99"/>
      <c r="EV603" s="149"/>
      <c r="EW603" s="134"/>
      <c r="EX603" s="134"/>
      <c r="EY603" s="137"/>
      <c r="EZ603" s="150"/>
      <c r="FA603" s="137"/>
      <c r="FB603" s="137"/>
      <c r="FC603" s="3"/>
      <c r="FD603" s="138"/>
      <c r="FE603" s="2"/>
      <c r="FF603" s="139"/>
      <c r="FG603" s="3"/>
      <c r="FH603" s="3"/>
      <c r="FI603" s="3"/>
      <c r="FJ603" s="3"/>
      <c r="FK603" s="3"/>
      <c r="FL603" s="3"/>
      <c r="FM603" s="3"/>
      <c r="FN603" s="3"/>
      <c r="FO603" s="3"/>
      <c r="FP603" s="3"/>
      <c r="FQ603" s="131"/>
      <c r="FR603" s="15"/>
      <c r="FS603" s="99"/>
      <c r="FT603" s="149"/>
      <c r="FU603" s="134"/>
      <c r="FV603" s="134"/>
      <c r="FW603" s="137"/>
      <c r="FX603" s="150"/>
      <c r="FY603" s="137"/>
      <c r="FZ603" s="137"/>
      <c r="GA603" s="3"/>
      <c r="GB603" s="138"/>
      <c r="GC603" s="2"/>
      <c r="GD603" s="139"/>
      <c r="GE603" s="3"/>
      <c r="GF603" s="3"/>
    </row>
    <row r="604" spans="1:188" s="125" customFormat="1">
      <c r="A604" s="86">
        <v>15</v>
      </c>
      <c r="B604" s="60"/>
      <c r="C604" s="18"/>
      <c r="D604" s="19" t="s">
        <v>1371</v>
      </c>
      <c r="E604" s="20" t="s">
        <v>960</v>
      </c>
      <c r="F604" s="24" t="s">
        <v>962</v>
      </c>
      <c r="G604" s="238"/>
      <c r="H604" s="121"/>
      <c r="I604" s="24">
        <v>2418000</v>
      </c>
      <c r="J604" s="24"/>
      <c r="K604" s="24">
        <v>2418000</v>
      </c>
      <c r="L604" s="24"/>
      <c r="M604" s="24"/>
      <c r="N604" s="129">
        <v>2418000</v>
      </c>
      <c r="O604" s="87" t="s">
        <v>1056</v>
      </c>
      <c r="P604" s="3"/>
      <c r="Q604" s="3"/>
      <c r="R604" s="3"/>
      <c r="S604" s="3"/>
      <c r="T604" s="3"/>
      <c r="U604" s="3"/>
      <c r="V604" s="131"/>
      <c r="W604" s="15"/>
      <c r="X604" s="3"/>
      <c r="Y604" s="3"/>
      <c r="Z604" s="3"/>
      <c r="AA604" s="3"/>
      <c r="AB604" s="3"/>
      <c r="AC604" s="131"/>
      <c r="AD604" s="15"/>
      <c r="AE604" s="99"/>
      <c r="AF604" s="149"/>
      <c r="AG604" s="134"/>
      <c r="AH604" s="134"/>
      <c r="AI604" s="137"/>
      <c r="AJ604" s="150"/>
      <c r="AK604" s="137"/>
      <c r="AL604" s="137"/>
      <c r="AM604" s="3"/>
      <c r="AN604" s="138"/>
      <c r="AO604" s="2"/>
      <c r="AP604" s="139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131"/>
      <c r="BB604" s="15"/>
      <c r="BC604" s="99"/>
      <c r="BD604" s="149"/>
      <c r="BE604" s="134"/>
      <c r="BF604" s="134"/>
      <c r="BG604" s="137"/>
      <c r="BH604" s="150"/>
      <c r="BI604" s="137"/>
      <c r="BJ604" s="137"/>
      <c r="BK604" s="3"/>
      <c r="BL604" s="138"/>
      <c r="BM604" s="2"/>
      <c r="BN604" s="139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131"/>
      <c r="BZ604" s="15"/>
      <c r="CA604" s="99"/>
      <c r="CB604" s="149"/>
      <c r="CC604" s="134"/>
      <c r="CD604" s="134"/>
      <c r="CE604" s="137"/>
      <c r="CF604" s="150"/>
      <c r="CG604" s="137"/>
      <c r="CH604" s="137"/>
      <c r="CI604" s="3"/>
      <c r="CJ604" s="138"/>
      <c r="CK604" s="2"/>
      <c r="CL604" s="139"/>
      <c r="CM604" s="3"/>
      <c r="CN604" s="3"/>
      <c r="CO604" s="3"/>
      <c r="CP604" s="3"/>
      <c r="CQ604" s="3"/>
      <c r="CR604" s="3"/>
      <c r="CS604" s="3"/>
      <c r="CT604" s="3"/>
      <c r="CU604" s="3"/>
      <c r="CV604" s="3"/>
      <c r="CW604" s="131"/>
      <c r="CX604" s="15"/>
      <c r="CY604" s="99"/>
      <c r="CZ604" s="149"/>
      <c r="DA604" s="134"/>
      <c r="DB604" s="134"/>
      <c r="DC604" s="137"/>
      <c r="DD604" s="150"/>
      <c r="DE604" s="137"/>
      <c r="DF604" s="137"/>
      <c r="DG604" s="3"/>
      <c r="DH604" s="138"/>
      <c r="DI604" s="2"/>
      <c r="DJ604" s="139"/>
      <c r="DK604" s="3"/>
      <c r="DL604" s="3"/>
      <c r="DM604" s="3"/>
      <c r="DN604" s="3"/>
      <c r="DO604" s="3"/>
      <c r="DP604" s="3"/>
      <c r="DQ604" s="3"/>
      <c r="DR604" s="3"/>
      <c r="DS604" s="3"/>
      <c r="DT604" s="3"/>
      <c r="DU604" s="131"/>
      <c r="DV604" s="15"/>
      <c r="DW604" s="99"/>
      <c r="DX604" s="149"/>
      <c r="DY604" s="134"/>
      <c r="DZ604" s="134"/>
      <c r="EA604" s="137"/>
      <c r="EB604" s="150"/>
      <c r="EC604" s="137"/>
      <c r="ED604" s="137"/>
      <c r="EE604" s="3"/>
      <c r="EF604" s="138"/>
      <c r="EG604" s="2"/>
      <c r="EH604" s="139"/>
      <c r="EI604" s="3"/>
      <c r="EJ604" s="3"/>
      <c r="EK604" s="3"/>
      <c r="EL604" s="3"/>
      <c r="EM604" s="3"/>
      <c r="EN604" s="3"/>
      <c r="EO604" s="3"/>
      <c r="EP604" s="3"/>
      <c r="EQ604" s="3"/>
      <c r="ER604" s="3"/>
      <c r="ES604" s="131"/>
      <c r="ET604" s="15"/>
      <c r="EU604" s="99"/>
      <c r="EV604" s="149"/>
      <c r="EW604" s="134"/>
      <c r="EX604" s="134"/>
      <c r="EY604" s="137"/>
      <c r="EZ604" s="150"/>
      <c r="FA604" s="137"/>
      <c r="FB604" s="137"/>
      <c r="FC604" s="3"/>
      <c r="FD604" s="138"/>
      <c r="FE604" s="2"/>
      <c r="FF604" s="139"/>
      <c r="FG604" s="3"/>
      <c r="FH604" s="3"/>
      <c r="FI604" s="3"/>
      <c r="FJ604" s="3"/>
      <c r="FK604" s="3"/>
      <c r="FL604" s="3"/>
      <c r="FM604" s="3"/>
      <c r="FN604" s="3"/>
      <c r="FO604" s="3"/>
      <c r="FP604" s="3"/>
      <c r="FQ604" s="131"/>
      <c r="FR604" s="15"/>
      <c r="FS604" s="99"/>
      <c r="FT604" s="149"/>
      <c r="FU604" s="134"/>
      <c r="FV604" s="134"/>
      <c r="FW604" s="137"/>
      <c r="FX604" s="150"/>
      <c r="FY604" s="137"/>
      <c r="FZ604" s="137"/>
      <c r="GA604" s="3"/>
      <c r="GB604" s="138"/>
      <c r="GC604" s="2"/>
      <c r="GD604" s="139"/>
      <c r="GE604" s="3"/>
      <c r="GF604" s="3"/>
    </row>
    <row r="605" spans="1:188" s="125" customFormat="1">
      <c r="A605" s="86">
        <v>16</v>
      </c>
      <c r="B605" s="60"/>
      <c r="C605" s="18"/>
      <c r="D605" s="19" t="s">
        <v>1371</v>
      </c>
      <c r="E605" s="20" t="s">
        <v>963</v>
      </c>
      <c r="F605" s="24" t="s">
        <v>964</v>
      </c>
      <c r="G605" s="238"/>
      <c r="H605" s="121"/>
      <c r="I605" s="24">
        <v>2772857</v>
      </c>
      <c r="J605" s="199"/>
      <c r="K605" s="24">
        <v>2772857</v>
      </c>
      <c r="L605" s="24"/>
      <c r="M605" s="24"/>
      <c r="N605" s="129">
        <v>2772857</v>
      </c>
      <c r="O605" s="108"/>
      <c r="P605" s="3"/>
      <c r="Q605" s="3"/>
      <c r="R605" s="3"/>
      <c r="S605" s="3"/>
      <c r="T605" s="3"/>
      <c r="U605" s="3"/>
      <c r="V605" s="131"/>
      <c r="W605" s="15"/>
      <c r="X605" s="3"/>
      <c r="Y605" s="3"/>
      <c r="Z605" s="3"/>
      <c r="AA605" s="3"/>
      <c r="AB605" s="3"/>
      <c r="AC605" s="131"/>
      <c r="AD605" s="15"/>
      <c r="AE605" s="99"/>
      <c r="AF605" s="149"/>
      <c r="AG605" s="134"/>
      <c r="AH605" s="134"/>
      <c r="AI605" s="137"/>
      <c r="AJ605" s="150"/>
      <c r="AK605" s="137"/>
      <c r="AL605" s="137"/>
      <c r="AM605" s="3"/>
      <c r="AN605" s="138"/>
      <c r="AO605" s="2"/>
      <c r="AP605" s="139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131"/>
      <c r="BB605" s="15"/>
      <c r="BC605" s="99"/>
      <c r="BD605" s="149"/>
      <c r="BE605" s="134"/>
      <c r="BF605" s="134"/>
      <c r="BG605" s="137"/>
      <c r="BH605" s="150"/>
      <c r="BI605" s="137"/>
      <c r="BJ605" s="137"/>
      <c r="BK605" s="3"/>
      <c r="BL605" s="138"/>
      <c r="BM605" s="2"/>
      <c r="BN605" s="139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131"/>
      <c r="BZ605" s="15"/>
      <c r="CA605" s="99"/>
      <c r="CB605" s="149"/>
      <c r="CC605" s="134"/>
      <c r="CD605" s="134"/>
      <c r="CE605" s="137"/>
      <c r="CF605" s="150"/>
      <c r="CG605" s="137"/>
      <c r="CH605" s="137"/>
      <c r="CI605" s="3"/>
      <c r="CJ605" s="138"/>
      <c r="CK605" s="2"/>
      <c r="CL605" s="139"/>
      <c r="CM605" s="3"/>
      <c r="CN605" s="3"/>
      <c r="CO605" s="3"/>
      <c r="CP605" s="3"/>
      <c r="CQ605" s="3"/>
      <c r="CR605" s="3"/>
      <c r="CS605" s="3"/>
      <c r="CT605" s="3"/>
      <c r="CU605" s="3"/>
      <c r="CV605" s="3"/>
      <c r="CW605" s="131"/>
      <c r="CX605" s="15"/>
      <c r="CY605" s="99"/>
      <c r="CZ605" s="149"/>
      <c r="DA605" s="134"/>
      <c r="DB605" s="134"/>
      <c r="DC605" s="137"/>
      <c r="DD605" s="150"/>
      <c r="DE605" s="137"/>
      <c r="DF605" s="137"/>
      <c r="DG605" s="3"/>
      <c r="DH605" s="138"/>
      <c r="DI605" s="2"/>
      <c r="DJ605" s="139"/>
      <c r="DK605" s="3"/>
      <c r="DL605" s="3"/>
      <c r="DM605" s="3"/>
      <c r="DN605" s="3"/>
      <c r="DO605" s="3"/>
      <c r="DP605" s="3"/>
      <c r="DQ605" s="3"/>
      <c r="DR605" s="3"/>
      <c r="DS605" s="3"/>
      <c r="DT605" s="3"/>
      <c r="DU605" s="131"/>
      <c r="DV605" s="15"/>
      <c r="DW605" s="99"/>
      <c r="DX605" s="149"/>
      <c r="DY605" s="134"/>
      <c r="DZ605" s="134"/>
      <c r="EA605" s="137"/>
      <c r="EB605" s="150"/>
      <c r="EC605" s="137"/>
      <c r="ED605" s="137"/>
      <c r="EE605" s="3"/>
      <c r="EF605" s="138"/>
      <c r="EG605" s="2"/>
      <c r="EH605" s="139"/>
      <c r="EI605" s="3"/>
      <c r="EJ605" s="3"/>
      <c r="EK605" s="3"/>
      <c r="EL605" s="3"/>
      <c r="EM605" s="3"/>
      <c r="EN605" s="3"/>
      <c r="EO605" s="3"/>
      <c r="EP605" s="3"/>
      <c r="EQ605" s="3"/>
      <c r="ER605" s="3"/>
      <c r="ES605" s="131"/>
      <c r="ET605" s="15"/>
      <c r="EU605" s="99"/>
      <c r="EV605" s="149"/>
      <c r="EW605" s="134"/>
      <c r="EX605" s="134"/>
      <c r="EY605" s="137"/>
      <c r="EZ605" s="150"/>
      <c r="FA605" s="137"/>
      <c r="FB605" s="137"/>
      <c r="FC605" s="3"/>
      <c r="FD605" s="138"/>
      <c r="FE605" s="2"/>
      <c r="FF605" s="139"/>
      <c r="FG605" s="3"/>
      <c r="FH605" s="3"/>
      <c r="FI605" s="3"/>
      <c r="FJ605" s="3"/>
      <c r="FK605" s="3"/>
      <c r="FL605" s="3"/>
      <c r="FM605" s="3"/>
      <c r="FN605" s="3"/>
      <c r="FO605" s="3"/>
      <c r="FP605" s="3"/>
      <c r="FQ605" s="131"/>
      <c r="FR605" s="15"/>
      <c r="FS605" s="99"/>
      <c r="FT605" s="149"/>
      <c r="FU605" s="134"/>
      <c r="FV605" s="134"/>
      <c r="FW605" s="137"/>
      <c r="FX605" s="150"/>
      <c r="FY605" s="137"/>
      <c r="FZ605" s="137"/>
      <c r="GA605" s="3"/>
      <c r="GB605" s="138"/>
      <c r="GC605" s="2"/>
      <c r="GD605" s="139"/>
      <c r="GE605" s="3"/>
      <c r="GF605" s="3"/>
    </row>
    <row r="606" spans="1:188" s="125" customFormat="1">
      <c r="A606" s="86">
        <v>17</v>
      </c>
      <c r="B606" s="56"/>
      <c r="C606" s="18"/>
      <c r="D606" s="19" t="s">
        <v>1371</v>
      </c>
      <c r="E606" s="20" t="s">
        <v>963</v>
      </c>
      <c r="F606" s="24" t="s">
        <v>965</v>
      </c>
      <c r="G606" s="238"/>
      <c r="H606" s="121"/>
      <c r="I606" s="24">
        <v>3055714</v>
      </c>
      <c r="J606" s="199"/>
      <c r="K606" s="24">
        <v>3055714</v>
      </c>
      <c r="L606" s="24"/>
      <c r="M606" s="24"/>
      <c r="N606" s="129">
        <v>3055714</v>
      </c>
      <c r="O606" s="108"/>
      <c r="P606" s="3"/>
      <c r="Q606" s="3"/>
      <c r="R606" s="3"/>
      <c r="S606" s="3"/>
      <c r="T606" s="3"/>
      <c r="U606" s="3"/>
      <c r="V606" s="131"/>
      <c r="W606" s="15"/>
      <c r="X606" s="3"/>
      <c r="Y606" s="3"/>
      <c r="Z606" s="3"/>
      <c r="AA606" s="3"/>
      <c r="AB606" s="3"/>
      <c r="AC606" s="131"/>
      <c r="AD606" s="15"/>
      <c r="AE606" s="99"/>
      <c r="AF606" s="149"/>
      <c r="AG606" s="134"/>
      <c r="AH606" s="134"/>
      <c r="AI606" s="137"/>
      <c r="AJ606" s="150"/>
      <c r="AK606" s="137"/>
      <c r="AL606" s="137"/>
      <c r="AM606" s="3"/>
      <c r="AN606" s="138"/>
      <c r="AO606" s="2"/>
      <c r="AP606" s="139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131"/>
      <c r="BB606" s="15"/>
      <c r="BC606" s="99"/>
      <c r="BD606" s="149"/>
      <c r="BE606" s="134"/>
      <c r="BF606" s="134"/>
      <c r="BG606" s="137"/>
      <c r="BH606" s="150"/>
      <c r="BI606" s="137"/>
      <c r="BJ606" s="137"/>
      <c r="BK606" s="3"/>
      <c r="BL606" s="138"/>
      <c r="BM606" s="2"/>
      <c r="BN606" s="139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131"/>
      <c r="BZ606" s="15"/>
      <c r="CA606" s="99"/>
      <c r="CB606" s="149"/>
      <c r="CC606" s="134"/>
      <c r="CD606" s="134"/>
      <c r="CE606" s="137"/>
      <c r="CF606" s="150"/>
      <c r="CG606" s="137"/>
      <c r="CH606" s="137"/>
      <c r="CI606" s="3"/>
      <c r="CJ606" s="138"/>
      <c r="CK606" s="2"/>
      <c r="CL606" s="139"/>
      <c r="CM606" s="3"/>
      <c r="CN606" s="3"/>
      <c r="CO606" s="3"/>
      <c r="CP606" s="3"/>
      <c r="CQ606" s="3"/>
      <c r="CR606" s="3"/>
      <c r="CS606" s="3"/>
      <c r="CT606" s="3"/>
      <c r="CU606" s="3"/>
      <c r="CV606" s="3"/>
      <c r="CW606" s="131"/>
      <c r="CX606" s="15"/>
      <c r="CY606" s="99"/>
      <c r="CZ606" s="149"/>
      <c r="DA606" s="134"/>
      <c r="DB606" s="134"/>
      <c r="DC606" s="137"/>
      <c r="DD606" s="150"/>
      <c r="DE606" s="137"/>
      <c r="DF606" s="137"/>
      <c r="DG606" s="3"/>
      <c r="DH606" s="138"/>
      <c r="DI606" s="2"/>
      <c r="DJ606" s="139"/>
      <c r="DK606" s="3"/>
      <c r="DL606" s="3"/>
      <c r="DM606" s="3"/>
      <c r="DN606" s="3"/>
      <c r="DO606" s="3"/>
      <c r="DP606" s="3"/>
      <c r="DQ606" s="3"/>
      <c r="DR606" s="3"/>
      <c r="DS606" s="3"/>
      <c r="DT606" s="3"/>
      <c r="DU606" s="131"/>
      <c r="DV606" s="15"/>
      <c r="DW606" s="99"/>
      <c r="DX606" s="149"/>
      <c r="DY606" s="134"/>
      <c r="DZ606" s="134"/>
      <c r="EA606" s="137"/>
      <c r="EB606" s="150"/>
      <c r="EC606" s="137"/>
      <c r="ED606" s="137"/>
      <c r="EE606" s="3"/>
      <c r="EF606" s="138"/>
      <c r="EG606" s="2"/>
      <c r="EH606" s="139"/>
      <c r="EI606" s="3"/>
      <c r="EJ606" s="3"/>
      <c r="EK606" s="3"/>
      <c r="EL606" s="3"/>
      <c r="EM606" s="3"/>
      <c r="EN606" s="3"/>
      <c r="EO606" s="3"/>
      <c r="EP606" s="3"/>
      <c r="EQ606" s="3"/>
      <c r="ER606" s="3"/>
      <c r="ES606" s="131"/>
      <c r="ET606" s="15"/>
      <c r="EU606" s="99"/>
      <c r="EV606" s="149"/>
      <c r="EW606" s="134"/>
      <c r="EX606" s="134"/>
      <c r="EY606" s="137"/>
      <c r="EZ606" s="150"/>
      <c r="FA606" s="137"/>
      <c r="FB606" s="137"/>
      <c r="FC606" s="3"/>
      <c r="FD606" s="138"/>
      <c r="FE606" s="2"/>
      <c r="FF606" s="139"/>
      <c r="FG606" s="3"/>
      <c r="FH606" s="3"/>
      <c r="FI606" s="3"/>
      <c r="FJ606" s="3"/>
      <c r="FK606" s="3"/>
      <c r="FL606" s="3"/>
      <c r="FM606" s="3"/>
      <c r="FN606" s="3"/>
      <c r="FO606" s="3"/>
      <c r="FP606" s="3"/>
      <c r="FQ606" s="131"/>
      <c r="FR606" s="15"/>
      <c r="FS606" s="99"/>
      <c r="FT606" s="149"/>
      <c r="FU606" s="134"/>
      <c r="FV606" s="134"/>
      <c r="FW606" s="137"/>
      <c r="FX606" s="150"/>
      <c r="FY606" s="137"/>
      <c r="FZ606" s="137"/>
      <c r="GA606" s="3"/>
      <c r="GB606" s="138"/>
      <c r="GC606" s="2"/>
      <c r="GD606" s="139"/>
      <c r="GE606" s="3"/>
      <c r="GF606" s="3"/>
    </row>
    <row r="607" spans="1:188" s="125" customFormat="1">
      <c r="A607" s="86">
        <v>18</v>
      </c>
      <c r="B607" s="60"/>
      <c r="C607" s="18"/>
      <c r="D607" s="19" t="s">
        <v>1371</v>
      </c>
      <c r="E607" s="20" t="s">
        <v>1205</v>
      </c>
      <c r="F607" s="82" t="s">
        <v>1409</v>
      </c>
      <c r="G607" s="58"/>
      <c r="H607" s="121"/>
      <c r="I607" s="24">
        <v>2232000</v>
      </c>
      <c r="J607" s="24"/>
      <c r="K607" s="199">
        <f t="shared" ref="K607:K619" si="48">I607+J607</f>
        <v>2232000</v>
      </c>
      <c r="L607" s="26"/>
      <c r="M607" s="24"/>
      <c r="N607" s="129">
        <f t="shared" ref="N607:N629" si="49">K607-M607</f>
        <v>2232000</v>
      </c>
      <c r="O607" s="108" t="s">
        <v>900</v>
      </c>
      <c r="P607" s="3"/>
      <c r="Q607" s="3"/>
      <c r="R607" s="3"/>
      <c r="S607" s="3"/>
      <c r="T607" s="3"/>
      <c r="U607" s="3"/>
      <c r="V607" s="131"/>
      <c r="W607" s="15"/>
      <c r="X607" s="3"/>
      <c r="Y607" s="3"/>
      <c r="Z607" s="3"/>
      <c r="AA607" s="3"/>
      <c r="AB607" s="3"/>
      <c r="AC607" s="131"/>
      <c r="AD607" s="15"/>
      <c r="AE607" s="99"/>
      <c r="AF607" s="149"/>
      <c r="AG607" s="134"/>
      <c r="AH607" s="134"/>
      <c r="AI607" s="137"/>
      <c r="AJ607" s="150"/>
      <c r="AK607" s="137"/>
      <c r="AL607" s="137"/>
      <c r="AM607" s="3"/>
      <c r="AN607" s="138"/>
      <c r="AO607" s="2"/>
      <c r="AP607" s="139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131"/>
      <c r="BB607" s="15"/>
      <c r="BC607" s="99"/>
      <c r="BD607" s="149"/>
      <c r="BE607" s="134"/>
      <c r="BF607" s="134"/>
      <c r="BG607" s="137"/>
      <c r="BH607" s="150"/>
      <c r="BI607" s="137"/>
      <c r="BJ607" s="137"/>
      <c r="BK607" s="3"/>
      <c r="BL607" s="138"/>
      <c r="BM607" s="2"/>
      <c r="BN607" s="139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131"/>
      <c r="BZ607" s="15"/>
      <c r="CA607" s="99"/>
      <c r="CB607" s="149"/>
      <c r="CC607" s="134"/>
      <c r="CD607" s="134"/>
      <c r="CE607" s="137"/>
      <c r="CF607" s="150"/>
      <c r="CG607" s="137"/>
      <c r="CH607" s="137"/>
      <c r="CI607" s="3"/>
      <c r="CJ607" s="138"/>
      <c r="CK607" s="2"/>
      <c r="CL607" s="139"/>
      <c r="CM607" s="3"/>
      <c r="CN607" s="3"/>
      <c r="CO607" s="3"/>
      <c r="CP607" s="3"/>
      <c r="CQ607" s="3"/>
      <c r="CR607" s="3"/>
      <c r="CS607" s="3"/>
      <c r="CT607" s="3"/>
      <c r="CU607" s="3"/>
      <c r="CV607" s="3"/>
      <c r="CW607" s="131"/>
      <c r="CX607" s="15"/>
      <c r="CY607" s="99"/>
      <c r="CZ607" s="149"/>
      <c r="DA607" s="134"/>
      <c r="DB607" s="134"/>
      <c r="DC607" s="137"/>
      <c r="DD607" s="150"/>
      <c r="DE607" s="137"/>
      <c r="DF607" s="137"/>
      <c r="DG607" s="3"/>
      <c r="DH607" s="138"/>
      <c r="DI607" s="2"/>
      <c r="DJ607" s="139"/>
      <c r="DK607" s="3"/>
      <c r="DL607" s="3"/>
      <c r="DM607" s="3"/>
      <c r="DN607" s="3"/>
      <c r="DO607" s="3"/>
      <c r="DP607" s="3"/>
      <c r="DQ607" s="3"/>
      <c r="DR607" s="3"/>
      <c r="DS607" s="3"/>
      <c r="DT607" s="3"/>
      <c r="DU607" s="131"/>
      <c r="DV607" s="15"/>
      <c r="DW607" s="99"/>
      <c r="DX607" s="149"/>
      <c r="DY607" s="134"/>
      <c r="DZ607" s="134"/>
      <c r="EA607" s="137"/>
      <c r="EB607" s="150"/>
      <c r="EC607" s="137"/>
      <c r="ED607" s="137"/>
      <c r="EE607" s="3"/>
      <c r="EF607" s="138"/>
      <c r="EG607" s="2"/>
      <c r="EH607" s="139"/>
      <c r="EI607" s="3"/>
      <c r="EJ607" s="3"/>
      <c r="EK607" s="3"/>
      <c r="EL607" s="3"/>
      <c r="EM607" s="3"/>
      <c r="EN607" s="3"/>
      <c r="EO607" s="3"/>
      <c r="EP607" s="3"/>
      <c r="EQ607" s="3"/>
      <c r="ER607" s="3"/>
      <c r="ES607" s="131"/>
      <c r="ET607" s="15"/>
      <c r="EU607" s="99"/>
      <c r="EV607" s="149"/>
      <c r="EW607" s="134"/>
      <c r="EX607" s="134"/>
      <c r="EY607" s="137"/>
      <c r="EZ607" s="150"/>
      <c r="FA607" s="137"/>
      <c r="FB607" s="137"/>
      <c r="FC607" s="3"/>
      <c r="FD607" s="138"/>
      <c r="FE607" s="2"/>
      <c r="FF607" s="139"/>
      <c r="FG607" s="3"/>
      <c r="FH607" s="3"/>
      <c r="FI607" s="3"/>
      <c r="FJ607" s="3"/>
      <c r="FK607" s="3"/>
      <c r="FL607" s="3"/>
      <c r="FM607" s="3"/>
      <c r="FN607" s="3"/>
      <c r="FO607" s="3"/>
      <c r="FP607" s="3"/>
      <c r="FQ607" s="131"/>
      <c r="FR607" s="15"/>
      <c r="FS607" s="99"/>
      <c r="FT607" s="149"/>
      <c r="FU607" s="134"/>
      <c r="FV607" s="134"/>
      <c r="FW607" s="137"/>
      <c r="FX607" s="150"/>
      <c r="FY607" s="137"/>
      <c r="FZ607" s="137"/>
      <c r="GA607" s="3"/>
      <c r="GB607" s="138"/>
      <c r="GC607" s="2"/>
      <c r="GD607" s="139"/>
      <c r="GE607" s="3"/>
      <c r="GF607" s="3"/>
    </row>
    <row r="608" spans="1:188" s="125" customFormat="1">
      <c r="A608" s="86">
        <v>19</v>
      </c>
      <c r="B608" s="56">
        <v>43067</v>
      </c>
      <c r="C608" s="18"/>
      <c r="D608" s="19" t="s">
        <v>1371</v>
      </c>
      <c r="E608" s="20" t="s">
        <v>473</v>
      </c>
      <c r="F608" s="24" t="s">
        <v>967</v>
      </c>
      <c r="G608" s="238">
        <v>1708</v>
      </c>
      <c r="H608" s="121">
        <v>2246600</v>
      </c>
      <c r="I608" s="24"/>
      <c r="J608" s="199">
        <f>SUM(H608)/1.05</f>
        <v>2139619.0476190476</v>
      </c>
      <c r="K608" s="24">
        <f t="shared" si="48"/>
        <v>2139619.0476190476</v>
      </c>
      <c r="L608" s="24"/>
      <c r="M608" s="24">
        <f>K608*L608</f>
        <v>0</v>
      </c>
      <c r="N608" s="129">
        <f t="shared" si="49"/>
        <v>2139619.0476190476</v>
      </c>
      <c r="O608" s="108" t="s">
        <v>900</v>
      </c>
      <c r="P608" s="3"/>
      <c r="Q608" s="3"/>
      <c r="R608" s="3"/>
      <c r="S608" s="3"/>
      <c r="T608" s="3"/>
      <c r="U608" s="3"/>
      <c r="V608" s="131"/>
      <c r="W608" s="15"/>
      <c r="X608" s="3"/>
      <c r="Y608" s="3"/>
      <c r="Z608" s="3"/>
      <c r="AA608" s="3"/>
      <c r="AB608" s="3"/>
      <c r="AC608" s="131"/>
      <c r="AD608" s="15"/>
      <c r="AE608" s="99"/>
      <c r="AF608" s="149"/>
      <c r="AG608" s="134"/>
      <c r="AH608" s="134"/>
      <c r="AI608" s="137"/>
      <c r="AJ608" s="150"/>
      <c r="AK608" s="137"/>
      <c r="AL608" s="137"/>
      <c r="AM608" s="3"/>
      <c r="AN608" s="138"/>
      <c r="AO608" s="2"/>
      <c r="AP608" s="139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131"/>
      <c r="BB608" s="15"/>
      <c r="BC608" s="99"/>
      <c r="BD608" s="149"/>
      <c r="BE608" s="134"/>
      <c r="BF608" s="134"/>
      <c r="BG608" s="137"/>
      <c r="BH608" s="150"/>
      <c r="BI608" s="137"/>
      <c r="BJ608" s="137"/>
      <c r="BK608" s="3"/>
      <c r="BL608" s="138"/>
      <c r="BM608" s="2"/>
      <c r="BN608" s="139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131"/>
      <c r="BZ608" s="15"/>
      <c r="CA608" s="99"/>
      <c r="CB608" s="149"/>
      <c r="CC608" s="134"/>
      <c r="CD608" s="134"/>
      <c r="CE608" s="137"/>
      <c r="CF608" s="150"/>
      <c r="CG608" s="137"/>
      <c r="CH608" s="137"/>
      <c r="CI608" s="3"/>
      <c r="CJ608" s="138"/>
      <c r="CK608" s="2"/>
      <c r="CL608" s="139"/>
      <c r="CM608" s="3"/>
      <c r="CN608" s="3"/>
      <c r="CO608" s="3"/>
      <c r="CP608" s="3"/>
      <c r="CQ608" s="3"/>
      <c r="CR608" s="3"/>
      <c r="CS608" s="3"/>
      <c r="CT608" s="3"/>
      <c r="CU608" s="3"/>
      <c r="CV608" s="3"/>
      <c r="CW608" s="131"/>
      <c r="CX608" s="15"/>
      <c r="CY608" s="99"/>
      <c r="CZ608" s="149"/>
      <c r="DA608" s="134"/>
      <c r="DB608" s="134"/>
      <c r="DC608" s="137"/>
      <c r="DD608" s="150"/>
      <c r="DE608" s="137"/>
      <c r="DF608" s="137"/>
      <c r="DG608" s="3"/>
      <c r="DH608" s="138"/>
      <c r="DI608" s="2"/>
      <c r="DJ608" s="139"/>
      <c r="DK608" s="3"/>
      <c r="DL608" s="3"/>
      <c r="DM608" s="3"/>
      <c r="DN608" s="3"/>
      <c r="DO608" s="3"/>
      <c r="DP608" s="3"/>
      <c r="DQ608" s="3"/>
      <c r="DR608" s="3"/>
      <c r="DS608" s="3"/>
      <c r="DT608" s="3"/>
      <c r="DU608" s="131"/>
      <c r="DV608" s="15"/>
      <c r="DW608" s="99"/>
      <c r="DX608" s="149"/>
      <c r="DY608" s="134"/>
      <c r="DZ608" s="134"/>
      <c r="EA608" s="137"/>
      <c r="EB608" s="150"/>
      <c r="EC608" s="137"/>
      <c r="ED608" s="137"/>
      <c r="EE608" s="3"/>
      <c r="EF608" s="138"/>
      <c r="EG608" s="2"/>
      <c r="EH608" s="139"/>
      <c r="EI608" s="3"/>
      <c r="EJ608" s="3"/>
      <c r="EK608" s="3"/>
      <c r="EL608" s="3"/>
      <c r="EM608" s="3"/>
      <c r="EN608" s="3"/>
      <c r="EO608" s="3"/>
      <c r="EP608" s="3"/>
      <c r="EQ608" s="3"/>
      <c r="ER608" s="3"/>
      <c r="ES608" s="131"/>
      <c r="ET608" s="15"/>
      <c r="EU608" s="99"/>
      <c r="EV608" s="149"/>
      <c r="EW608" s="134"/>
      <c r="EX608" s="134"/>
      <c r="EY608" s="137"/>
      <c r="EZ608" s="150"/>
      <c r="FA608" s="137"/>
      <c r="FB608" s="137"/>
      <c r="FC608" s="3"/>
      <c r="FD608" s="138"/>
      <c r="FE608" s="2"/>
      <c r="FF608" s="139"/>
      <c r="FG608" s="3"/>
      <c r="FH608" s="3"/>
      <c r="FI608" s="3"/>
      <c r="FJ608" s="3"/>
      <c r="FK608" s="3"/>
      <c r="FL608" s="3"/>
      <c r="FM608" s="3"/>
      <c r="FN608" s="3"/>
      <c r="FO608" s="3"/>
      <c r="FP608" s="3"/>
      <c r="FQ608" s="131"/>
      <c r="FR608" s="15"/>
      <c r="FS608" s="99"/>
      <c r="FT608" s="149"/>
      <c r="FU608" s="134"/>
      <c r="FV608" s="134"/>
      <c r="FW608" s="137"/>
      <c r="FX608" s="150"/>
      <c r="FY608" s="137"/>
      <c r="FZ608" s="137"/>
      <c r="GA608" s="3"/>
      <c r="GB608" s="138"/>
      <c r="GC608" s="2"/>
      <c r="GD608" s="139"/>
      <c r="GE608" s="3"/>
      <c r="GF608" s="3"/>
    </row>
    <row r="609" spans="1:188" s="125" customFormat="1">
      <c r="A609" s="86">
        <v>20</v>
      </c>
      <c r="B609" s="56"/>
      <c r="C609" s="18"/>
      <c r="D609" s="19" t="s">
        <v>1371</v>
      </c>
      <c r="E609" s="20" t="s">
        <v>968</v>
      </c>
      <c r="F609" s="82" t="s">
        <v>969</v>
      </c>
      <c r="G609" s="58"/>
      <c r="H609" s="121">
        <v>2574500</v>
      </c>
      <c r="I609" s="24"/>
      <c r="J609" s="24">
        <f>SUM(H609)/1.05</f>
        <v>2451904.7619047617</v>
      </c>
      <c r="K609" s="24">
        <f t="shared" si="48"/>
        <v>2451904.7619047617</v>
      </c>
      <c r="L609" s="123"/>
      <c r="M609" s="24"/>
      <c r="N609" s="129">
        <f t="shared" si="49"/>
        <v>2451904.7619047617</v>
      </c>
      <c r="O609" s="108"/>
      <c r="P609" s="3"/>
      <c r="Q609" s="3"/>
      <c r="R609" s="3"/>
      <c r="S609" s="3"/>
      <c r="T609" s="3"/>
      <c r="U609" s="3"/>
      <c r="V609" s="131"/>
      <c r="W609" s="15"/>
      <c r="X609" s="3"/>
      <c r="Y609" s="3"/>
      <c r="Z609" s="3"/>
      <c r="AA609" s="3"/>
      <c r="AB609" s="3"/>
      <c r="AC609" s="131"/>
      <c r="AD609" s="15"/>
      <c r="AE609" s="99"/>
      <c r="AF609" s="149"/>
      <c r="AG609" s="134"/>
      <c r="AH609" s="134"/>
      <c r="AI609" s="137"/>
      <c r="AJ609" s="150"/>
      <c r="AK609" s="137"/>
      <c r="AL609" s="137"/>
      <c r="AM609" s="3"/>
      <c r="AN609" s="138"/>
      <c r="AO609" s="2"/>
      <c r="AP609" s="139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131"/>
      <c r="BB609" s="15"/>
      <c r="BC609" s="99"/>
      <c r="BD609" s="149"/>
      <c r="BE609" s="134"/>
      <c r="BF609" s="134"/>
      <c r="BG609" s="137"/>
      <c r="BH609" s="150"/>
      <c r="BI609" s="137"/>
      <c r="BJ609" s="137"/>
      <c r="BK609" s="3"/>
      <c r="BL609" s="138"/>
      <c r="BM609" s="2"/>
      <c r="BN609" s="139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131"/>
      <c r="BZ609" s="15"/>
      <c r="CA609" s="99"/>
      <c r="CB609" s="149"/>
      <c r="CC609" s="134"/>
      <c r="CD609" s="134"/>
      <c r="CE609" s="137"/>
      <c r="CF609" s="150"/>
      <c r="CG609" s="137"/>
      <c r="CH609" s="137"/>
      <c r="CI609" s="3"/>
      <c r="CJ609" s="138"/>
      <c r="CK609" s="2"/>
      <c r="CL609" s="139"/>
      <c r="CM609" s="3"/>
      <c r="CN609" s="3"/>
      <c r="CO609" s="3"/>
      <c r="CP609" s="3"/>
      <c r="CQ609" s="3"/>
      <c r="CR609" s="3"/>
      <c r="CS609" s="3"/>
      <c r="CT609" s="3"/>
      <c r="CU609" s="3"/>
      <c r="CV609" s="3"/>
      <c r="CW609" s="131"/>
      <c r="CX609" s="15"/>
      <c r="CY609" s="99"/>
      <c r="CZ609" s="149"/>
      <c r="DA609" s="134"/>
      <c r="DB609" s="134"/>
      <c r="DC609" s="137"/>
      <c r="DD609" s="150"/>
      <c r="DE609" s="137"/>
      <c r="DF609" s="137"/>
      <c r="DG609" s="3"/>
      <c r="DH609" s="138"/>
      <c r="DI609" s="2"/>
      <c r="DJ609" s="139"/>
      <c r="DK609" s="3"/>
      <c r="DL609" s="3"/>
      <c r="DM609" s="3"/>
      <c r="DN609" s="3"/>
      <c r="DO609" s="3"/>
      <c r="DP609" s="3"/>
      <c r="DQ609" s="3"/>
      <c r="DR609" s="3"/>
      <c r="DS609" s="3"/>
      <c r="DT609" s="3"/>
      <c r="DU609" s="131"/>
      <c r="DV609" s="15"/>
      <c r="DW609" s="99"/>
      <c r="DX609" s="149"/>
      <c r="DY609" s="134"/>
      <c r="DZ609" s="134"/>
      <c r="EA609" s="137"/>
      <c r="EB609" s="150"/>
      <c r="EC609" s="137"/>
      <c r="ED609" s="137"/>
      <c r="EE609" s="3"/>
      <c r="EF609" s="138"/>
      <c r="EG609" s="2"/>
      <c r="EH609" s="139"/>
      <c r="EI609" s="3"/>
      <c r="EJ609" s="3"/>
      <c r="EK609" s="3"/>
      <c r="EL609" s="3"/>
      <c r="EM609" s="3"/>
      <c r="EN609" s="3"/>
      <c r="EO609" s="3"/>
      <c r="EP609" s="3"/>
      <c r="EQ609" s="3"/>
      <c r="ER609" s="3"/>
      <c r="ES609" s="131"/>
      <c r="ET609" s="15"/>
      <c r="EU609" s="99"/>
      <c r="EV609" s="149"/>
      <c r="EW609" s="134"/>
      <c r="EX609" s="134"/>
      <c r="EY609" s="137"/>
      <c r="EZ609" s="150"/>
      <c r="FA609" s="137"/>
      <c r="FB609" s="137"/>
      <c r="FC609" s="3"/>
      <c r="FD609" s="138"/>
      <c r="FE609" s="2"/>
      <c r="FF609" s="139"/>
      <c r="FG609" s="3"/>
      <c r="FH609" s="3"/>
      <c r="FI609" s="3"/>
      <c r="FJ609" s="3"/>
      <c r="FK609" s="3"/>
      <c r="FL609" s="3"/>
      <c r="FM609" s="3"/>
      <c r="FN609" s="3"/>
      <c r="FO609" s="3"/>
      <c r="FP609" s="3"/>
      <c r="FQ609" s="131"/>
      <c r="FR609" s="15"/>
      <c r="FS609" s="99"/>
      <c r="FT609" s="149"/>
      <c r="FU609" s="134"/>
      <c r="FV609" s="134"/>
      <c r="FW609" s="137"/>
      <c r="FX609" s="150"/>
      <c r="FY609" s="137"/>
      <c r="FZ609" s="137"/>
      <c r="GA609" s="3"/>
      <c r="GB609" s="138"/>
      <c r="GC609" s="2"/>
      <c r="GD609" s="139"/>
      <c r="GE609" s="3"/>
      <c r="GF609" s="3"/>
    </row>
    <row r="610" spans="1:188" s="125" customFormat="1">
      <c r="A610" s="86">
        <v>21</v>
      </c>
      <c r="B610" s="60"/>
      <c r="C610" s="18"/>
      <c r="D610" s="19" t="s">
        <v>1371</v>
      </c>
      <c r="E610" s="20" t="s">
        <v>1206</v>
      </c>
      <c r="F610" s="82" t="s">
        <v>1410</v>
      </c>
      <c r="G610" s="58"/>
      <c r="H610" s="121"/>
      <c r="I610" s="24">
        <v>2216000</v>
      </c>
      <c r="J610" s="24"/>
      <c r="K610" s="199">
        <f t="shared" si="48"/>
        <v>2216000</v>
      </c>
      <c r="L610" s="26"/>
      <c r="M610" s="24"/>
      <c r="N610" s="129">
        <f t="shared" si="49"/>
        <v>2216000</v>
      </c>
      <c r="O610" s="108"/>
      <c r="P610" s="3"/>
      <c r="Q610" s="3"/>
      <c r="R610" s="3"/>
      <c r="S610" s="3"/>
      <c r="T610" s="3"/>
      <c r="U610" s="3"/>
      <c r="V610" s="131"/>
      <c r="W610" s="15"/>
      <c r="X610" s="3"/>
      <c r="Y610" s="3"/>
      <c r="Z610" s="3"/>
      <c r="AA610" s="3"/>
      <c r="AB610" s="3"/>
      <c r="AC610" s="131"/>
      <c r="AD610" s="15"/>
      <c r="AE610" s="99"/>
      <c r="AF610" s="149"/>
      <c r="AG610" s="134"/>
      <c r="AH610" s="134"/>
      <c r="AI610" s="137"/>
      <c r="AJ610" s="150"/>
      <c r="AK610" s="137"/>
      <c r="AL610" s="137"/>
      <c r="AM610" s="3"/>
      <c r="AN610" s="138"/>
      <c r="AO610" s="2"/>
      <c r="AP610" s="139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131"/>
      <c r="BB610" s="15"/>
      <c r="BC610" s="99"/>
      <c r="BD610" s="149"/>
      <c r="BE610" s="134"/>
      <c r="BF610" s="134"/>
      <c r="BG610" s="137"/>
      <c r="BH610" s="150"/>
      <c r="BI610" s="137"/>
      <c r="BJ610" s="137"/>
      <c r="BK610" s="3"/>
      <c r="BL610" s="138"/>
      <c r="BM610" s="2"/>
      <c r="BN610" s="139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131"/>
      <c r="BZ610" s="15"/>
      <c r="CA610" s="99"/>
      <c r="CB610" s="149"/>
      <c r="CC610" s="134"/>
      <c r="CD610" s="134"/>
      <c r="CE610" s="137"/>
      <c r="CF610" s="150"/>
      <c r="CG610" s="137"/>
      <c r="CH610" s="137"/>
      <c r="CI610" s="3"/>
      <c r="CJ610" s="138"/>
      <c r="CK610" s="2"/>
      <c r="CL610" s="139"/>
      <c r="CM610" s="3"/>
      <c r="CN610" s="3"/>
      <c r="CO610" s="3"/>
      <c r="CP610" s="3"/>
      <c r="CQ610" s="3"/>
      <c r="CR610" s="3"/>
      <c r="CS610" s="3"/>
      <c r="CT610" s="3"/>
      <c r="CU610" s="3"/>
      <c r="CV610" s="3"/>
      <c r="CW610" s="131"/>
      <c r="CX610" s="15"/>
      <c r="CY610" s="99"/>
      <c r="CZ610" s="149"/>
      <c r="DA610" s="134"/>
      <c r="DB610" s="134"/>
      <c r="DC610" s="137"/>
      <c r="DD610" s="150"/>
      <c r="DE610" s="137"/>
      <c r="DF610" s="137"/>
      <c r="DG610" s="3"/>
      <c r="DH610" s="138"/>
      <c r="DI610" s="2"/>
      <c r="DJ610" s="139"/>
      <c r="DK610" s="3"/>
      <c r="DL610" s="3"/>
      <c r="DM610" s="3"/>
      <c r="DN610" s="3"/>
      <c r="DO610" s="3"/>
      <c r="DP610" s="3"/>
      <c r="DQ610" s="3"/>
      <c r="DR610" s="3"/>
      <c r="DS610" s="3"/>
      <c r="DT610" s="3"/>
      <c r="DU610" s="131"/>
      <c r="DV610" s="15"/>
      <c r="DW610" s="99"/>
      <c r="DX610" s="149"/>
      <c r="DY610" s="134"/>
      <c r="DZ610" s="134"/>
      <c r="EA610" s="137"/>
      <c r="EB610" s="150"/>
      <c r="EC610" s="137"/>
      <c r="ED610" s="137"/>
      <c r="EE610" s="3"/>
      <c r="EF610" s="138"/>
      <c r="EG610" s="2"/>
      <c r="EH610" s="139"/>
      <c r="EI610" s="3"/>
      <c r="EJ610" s="3"/>
      <c r="EK610" s="3"/>
      <c r="EL610" s="3"/>
      <c r="EM610" s="3"/>
      <c r="EN610" s="3"/>
      <c r="EO610" s="3"/>
      <c r="EP610" s="3"/>
      <c r="EQ610" s="3"/>
      <c r="ER610" s="3"/>
      <c r="ES610" s="131"/>
      <c r="ET610" s="15"/>
      <c r="EU610" s="99"/>
      <c r="EV610" s="149"/>
      <c r="EW610" s="134"/>
      <c r="EX610" s="134"/>
      <c r="EY610" s="137"/>
      <c r="EZ610" s="150"/>
      <c r="FA610" s="137"/>
      <c r="FB610" s="137"/>
      <c r="FC610" s="3"/>
      <c r="FD610" s="138"/>
      <c r="FE610" s="2"/>
      <c r="FF610" s="139"/>
      <c r="FG610" s="3"/>
      <c r="FH610" s="3"/>
      <c r="FI610" s="3"/>
      <c r="FJ610" s="3"/>
      <c r="FK610" s="3"/>
      <c r="FL610" s="3"/>
      <c r="FM610" s="3"/>
      <c r="FN610" s="3"/>
      <c r="FO610" s="3"/>
      <c r="FP610" s="3"/>
      <c r="FQ610" s="131"/>
      <c r="FR610" s="15"/>
      <c r="FS610" s="99"/>
      <c r="FT610" s="149"/>
      <c r="FU610" s="134"/>
      <c r="FV610" s="134"/>
      <c r="FW610" s="137"/>
      <c r="FX610" s="150"/>
      <c r="FY610" s="137"/>
      <c r="FZ610" s="137"/>
      <c r="GA610" s="3"/>
      <c r="GB610" s="138"/>
      <c r="GC610" s="2"/>
      <c r="GD610" s="139"/>
      <c r="GE610" s="3"/>
      <c r="GF610" s="3"/>
    </row>
    <row r="611" spans="1:188" s="125" customFormat="1">
      <c r="A611" s="86">
        <v>22</v>
      </c>
      <c r="B611" s="60"/>
      <c r="C611" s="18"/>
      <c r="D611" s="19" t="s">
        <v>1371</v>
      </c>
      <c r="E611" s="20" t="s">
        <v>1206</v>
      </c>
      <c r="F611" s="82" t="s">
        <v>1411</v>
      </c>
      <c r="G611" s="58"/>
      <c r="H611" s="121"/>
      <c r="I611" s="24">
        <v>2216000</v>
      </c>
      <c r="J611" s="24"/>
      <c r="K611" s="199">
        <f t="shared" si="48"/>
        <v>2216000</v>
      </c>
      <c r="L611" s="26"/>
      <c r="M611" s="24"/>
      <c r="N611" s="129">
        <f t="shared" si="49"/>
        <v>2216000</v>
      </c>
      <c r="O611" s="108"/>
      <c r="P611" s="3"/>
      <c r="Q611" s="3"/>
      <c r="R611" s="3"/>
      <c r="S611" s="3"/>
      <c r="T611" s="3"/>
      <c r="U611" s="3"/>
      <c r="V611" s="131"/>
      <c r="W611" s="15"/>
      <c r="X611" s="3"/>
      <c r="Y611" s="3"/>
      <c r="Z611" s="3"/>
      <c r="AA611" s="3"/>
      <c r="AB611" s="3"/>
      <c r="AC611" s="131"/>
      <c r="AD611" s="15"/>
      <c r="AE611" s="99"/>
      <c r="AF611" s="149"/>
      <c r="AG611" s="134"/>
      <c r="AH611" s="134"/>
      <c r="AI611" s="137"/>
      <c r="AJ611" s="150"/>
      <c r="AK611" s="137"/>
      <c r="AL611" s="137"/>
      <c r="AM611" s="3"/>
      <c r="AN611" s="138"/>
      <c r="AO611" s="2"/>
      <c r="AP611" s="139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131"/>
      <c r="BB611" s="15"/>
      <c r="BC611" s="99"/>
      <c r="BD611" s="149"/>
      <c r="BE611" s="134"/>
      <c r="BF611" s="134"/>
      <c r="BG611" s="137"/>
      <c r="BH611" s="150"/>
      <c r="BI611" s="137"/>
      <c r="BJ611" s="137"/>
      <c r="BK611" s="3"/>
      <c r="BL611" s="138"/>
      <c r="BM611" s="2"/>
      <c r="BN611" s="139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131"/>
      <c r="BZ611" s="15"/>
      <c r="CA611" s="99"/>
      <c r="CB611" s="149"/>
      <c r="CC611" s="134"/>
      <c r="CD611" s="134"/>
      <c r="CE611" s="137"/>
      <c r="CF611" s="150"/>
      <c r="CG611" s="137"/>
      <c r="CH611" s="137"/>
      <c r="CI611" s="3"/>
      <c r="CJ611" s="138"/>
      <c r="CK611" s="2"/>
      <c r="CL611" s="139"/>
      <c r="CM611" s="3"/>
      <c r="CN611" s="3"/>
      <c r="CO611" s="3"/>
      <c r="CP611" s="3"/>
      <c r="CQ611" s="3"/>
      <c r="CR611" s="3"/>
      <c r="CS611" s="3"/>
      <c r="CT611" s="3"/>
      <c r="CU611" s="3"/>
      <c r="CV611" s="3"/>
      <c r="CW611" s="131"/>
      <c r="CX611" s="15"/>
      <c r="CY611" s="99"/>
      <c r="CZ611" s="149"/>
      <c r="DA611" s="134"/>
      <c r="DB611" s="134"/>
      <c r="DC611" s="137"/>
      <c r="DD611" s="150"/>
      <c r="DE611" s="137"/>
      <c r="DF611" s="137"/>
      <c r="DG611" s="3"/>
      <c r="DH611" s="138"/>
      <c r="DI611" s="2"/>
      <c r="DJ611" s="139"/>
      <c r="DK611" s="3"/>
      <c r="DL611" s="3"/>
      <c r="DM611" s="3"/>
      <c r="DN611" s="3"/>
      <c r="DO611" s="3"/>
      <c r="DP611" s="3"/>
      <c r="DQ611" s="3"/>
      <c r="DR611" s="3"/>
      <c r="DS611" s="3"/>
      <c r="DT611" s="3"/>
      <c r="DU611" s="131"/>
      <c r="DV611" s="15"/>
      <c r="DW611" s="99"/>
      <c r="DX611" s="149"/>
      <c r="DY611" s="134"/>
      <c r="DZ611" s="134"/>
      <c r="EA611" s="137"/>
      <c r="EB611" s="150"/>
      <c r="EC611" s="137"/>
      <c r="ED611" s="137"/>
      <c r="EE611" s="3"/>
      <c r="EF611" s="138"/>
      <c r="EG611" s="2"/>
      <c r="EH611" s="139"/>
      <c r="EI611" s="3"/>
      <c r="EJ611" s="3"/>
      <c r="EK611" s="3"/>
      <c r="EL611" s="3"/>
      <c r="EM611" s="3"/>
      <c r="EN611" s="3"/>
      <c r="EO611" s="3"/>
      <c r="EP611" s="3"/>
      <c r="EQ611" s="3"/>
      <c r="ER611" s="3"/>
      <c r="ES611" s="131"/>
      <c r="ET611" s="15"/>
      <c r="EU611" s="99"/>
      <c r="EV611" s="149"/>
      <c r="EW611" s="134"/>
      <c r="EX611" s="134"/>
      <c r="EY611" s="137"/>
      <c r="EZ611" s="150"/>
      <c r="FA611" s="137"/>
      <c r="FB611" s="137"/>
      <c r="FC611" s="3"/>
      <c r="FD611" s="138"/>
      <c r="FE611" s="2"/>
      <c r="FF611" s="139"/>
      <c r="FG611" s="3"/>
      <c r="FH611" s="3"/>
      <c r="FI611" s="3"/>
      <c r="FJ611" s="3"/>
      <c r="FK611" s="3"/>
      <c r="FL611" s="3"/>
      <c r="FM611" s="3"/>
      <c r="FN611" s="3"/>
      <c r="FO611" s="3"/>
      <c r="FP611" s="3"/>
      <c r="FQ611" s="131"/>
      <c r="FR611" s="15"/>
      <c r="FS611" s="99"/>
      <c r="FT611" s="149"/>
      <c r="FU611" s="134"/>
      <c r="FV611" s="134"/>
      <c r="FW611" s="137"/>
      <c r="FX611" s="150"/>
      <c r="FY611" s="137"/>
      <c r="FZ611" s="137"/>
      <c r="GA611" s="3"/>
      <c r="GB611" s="138"/>
      <c r="GC611" s="2"/>
      <c r="GD611" s="139"/>
      <c r="GE611" s="3"/>
      <c r="GF611" s="3"/>
    </row>
    <row r="612" spans="1:188" s="125" customFormat="1">
      <c r="A612" s="86">
        <v>23</v>
      </c>
      <c r="B612" s="56"/>
      <c r="C612" s="18"/>
      <c r="D612" s="19" t="s">
        <v>1371</v>
      </c>
      <c r="E612" s="20" t="s">
        <v>480</v>
      </c>
      <c r="F612" s="120" t="s">
        <v>972</v>
      </c>
      <c r="G612" s="63"/>
      <c r="H612" s="121">
        <v>2698000</v>
      </c>
      <c r="I612" s="24"/>
      <c r="J612" s="24">
        <f>SUM(H612)/1.05</f>
        <v>2569523.8095238092</v>
      </c>
      <c r="K612" s="24">
        <f t="shared" si="48"/>
        <v>2569523.8095238092</v>
      </c>
      <c r="L612" s="123"/>
      <c r="M612" s="24"/>
      <c r="N612" s="129">
        <f t="shared" si="49"/>
        <v>2569523.8095238092</v>
      </c>
      <c r="O612" s="108"/>
      <c r="P612" s="3"/>
      <c r="Q612" s="3"/>
      <c r="R612" s="3"/>
      <c r="S612" s="3"/>
      <c r="T612" s="3"/>
      <c r="U612" s="3"/>
      <c r="V612" s="131"/>
      <c r="W612" s="15"/>
      <c r="X612" s="3"/>
      <c r="Y612" s="3"/>
      <c r="Z612" s="3"/>
      <c r="AA612" s="3"/>
      <c r="AB612" s="3"/>
      <c r="AC612" s="131"/>
      <c r="AD612" s="15"/>
      <c r="AE612" s="99"/>
      <c r="AF612" s="149"/>
      <c r="AG612" s="134"/>
      <c r="AH612" s="134"/>
      <c r="AI612" s="137"/>
      <c r="AJ612" s="150"/>
      <c r="AK612" s="137"/>
      <c r="AL612" s="137"/>
      <c r="AM612" s="3"/>
      <c r="AN612" s="138"/>
      <c r="AO612" s="2"/>
      <c r="AP612" s="139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131"/>
      <c r="BB612" s="15"/>
      <c r="BC612" s="99"/>
      <c r="BD612" s="149"/>
      <c r="BE612" s="134"/>
      <c r="BF612" s="134"/>
      <c r="BG612" s="137"/>
      <c r="BH612" s="150"/>
      <c r="BI612" s="137"/>
      <c r="BJ612" s="137"/>
      <c r="BK612" s="3"/>
      <c r="BL612" s="138"/>
      <c r="BM612" s="2"/>
      <c r="BN612" s="139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131"/>
      <c r="BZ612" s="15"/>
      <c r="CA612" s="99"/>
      <c r="CB612" s="149"/>
      <c r="CC612" s="134"/>
      <c r="CD612" s="134"/>
      <c r="CE612" s="137"/>
      <c r="CF612" s="150"/>
      <c r="CG612" s="137"/>
      <c r="CH612" s="137"/>
      <c r="CI612" s="3"/>
      <c r="CJ612" s="138"/>
      <c r="CK612" s="2"/>
      <c r="CL612" s="139"/>
      <c r="CM612" s="3"/>
      <c r="CN612" s="3"/>
      <c r="CO612" s="3"/>
      <c r="CP612" s="3"/>
      <c r="CQ612" s="3"/>
      <c r="CR612" s="3"/>
      <c r="CS612" s="3"/>
      <c r="CT612" s="3"/>
      <c r="CU612" s="3"/>
      <c r="CV612" s="3"/>
      <c r="CW612" s="131"/>
      <c r="CX612" s="15"/>
      <c r="CY612" s="99"/>
      <c r="CZ612" s="149"/>
      <c r="DA612" s="134"/>
      <c r="DB612" s="134"/>
      <c r="DC612" s="137"/>
      <c r="DD612" s="150"/>
      <c r="DE612" s="137"/>
      <c r="DF612" s="137"/>
      <c r="DG612" s="3"/>
      <c r="DH612" s="138"/>
      <c r="DI612" s="2"/>
      <c r="DJ612" s="139"/>
      <c r="DK612" s="3"/>
      <c r="DL612" s="3"/>
      <c r="DM612" s="3"/>
      <c r="DN612" s="3"/>
      <c r="DO612" s="3"/>
      <c r="DP612" s="3"/>
      <c r="DQ612" s="3"/>
      <c r="DR612" s="3"/>
      <c r="DS612" s="3"/>
      <c r="DT612" s="3"/>
      <c r="DU612" s="131"/>
      <c r="DV612" s="15"/>
      <c r="DW612" s="99"/>
      <c r="DX612" s="149"/>
      <c r="DY612" s="134"/>
      <c r="DZ612" s="134"/>
      <c r="EA612" s="137"/>
      <c r="EB612" s="150"/>
      <c r="EC612" s="137"/>
      <c r="ED612" s="137"/>
      <c r="EE612" s="3"/>
      <c r="EF612" s="138"/>
      <c r="EG612" s="2"/>
      <c r="EH612" s="139"/>
      <c r="EI612" s="3"/>
      <c r="EJ612" s="3"/>
      <c r="EK612" s="3"/>
      <c r="EL612" s="3"/>
      <c r="EM612" s="3"/>
      <c r="EN612" s="3"/>
      <c r="EO612" s="3"/>
      <c r="EP612" s="3"/>
      <c r="EQ612" s="3"/>
      <c r="ER612" s="3"/>
      <c r="ES612" s="131"/>
      <c r="ET612" s="15"/>
      <c r="EU612" s="99"/>
      <c r="EV612" s="149"/>
      <c r="EW612" s="134"/>
      <c r="EX612" s="134"/>
      <c r="EY612" s="137"/>
      <c r="EZ612" s="150"/>
      <c r="FA612" s="137"/>
      <c r="FB612" s="137"/>
      <c r="FC612" s="3"/>
      <c r="FD612" s="138"/>
      <c r="FE612" s="2"/>
      <c r="FF612" s="139"/>
      <c r="FG612" s="3"/>
      <c r="FH612" s="3"/>
      <c r="FI612" s="3"/>
      <c r="FJ612" s="3"/>
      <c r="FK612" s="3"/>
      <c r="FL612" s="3"/>
      <c r="FM612" s="3"/>
      <c r="FN612" s="3"/>
      <c r="FO612" s="3"/>
      <c r="FP612" s="3"/>
      <c r="FQ612" s="131"/>
      <c r="FR612" s="15"/>
      <c r="FS612" s="99"/>
      <c r="FT612" s="149"/>
      <c r="FU612" s="134"/>
      <c r="FV612" s="134"/>
      <c r="FW612" s="137"/>
      <c r="FX612" s="150"/>
      <c r="FY612" s="137"/>
      <c r="FZ612" s="137"/>
      <c r="GA612" s="3"/>
      <c r="GB612" s="138"/>
      <c r="GC612" s="2"/>
      <c r="GD612" s="139"/>
      <c r="GE612" s="3"/>
      <c r="GF612" s="3"/>
    </row>
    <row r="613" spans="1:188" s="125" customFormat="1">
      <c r="A613" s="86">
        <v>2</v>
      </c>
      <c r="B613" s="56"/>
      <c r="C613" s="18"/>
      <c r="D613" s="19" t="s">
        <v>1371</v>
      </c>
      <c r="E613" s="20" t="s">
        <v>1412</v>
      </c>
      <c r="F613" s="62" t="s">
        <v>974</v>
      </c>
      <c r="G613" s="63"/>
      <c r="H613" s="121"/>
      <c r="I613" s="24">
        <v>2569524</v>
      </c>
      <c r="J613" s="24"/>
      <c r="K613" s="24">
        <f t="shared" si="48"/>
        <v>2569524</v>
      </c>
      <c r="L613" s="26"/>
      <c r="M613" s="24"/>
      <c r="N613" s="129">
        <f t="shared" si="49"/>
        <v>2569524</v>
      </c>
      <c r="O613" s="108"/>
      <c r="P613" s="3"/>
      <c r="Q613" s="3"/>
      <c r="R613" s="3"/>
      <c r="S613" s="3"/>
      <c r="T613" s="3"/>
      <c r="U613" s="3"/>
      <c r="V613" s="131"/>
      <c r="W613" s="15"/>
      <c r="X613" s="3"/>
      <c r="Y613" s="3"/>
      <c r="Z613" s="3"/>
      <c r="AA613" s="3"/>
      <c r="AB613" s="3"/>
      <c r="AC613" s="131"/>
      <c r="AD613" s="15"/>
      <c r="AE613" s="99"/>
      <c r="AF613" s="149"/>
      <c r="AG613" s="134"/>
      <c r="AH613" s="134"/>
      <c r="AI613" s="137"/>
      <c r="AJ613" s="150"/>
      <c r="AK613" s="137"/>
      <c r="AL613" s="137"/>
      <c r="AM613" s="3"/>
      <c r="AN613" s="138"/>
      <c r="AO613" s="2"/>
      <c r="AP613" s="139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131"/>
      <c r="BB613" s="15"/>
      <c r="BC613" s="99"/>
      <c r="BD613" s="149"/>
      <c r="BE613" s="134"/>
      <c r="BF613" s="134"/>
      <c r="BG613" s="137"/>
      <c r="BH613" s="150"/>
      <c r="BI613" s="137"/>
      <c r="BJ613" s="137"/>
      <c r="BK613" s="3"/>
      <c r="BL613" s="138"/>
      <c r="BM613" s="2"/>
      <c r="BN613" s="139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131"/>
      <c r="BZ613" s="15"/>
      <c r="CA613" s="99"/>
      <c r="CB613" s="149"/>
      <c r="CC613" s="134"/>
      <c r="CD613" s="134"/>
      <c r="CE613" s="137"/>
      <c r="CF613" s="150"/>
      <c r="CG613" s="137"/>
      <c r="CH613" s="137"/>
      <c r="CI613" s="3"/>
      <c r="CJ613" s="138"/>
      <c r="CK613" s="2"/>
      <c r="CL613" s="139"/>
      <c r="CM613" s="3"/>
      <c r="CN613" s="3"/>
      <c r="CO613" s="3"/>
      <c r="CP613" s="3"/>
      <c r="CQ613" s="3"/>
      <c r="CR613" s="3"/>
      <c r="CS613" s="3"/>
      <c r="CT613" s="3"/>
      <c r="CU613" s="3"/>
      <c r="CV613" s="3"/>
      <c r="CW613" s="131"/>
      <c r="CX613" s="15"/>
      <c r="CY613" s="99"/>
      <c r="CZ613" s="149"/>
      <c r="DA613" s="134"/>
      <c r="DB613" s="134"/>
      <c r="DC613" s="137"/>
      <c r="DD613" s="150"/>
      <c r="DE613" s="137"/>
      <c r="DF613" s="137"/>
      <c r="DG613" s="3"/>
      <c r="DH613" s="138"/>
      <c r="DI613" s="2"/>
      <c r="DJ613" s="139"/>
      <c r="DK613" s="3"/>
      <c r="DL613" s="3"/>
      <c r="DM613" s="3"/>
      <c r="DN613" s="3"/>
      <c r="DO613" s="3"/>
      <c r="DP613" s="3"/>
      <c r="DQ613" s="3"/>
      <c r="DR613" s="3"/>
      <c r="DS613" s="3"/>
      <c r="DT613" s="3"/>
      <c r="DU613" s="131"/>
      <c r="DV613" s="15"/>
      <c r="DW613" s="99"/>
      <c r="DX613" s="149"/>
      <c r="DY613" s="134"/>
      <c r="DZ613" s="134"/>
      <c r="EA613" s="137"/>
      <c r="EB613" s="150"/>
      <c r="EC613" s="137"/>
      <c r="ED613" s="137"/>
      <c r="EE613" s="3"/>
      <c r="EF613" s="138"/>
      <c r="EG613" s="2"/>
      <c r="EH613" s="139"/>
      <c r="EI613" s="3"/>
      <c r="EJ613" s="3"/>
      <c r="EK613" s="3"/>
      <c r="EL613" s="3"/>
      <c r="EM613" s="3"/>
      <c r="EN613" s="3"/>
      <c r="EO613" s="3"/>
      <c r="EP613" s="3"/>
      <c r="EQ613" s="3"/>
      <c r="ER613" s="3"/>
      <c r="ES613" s="131"/>
      <c r="ET613" s="15"/>
      <c r="EU613" s="99"/>
      <c r="EV613" s="149"/>
      <c r="EW613" s="134"/>
      <c r="EX613" s="134"/>
      <c r="EY613" s="137"/>
      <c r="EZ613" s="150"/>
      <c r="FA613" s="137"/>
      <c r="FB613" s="137"/>
      <c r="FC613" s="3"/>
      <c r="FD613" s="138"/>
      <c r="FE613" s="2"/>
      <c r="FF613" s="139"/>
      <c r="FG613" s="3"/>
      <c r="FH613" s="3"/>
      <c r="FI613" s="3"/>
      <c r="FJ613" s="3"/>
      <c r="FK613" s="3"/>
      <c r="FL613" s="3"/>
      <c r="FM613" s="3"/>
      <c r="FN613" s="3"/>
      <c r="FO613" s="3"/>
      <c r="FP613" s="3"/>
      <c r="FQ613" s="131"/>
      <c r="FR613" s="15"/>
      <c r="FS613" s="99"/>
      <c r="FT613" s="149"/>
      <c r="FU613" s="134"/>
      <c r="FV613" s="134"/>
      <c r="FW613" s="137"/>
      <c r="FX613" s="150"/>
      <c r="FY613" s="137"/>
      <c r="FZ613" s="137"/>
      <c r="GA613" s="3"/>
      <c r="GB613" s="138"/>
      <c r="GC613" s="2"/>
      <c r="GD613" s="139"/>
      <c r="GE613" s="3"/>
      <c r="GF613" s="3"/>
    </row>
    <row r="614" spans="1:188" s="125" customFormat="1">
      <c r="A614" s="86">
        <v>3</v>
      </c>
      <c r="B614" s="56">
        <v>43067</v>
      </c>
      <c r="C614" s="18"/>
      <c r="D614" s="19" t="s">
        <v>1371</v>
      </c>
      <c r="E614" s="20" t="s">
        <v>480</v>
      </c>
      <c r="F614" s="24" t="s">
        <v>975</v>
      </c>
      <c r="G614" s="238">
        <v>1708</v>
      </c>
      <c r="H614" s="121">
        <v>2669500</v>
      </c>
      <c r="I614" s="24"/>
      <c r="J614" s="199">
        <f>SUM(H614)/1.05</f>
        <v>2542380.9523809524</v>
      </c>
      <c r="K614" s="24">
        <f t="shared" si="48"/>
        <v>2542380.9523809524</v>
      </c>
      <c r="L614" s="24"/>
      <c r="M614" s="24">
        <f>K614*L614</f>
        <v>0</v>
      </c>
      <c r="N614" s="129">
        <f t="shared" si="49"/>
        <v>2542380.9523809524</v>
      </c>
      <c r="O614" s="108" t="s">
        <v>900</v>
      </c>
      <c r="P614" s="3"/>
      <c r="Q614" s="3"/>
      <c r="R614" s="3"/>
      <c r="S614" s="3"/>
      <c r="T614" s="3"/>
      <c r="U614" s="3"/>
      <c r="V614" s="131"/>
      <c r="W614" s="15"/>
      <c r="X614" s="3"/>
      <c r="Y614" s="3"/>
      <c r="Z614" s="3"/>
      <c r="AA614" s="3"/>
      <c r="AB614" s="3"/>
      <c r="AC614" s="131"/>
      <c r="AD614" s="15"/>
      <c r="AE614" s="99"/>
      <c r="AF614" s="149"/>
      <c r="AG614" s="134"/>
      <c r="AH614" s="134"/>
      <c r="AI614" s="137"/>
      <c r="AJ614" s="150"/>
      <c r="AK614" s="137"/>
      <c r="AL614" s="137"/>
      <c r="AM614" s="3"/>
      <c r="AN614" s="138"/>
      <c r="AO614" s="2"/>
      <c r="AP614" s="139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131"/>
      <c r="BB614" s="15"/>
      <c r="BC614" s="99"/>
      <c r="BD614" s="149"/>
      <c r="BE614" s="134"/>
      <c r="BF614" s="134"/>
      <c r="BG614" s="137"/>
      <c r="BH614" s="150"/>
      <c r="BI614" s="137"/>
      <c r="BJ614" s="137"/>
      <c r="BK614" s="3"/>
      <c r="BL614" s="138"/>
      <c r="BM614" s="2"/>
      <c r="BN614" s="139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131"/>
      <c r="BZ614" s="15"/>
      <c r="CA614" s="99"/>
      <c r="CB614" s="149"/>
      <c r="CC614" s="134"/>
      <c r="CD614" s="134"/>
      <c r="CE614" s="137"/>
      <c r="CF614" s="150"/>
      <c r="CG614" s="137"/>
      <c r="CH614" s="137"/>
      <c r="CI614" s="3"/>
      <c r="CJ614" s="138"/>
      <c r="CK614" s="2"/>
      <c r="CL614" s="139"/>
      <c r="CM614" s="3"/>
      <c r="CN614" s="3"/>
      <c r="CO614" s="3"/>
      <c r="CP614" s="3"/>
      <c r="CQ614" s="3"/>
      <c r="CR614" s="3"/>
      <c r="CS614" s="3"/>
      <c r="CT614" s="3"/>
      <c r="CU614" s="3"/>
      <c r="CV614" s="3"/>
      <c r="CW614" s="131"/>
      <c r="CX614" s="15"/>
      <c r="CY614" s="99"/>
      <c r="CZ614" s="149"/>
      <c r="DA614" s="134"/>
      <c r="DB614" s="134"/>
      <c r="DC614" s="137"/>
      <c r="DD614" s="150"/>
      <c r="DE614" s="137"/>
      <c r="DF614" s="137"/>
      <c r="DG614" s="3"/>
      <c r="DH614" s="138"/>
      <c r="DI614" s="2"/>
      <c r="DJ614" s="139"/>
      <c r="DK614" s="3"/>
      <c r="DL614" s="3"/>
      <c r="DM614" s="3"/>
      <c r="DN614" s="3"/>
      <c r="DO614" s="3"/>
      <c r="DP614" s="3"/>
      <c r="DQ614" s="3"/>
      <c r="DR614" s="3"/>
      <c r="DS614" s="3"/>
      <c r="DT614" s="3"/>
      <c r="DU614" s="131"/>
      <c r="DV614" s="15"/>
      <c r="DW614" s="99"/>
      <c r="DX614" s="149"/>
      <c r="DY614" s="134"/>
      <c r="DZ614" s="134"/>
      <c r="EA614" s="137"/>
      <c r="EB614" s="150"/>
      <c r="EC614" s="137"/>
      <c r="ED614" s="137"/>
      <c r="EE614" s="3"/>
      <c r="EF614" s="138"/>
      <c r="EG614" s="2"/>
      <c r="EH614" s="139"/>
      <c r="EI614" s="3"/>
      <c r="EJ614" s="3"/>
      <c r="EK614" s="3"/>
      <c r="EL614" s="3"/>
      <c r="EM614" s="3"/>
      <c r="EN614" s="3"/>
      <c r="EO614" s="3"/>
      <c r="EP614" s="3"/>
      <c r="EQ614" s="3"/>
      <c r="ER614" s="3"/>
      <c r="ES614" s="131"/>
      <c r="ET614" s="15"/>
      <c r="EU614" s="99"/>
      <c r="EV614" s="149"/>
      <c r="EW614" s="134"/>
      <c r="EX614" s="134"/>
      <c r="EY614" s="137"/>
      <c r="EZ614" s="150"/>
      <c r="FA614" s="137"/>
      <c r="FB614" s="137"/>
      <c r="FC614" s="3"/>
      <c r="FD614" s="138"/>
      <c r="FE614" s="2"/>
      <c r="FF614" s="139"/>
      <c r="FG614" s="3"/>
      <c r="FH614" s="3"/>
      <c r="FI614" s="3"/>
      <c r="FJ614" s="3"/>
      <c r="FK614" s="3"/>
      <c r="FL614" s="3"/>
      <c r="FM614" s="3"/>
      <c r="FN614" s="3"/>
      <c r="FO614" s="3"/>
      <c r="FP614" s="3"/>
      <c r="FQ614" s="131"/>
      <c r="FR614" s="15"/>
      <c r="FS614" s="99"/>
      <c r="FT614" s="149"/>
      <c r="FU614" s="134"/>
      <c r="FV614" s="134"/>
      <c r="FW614" s="137"/>
      <c r="FX614" s="150"/>
      <c r="FY614" s="137"/>
      <c r="FZ614" s="137"/>
      <c r="GA614" s="3"/>
      <c r="GB614" s="138"/>
      <c r="GC614" s="2"/>
      <c r="GD614" s="139"/>
      <c r="GE614" s="3"/>
      <c r="GF614" s="3"/>
    </row>
    <row r="615" spans="1:188" s="125" customFormat="1">
      <c r="A615" s="86">
        <v>4</v>
      </c>
      <c r="B615" s="56">
        <v>43067</v>
      </c>
      <c r="C615" s="18"/>
      <c r="D615" s="19" t="s">
        <v>1371</v>
      </c>
      <c r="E615" s="20" t="s">
        <v>480</v>
      </c>
      <c r="F615" s="24" t="s">
        <v>976</v>
      </c>
      <c r="G615" s="238">
        <v>1708</v>
      </c>
      <c r="H615" s="121">
        <v>2669500</v>
      </c>
      <c r="I615" s="24"/>
      <c r="J615" s="199">
        <f>SUM(H615)/1.05</f>
        <v>2542380.9523809524</v>
      </c>
      <c r="K615" s="24">
        <f t="shared" si="48"/>
        <v>2542380.9523809524</v>
      </c>
      <c r="L615" s="24"/>
      <c r="M615" s="24">
        <f>K615*L615</f>
        <v>0</v>
      </c>
      <c r="N615" s="129">
        <f t="shared" si="49"/>
        <v>2542380.9523809524</v>
      </c>
      <c r="O615" s="108" t="s">
        <v>900</v>
      </c>
      <c r="P615" s="3"/>
      <c r="Q615" s="3"/>
      <c r="R615" s="3"/>
      <c r="S615" s="3"/>
      <c r="T615" s="3"/>
      <c r="U615" s="3"/>
      <c r="V615" s="131"/>
      <c r="W615" s="15"/>
      <c r="X615" s="3"/>
      <c r="Y615" s="3"/>
      <c r="Z615" s="3"/>
      <c r="AA615" s="3"/>
      <c r="AB615" s="3"/>
      <c r="AC615" s="131"/>
      <c r="AD615" s="15"/>
      <c r="AE615" s="99"/>
      <c r="AF615" s="149"/>
      <c r="AG615" s="134"/>
      <c r="AH615" s="134"/>
      <c r="AI615" s="137"/>
      <c r="AJ615" s="150"/>
      <c r="AK615" s="137"/>
      <c r="AL615" s="137"/>
      <c r="AM615" s="3"/>
      <c r="AN615" s="138"/>
      <c r="AO615" s="2"/>
      <c r="AP615" s="139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131"/>
      <c r="BB615" s="15"/>
      <c r="BC615" s="99"/>
      <c r="BD615" s="149"/>
      <c r="BE615" s="134"/>
      <c r="BF615" s="134"/>
      <c r="BG615" s="137"/>
      <c r="BH615" s="150"/>
      <c r="BI615" s="137"/>
      <c r="BJ615" s="137"/>
      <c r="BK615" s="3"/>
      <c r="BL615" s="138"/>
      <c r="BM615" s="2"/>
      <c r="BN615" s="139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131"/>
      <c r="BZ615" s="15"/>
      <c r="CA615" s="99"/>
      <c r="CB615" s="149"/>
      <c r="CC615" s="134"/>
      <c r="CD615" s="134"/>
      <c r="CE615" s="137"/>
      <c r="CF615" s="150"/>
      <c r="CG615" s="137"/>
      <c r="CH615" s="137"/>
      <c r="CI615" s="3"/>
      <c r="CJ615" s="138"/>
      <c r="CK615" s="2"/>
      <c r="CL615" s="139"/>
      <c r="CM615" s="3"/>
      <c r="CN615" s="3"/>
      <c r="CO615" s="3"/>
      <c r="CP615" s="3"/>
      <c r="CQ615" s="3"/>
      <c r="CR615" s="3"/>
      <c r="CS615" s="3"/>
      <c r="CT615" s="3"/>
      <c r="CU615" s="3"/>
      <c r="CV615" s="3"/>
      <c r="CW615" s="131"/>
      <c r="CX615" s="15"/>
      <c r="CY615" s="99"/>
      <c r="CZ615" s="149"/>
      <c r="DA615" s="134"/>
      <c r="DB615" s="134"/>
      <c r="DC615" s="137"/>
      <c r="DD615" s="150"/>
      <c r="DE615" s="137"/>
      <c r="DF615" s="137"/>
      <c r="DG615" s="3"/>
      <c r="DH615" s="138"/>
      <c r="DI615" s="2"/>
      <c r="DJ615" s="139"/>
      <c r="DK615" s="3"/>
      <c r="DL615" s="3"/>
      <c r="DM615" s="3"/>
      <c r="DN615" s="3"/>
      <c r="DO615" s="3"/>
      <c r="DP615" s="3"/>
      <c r="DQ615" s="3"/>
      <c r="DR615" s="3"/>
      <c r="DS615" s="3"/>
      <c r="DT615" s="3"/>
      <c r="DU615" s="131"/>
      <c r="DV615" s="15"/>
      <c r="DW615" s="99"/>
      <c r="DX615" s="149"/>
      <c r="DY615" s="134"/>
      <c r="DZ615" s="134"/>
      <c r="EA615" s="137"/>
      <c r="EB615" s="150"/>
      <c r="EC615" s="137"/>
      <c r="ED615" s="137"/>
      <c r="EE615" s="3"/>
      <c r="EF615" s="138"/>
      <c r="EG615" s="2"/>
      <c r="EH615" s="139"/>
      <c r="EI615" s="3"/>
      <c r="EJ615" s="3"/>
      <c r="EK615" s="3"/>
      <c r="EL615" s="3"/>
      <c r="EM615" s="3"/>
      <c r="EN615" s="3"/>
      <c r="EO615" s="3"/>
      <c r="EP615" s="3"/>
      <c r="EQ615" s="3"/>
      <c r="ER615" s="3"/>
      <c r="ES615" s="131"/>
      <c r="ET615" s="15"/>
      <c r="EU615" s="99"/>
      <c r="EV615" s="149"/>
      <c r="EW615" s="134"/>
      <c r="EX615" s="134"/>
      <c r="EY615" s="137"/>
      <c r="EZ615" s="150"/>
      <c r="FA615" s="137"/>
      <c r="FB615" s="137"/>
      <c r="FC615" s="3"/>
      <c r="FD615" s="138"/>
      <c r="FE615" s="2"/>
      <c r="FF615" s="139"/>
      <c r="FG615" s="3"/>
      <c r="FH615" s="3"/>
      <c r="FI615" s="3"/>
      <c r="FJ615" s="3"/>
      <c r="FK615" s="3"/>
      <c r="FL615" s="3"/>
      <c r="FM615" s="3"/>
      <c r="FN615" s="3"/>
      <c r="FO615" s="3"/>
      <c r="FP615" s="3"/>
      <c r="FQ615" s="131"/>
      <c r="FR615" s="15"/>
      <c r="FS615" s="99"/>
      <c r="FT615" s="149"/>
      <c r="FU615" s="134"/>
      <c r="FV615" s="134"/>
      <c r="FW615" s="137"/>
      <c r="FX615" s="150"/>
      <c r="FY615" s="137"/>
      <c r="FZ615" s="137"/>
      <c r="GA615" s="3"/>
      <c r="GB615" s="138"/>
      <c r="GC615" s="2"/>
      <c r="GD615" s="139"/>
      <c r="GE615" s="3"/>
      <c r="GF615" s="3"/>
    </row>
    <row r="616" spans="1:188" s="125" customFormat="1">
      <c r="A616" s="86">
        <v>5</v>
      </c>
      <c r="B616" s="60"/>
      <c r="C616" s="18"/>
      <c r="D616" s="19" t="s">
        <v>1371</v>
      </c>
      <c r="E616" s="20" t="s">
        <v>1214</v>
      </c>
      <c r="F616" s="82" t="s">
        <v>1413</v>
      </c>
      <c r="G616" s="58"/>
      <c r="H616" s="121"/>
      <c r="I616" s="24">
        <v>2880000</v>
      </c>
      <c r="J616" s="24"/>
      <c r="K616" s="24">
        <f t="shared" si="48"/>
        <v>2880000</v>
      </c>
      <c r="L616" s="123"/>
      <c r="M616" s="24"/>
      <c r="N616" s="129">
        <f t="shared" si="49"/>
        <v>2880000</v>
      </c>
      <c r="O616" s="108"/>
      <c r="P616" s="3"/>
      <c r="Q616" s="3"/>
      <c r="R616" s="3"/>
      <c r="S616" s="3"/>
      <c r="T616" s="3"/>
      <c r="U616" s="3"/>
      <c r="V616" s="131"/>
      <c r="W616" s="15"/>
      <c r="X616" s="3"/>
      <c r="Y616" s="3"/>
      <c r="Z616" s="3"/>
      <c r="AA616" s="3"/>
      <c r="AB616" s="3"/>
      <c r="AC616" s="131"/>
      <c r="AD616" s="15"/>
      <c r="AE616" s="99"/>
      <c r="AF616" s="149"/>
      <c r="AG616" s="134"/>
      <c r="AH616" s="134"/>
      <c r="AI616" s="137"/>
      <c r="AJ616" s="150"/>
      <c r="AK616" s="137"/>
      <c r="AL616" s="137"/>
      <c r="AM616" s="3"/>
      <c r="AN616" s="138"/>
      <c r="AO616" s="2"/>
      <c r="AP616" s="139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131"/>
      <c r="BB616" s="15"/>
      <c r="BC616" s="99"/>
      <c r="BD616" s="149"/>
      <c r="BE616" s="134"/>
      <c r="BF616" s="134"/>
      <c r="BG616" s="137"/>
      <c r="BH616" s="150"/>
      <c r="BI616" s="137"/>
      <c r="BJ616" s="137"/>
      <c r="BK616" s="3"/>
      <c r="BL616" s="138"/>
      <c r="BM616" s="2"/>
      <c r="BN616" s="139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131"/>
      <c r="BZ616" s="15"/>
      <c r="CA616" s="99"/>
      <c r="CB616" s="149"/>
      <c r="CC616" s="134"/>
      <c r="CD616" s="134"/>
      <c r="CE616" s="137"/>
      <c r="CF616" s="150"/>
      <c r="CG616" s="137"/>
      <c r="CH616" s="137"/>
      <c r="CI616" s="3"/>
      <c r="CJ616" s="138"/>
      <c r="CK616" s="2"/>
      <c r="CL616" s="139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131"/>
      <c r="CX616" s="15"/>
      <c r="CY616" s="99"/>
      <c r="CZ616" s="149"/>
      <c r="DA616" s="134"/>
      <c r="DB616" s="134"/>
      <c r="DC616" s="137"/>
      <c r="DD616" s="150"/>
      <c r="DE616" s="137"/>
      <c r="DF616" s="137"/>
      <c r="DG616" s="3"/>
      <c r="DH616" s="138"/>
      <c r="DI616" s="2"/>
      <c r="DJ616" s="139"/>
      <c r="DK616" s="3"/>
      <c r="DL616" s="3"/>
      <c r="DM616" s="3"/>
      <c r="DN616" s="3"/>
      <c r="DO616" s="3"/>
      <c r="DP616" s="3"/>
      <c r="DQ616" s="3"/>
      <c r="DR616" s="3"/>
      <c r="DS616" s="3"/>
      <c r="DT616" s="3"/>
      <c r="DU616" s="131"/>
      <c r="DV616" s="15"/>
      <c r="DW616" s="99"/>
      <c r="DX616" s="149"/>
      <c r="DY616" s="134"/>
      <c r="DZ616" s="134"/>
      <c r="EA616" s="137"/>
      <c r="EB616" s="150"/>
      <c r="EC616" s="137"/>
      <c r="ED616" s="137"/>
      <c r="EE616" s="3"/>
      <c r="EF616" s="138"/>
      <c r="EG616" s="2"/>
      <c r="EH616" s="139"/>
      <c r="EI616" s="3"/>
      <c r="EJ616" s="3"/>
      <c r="EK616" s="3"/>
      <c r="EL616" s="3"/>
      <c r="EM616" s="3"/>
      <c r="EN616" s="3"/>
      <c r="EO616" s="3"/>
      <c r="EP616" s="3"/>
      <c r="EQ616" s="3"/>
      <c r="ER616" s="3"/>
      <c r="ES616" s="131"/>
      <c r="ET616" s="15"/>
      <c r="EU616" s="99"/>
      <c r="EV616" s="149"/>
      <c r="EW616" s="134"/>
      <c r="EX616" s="134"/>
      <c r="EY616" s="137"/>
      <c r="EZ616" s="150"/>
      <c r="FA616" s="137"/>
      <c r="FB616" s="137"/>
      <c r="FC616" s="3"/>
      <c r="FD616" s="138"/>
      <c r="FE616" s="2"/>
      <c r="FF616" s="139"/>
      <c r="FG616" s="3"/>
      <c r="FH616" s="3"/>
      <c r="FI616" s="3"/>
      <c r="FJ616" s="3"/>
      <c r="FK616" s="3"/>
      <c r="FL616" s="3"/>
      <c r="FM616" s="3"/>
      <c r="FN616" s="3"/>
      <c r="FO616" s="3"/>
      <c r="FP616" s="3"/>
      <c r="FQ616" s="131"/>
      <c r="FR616" s="15"/>
      <c r="FS616" s="99"/>
      <c r="FT616" s="149"/>
      <c r="FU616" s="134"/>
      <c r="FV616" s="134"/>
      <c r="FW616" s="137"/>
      <c r="FX616" s="150"/>
      <c r="FY616" s="137"/>
      <c r="FZ616" s="137"/>
      <c r="GA616" s="3"/>
      <c r="GB616" s="138"/>
      <c r="GC616" s="2"/>
      <c r="GD616" s="139"/>
      <c r="GE616" s="3"/>
      <c r="GF616" s="3"/>
    </row>
    <row r="617" spans="1:188" s="125" customFormat="1">
      <c r="A617" s="86"/>
      <c r="B617" s="56">
        <v>42905</v>
      </c>
      <c r="C617" s="18"/>
      <c r="D617" s="19" t="s">
        <v>1371</v>
      </c>
      <c r="E617" s="20" t="s">
        <v>495</v>
      </c>
      <c r="F617" s="24" t="s">
        <v>978</v>
      </c>
      <c r="G617" s="238">
        <v>1703</v>
      </c>
      <c r="H617" s="121"/>
      <c r="I617" s="24">
        <v>3169143</v>
      </c>
      <c r="J617" s="199"/>
      <c r="K617" s="24">
        <f t="shared" si="48"/>
        <v>3169143</v>
      </c>
      <c r="L617" s="24"/>
      <c r="M617" s="24">
        <f>K617*L617</f>
        <v>0</v>
      </c>
      <c r="N617" s="129">
        <f t="shared" si="49"/>
        <v>3169143</v>
      </c>
      <c r="O617" s="108" t="s">
        <v>979</v>
      </c>
      <c r="P617" s="3"/>
      <c r="Q617" s="3"/>
      <c r="R617" s="3"/>
      <c r="S617" s="3"/>
      <c r="T617" s="3"/>
      <c r="U617" s="3"/>
      <c r="V617" s="131"/>
      <c r="W617" s="15"/>
      <c r="X617" s="3"/>
      <c r="Y617" s="3"/>
      <c r="Z617" s="3"/>
      <c r="AA617" s="3"/>
      <c r="AB617" s="3"/>
      <c r="AC617" s="131"/>
      <c r="AD617" s="15"/>
      <c r="AE617" s="99"/>
      <c r="AF617" s="149"/>
      <c r="AG617" s="134"/>
      <c r="AH617" s="134"/>
      <c r="AI617" s="137"/>
      <c r="AJ617" s="150"/>
      <c r="AK617" s="137"/>
      <c r="AL617" s="137"/>
      <c r="AM617" s="3"/>
      <c r="AN617" s="138"/>
      <c r="AO617" s="2"/>
      <c r="AP617" s="139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131"/>
      <c r="BB617" s="15"/>
      <c r="BC617" s="99"/>
      <c r="BD617" s="149"/>
      <c r="BE617" s="134"/>
      <c r="BF617" s="134"/>
      <c r="BG617" s="137"/>
      <c r="BH617" s="150"/>
      <c r="BI617" s="137"/>
      <c r="BJ617" s="137"/>
      <c r="BK617" s="3"/>
      <c r="BL617" s="138"/>
      <c r="BM617" s="2"/>
      <c r="BN617" s="139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131"/>
      <c r="BZ617" s="15"/>
      <c r="CA617" s="99"/>
      <c r="CB617" s="149"/>
      <c r="CC617" s="134"/>
      <c r="CD617" s="134"/>
      <c r="CE617" s="137"/>
      <c r="CF617" s="150"/>
      <c r="CG617" s="137"/>
      <c r="CH617" s="137"/>
      <c r="CI617" s="3"/>
      <c r="CJ617" s="138"/>
      <c r="CK617" s="2"/>
      <c r="CL617" s="139"/>
      <c r="CM617" s="3"/>
      <c r="CN617" s="3"/>
      <c r="CO617" s="3"/>
      <c r="CP617" s="3"/>
      <c r="CQ617" s="3"/>
      <c r="CR617" s="3"/>
      <c r="CS617" s="3"/>
      <c r="CT617" s="3"/>
      <c r="CU617" s="3"/>
      <c r="CV617" s="3"/>
      <c r="CW617" s="131"/>
      <c r="CX617" s="15"/>
      <c r="CY617" s="99"/>
      <c r="CZ617" s="149"/>
      <c r="DA617" s="134"/>
      <c r="DB617" s="134"/>
      <c r="DC617" s="137"/>
      <c r="DD617" s="150"/>
      <c r="DE617" s="137"/>
      <c r="DF617" s="137"/>
      <c r="DG617" s="3"/>
      <c r="DH617" s="138"/>
      <c r="DI617" s="2"/>
      <c r="DJ617" s="139"/>
      <c r="DK617" s="3"/>
      <c r="DL617" s="3"/>
      <c r="DM617" s="3"/>
      <c r="DN617" s="3"/>
      <c r="DO617" s="3"/>
      <c r="DP617" s="3"/>
      <c r="DQ617" s="3"/>
      <c r="DR617" s="3"/>
      <c r="DS617" s="3"/>
      <c r="DT617" s="3"/>
      <c r="DU617" s="131"/>
      <c r="DV617" s="15"/>
      <c r="DW617" s="99"/>
      <c r="DX617" s="149"/>
      <c r="DY617" s="134"/>
      <c r="DZ617" s="134"/>
      <c r="EA617" s="137"/>
      <c r="EB617" s="150"/>
      <c r="EC617" s="137"/>
      <c r="ED617" s="137"/>
      <c r="EE617" s="3"/>
      <c r="EF617" s="138"/>
      <c r="EG617" s="2"/>
      <c r="EH617" s="139"/>
      <c r="EI617" s="3"/>
      <c r="EJ617" s="3"/>
      <c r="EK617" s="3"/>
      <c r="EL617" s="3"/>
      <c r="EM617" s="3"/>
      <c r="EN617" s="3"/>
      <c r="EO617" s="3"/>
      <c r="EP617" s="3"/>
      <c r="EQ617" s="3"/>
      <c r="ER617" s="3"/>
      <c r="ES617" s="131"/>
      <c r="ET617" s="15"/>
      <c r="EU617" s="99"/>
      <c r="EV617" s="149"/>
      <c r="EW617" s="134"/>
      <c r="EX617" s="134"/>
      <c r="EY617" s="137"/>
      <c r="EZ617" s="150"/>
      <c r="FA617" s="137"/>
      <c r="FB617" s="137"/>
      <c r="FC617" s="3"/>
      <c r="FD617" s="138"/>
      <c r="FE617" s="2"/>
      <c r="FF617" s="139"/>
      <c r="FG617" s="3"/>
      <c r="FH617" s="3"/>
      <c r="FI617" s="3"/>
      <c r="FJ617" s="3"/>
      <c r="FK617" s="3"/>
      <c r="FL617" s="3"/>
      <c r="FM617" s="3"/>
      <c r="FN617" s="3"/>
      <c r="FO617" s="3"/>
      <c r="FP617" s="3"/>
      <c r="FQ617" s="131"/>
      <c r="FR617" s="15"/>
      <c r="FS617" s="99"/>
      <c r="FT617" s="149"/>
      <c r="FU617" s="134"/>
      <c r="FV617" s="134"/>
      <c r="FW617" s="137"/>
      <c r="FX617" s="150"/>
      <c r="FY617" s="137"/>
      <c r="FZ617" s="137"/>
      <c r="GA617" s="3"/>
      <c r="GB617" s="138"/>
      <c r="GC617" s="2"/>
      <c r="GD617" s="139"/>
      <c r="GE617" s="3"/>
      <c r="GF617" s="3"/>
    </row>
    <row r="618" spans="1:188" s="125" customFormat="1">
      <c r="A618" s="86"/>
      <c r="B618" s="56"/>
      <c r="C618" s="18"/>
      <c r="D618" s="19" t="s">
        <v>1058</v>
      </c>
      <c r="E618" s="20" t="s">
        <v>1059</v>
      </c>
      <c r="F618" s="82" t="s">
        <v>1414</v>
      </c>
      <c r="G618" s="58"/>
      <c r="H618" s="121"/>
      <c r="I618" s="24">
        <v>1399429</v>
      </c>
      <c r="J618" s="24"/>
      <c r="K618" s="24">
        <f t="shared" si="48"/>
        <v>1399429</v>
      </c>
      <c r="L618" s="123"/>
      <c r="M618" s="24"/>
      <c r="N618" s="59">
        <f t="shared" si="49"/>
        <v>1399429</v>
      </c>
      <c r="O618" s="108"/>
      <c r="P618" s="3"/>
      <c r="Q618" s="3"/>
      <c r="R618" s="3"/>
      <c r="S618" s="3"/>
      <c r="T618" s="3"/>
      <c r="U618" s="3"/>
      <c r="V618" s="131"/>
      <c r="W618" s="15"/>
      <c r="X618" s="3"/>
      <c r="Y618" s="3"/>
      <c r="Z618" s="3"/>
      <c r="AA618" s="3"/>
      <c r="AB618" s="3"/>
      <c r="AC618" s="131"/>
      <c r="AD618" s="15"/>
      <c r="AE618" s="99"/>
      <c r="AF618" s="149"/>
      <c r="AG618" s="134"/>
      <c r="AH618" s="134"/>
      <c r="AI618" s="137"/>
      <c r="AJ618" s="150"/>
      <c r="AK618" s="137"/>
      <c r="AL618" s="137"/>
      <c r="AM618" s="3"/>
      <c r="AN618" s="138"/>
      <c r="AO618" s="2"/>
      <c r="AP618" s="139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131"/>
      <c r="BB618" s="15"/>
      <c r="BC618" s="99"/>
      <c r="BD618" s="149"/>
      <c r="BE618" s="134"/>
      <c r="BF618" s="134"/>
      <c r="BG618" s="137"/>
      <c r="BH618" s="150"/>
      <c r="BI618" s="137"/>
      <c r="BJ618" s="137"/>
      <c r="BK618" s="3"/>
      <c r="BL618" s="138"/>
      <c r="BM618" s="2"/>
      <c r="BN618" s="139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131"/>
      <c r="BZ618" s="15"/>
      <c r="CA618" s="99"/>
      <c r="CB618" s="149"/>
      <c r="CC618" s="134"/>
      <c r="CD618" s="134"/>
      <c r="CE618" s="137"/>
      <c r="CF618" s="150"/>
      <c r="CG618" s="137"/>
      <c r="CH618" s="137"/>
      <c r="CI618" s="3"/>
      <c r="CJ618" s="138"/>
      <c r="CK618" s="2"/>
      <c r="CL618" s="139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131"/>
      <c r="CX618" s="15"/>
      <c r="CY618" s="99"/>
      <c r="CZ618" s="149"/>
      <c r="DA618" s="134"/>
      <c r="DB618" s="134"/>
      <c r="DC618" s="137"/>
      <c r="DD618" s="150"/>
      <c r="DE618" s="137"/>
      <c r="DF618" s="137"/>
      <c r="DG618" s="3"/>
      <c r="DH618" s="138"/>
      <c r="DI618" s="2"/>
      <c r="DJ618" s="139"/>
      <c r="DK618" s="3"/>
      <c r="DL618" s="3"/>
      <c r="DM618" s="3"/>
      <c r="DN618" s="3"/>
      <c r="DO618" s="3"/>
      <c r="DP618" s="3"/>
      <c r="DQ618" s="3"/>
      <c r="DR618" s="3"/>
      <c r="DS618" s="3"/>
      <c r="DT618" s="3"/>
      <c r="DU618" s="131"/>
      <c r="DV618" s="15"/>
      <c r="DW618" s="99"/>
      <c r="DX618" s="149"/>
      <c r="DY618" s="134"/>
      <c r="DZ618" s="134"/>
      <c r="EA618" s="137"/>
      <c r="EB618" s="150"/>
      <c r="EC618" s="137"/>
      <c r="ED618" s="137"/>
      <c r="EE618" s="3"/>
      <c r="EF618" s="138"/>
      <c r="EG618" s="2"/>
      <c r="EH618" s="139"/>
      <c r="EI618" s="3"/>
      <c r="EJ618" s="3"/>
      <c r="EK618" s="3"/>
      <c r="EL618" s="3"/>
      <c r="EM618" s="3"/>
      <c r="EN618" s="3"/>
      <c r="EO618" s="3"/>
      <c r="EP618" s="3"/>
      <c r="EQ618" s="3"/>
      <c r="ER618" s="3"/>
      <c r="ES618" s="131"/>
      <c r="ET618" s="15"/>
      <c r="EU618" s="99"/>
      <c r="EV618" s="149"/>
      <c r="EW618" s="134"/>
      <c r="EX618" s="134"/>
      <c r="EY618" s="137"/>
      <c r="EZ618" s="150"/>
      <c r="FA618" s="137"/>
      <c r="FB618" s="137"/>
      <c r="FC618" s="3"/>
      <c r="FD618" s="138"/>
      <c r="FE618" s="2"/>
      <c r="FF618" s="139"/>
      <c r="FG618" s="3"/>
      <c r="FH618" s="3"/>
      <c r="FI618" s="3"/>
      <c r="FJ618" s="3"/>
      <c r="FK618" s="3"/>
      <c r="FL618" s="3"/>
      <c r="FM618" s="3"/>
      <c r="FN618" s="3"/>
      <c r="FO618" s="3"/>
      <c r="FP618" s="3"/>
      <c r="FQ618" s="131"/>
      <c r="FR618" s="15"/>
      <c r="FS618" s="99"/>
      <c r="FT618" s="149"/>
      <c r="FU618" s="134"/>
      <c r="FV618" s="134"/>
      <c r="FW618" s="137"/>
      <c r="FX618" s="150"/>
      <c r="FY618" s="137"/>
      <c r="FZ618" s="137"/>
      <c r="GA618" s="3"/>
      <c r="GB618" s="138"/>
      <c r="GC618" s="2"/>
      <c r="GD618" s="139"/>
      <c r="GE618" s="3"/>
      <c r="GF618" s="3"/>
    </row>
    <row r="619" spans="1:188" s="125" customFormat="1">
      <c r="A619" s="86"/>
      <c r="B619" s="56"/>
      <c r="C619" s="18"/>
      <c r="D619" s="19" t="s">
        <v>1058</v>
      </c>
      <c r="E619" s="20" t="s">
        <v>1415</v>
      </c>
      <c r="F619" s="82" t="s">
        <v>1416</v>
      </c>
      <c r="G619" s="58"/>
      <c r="H619" s="121"/>
      <c r="I619" s="24">
        <v>1594286</v>
      </c>
      <c r="J619" s="24"/>
      <c r="K619" s="24">
        <f t="shared" si="48"/>
        <v>1594286</v>
      </c>
      <c r="L619" s="123"/>
      <c r="M619" s="24"/>
      <c r="N619" s="129">
        <f t="shared" si="49"/>
        <v>1594286</v>
      </c>
      <c r="O619" s="108"/>
      <c r="P619" s="3"/>
      <c r="Q619" s="3"/>
      <c r="R619" s="3"/>
      <c r="S619" s="3"/>
      <c r="T619" s="3"/>
      <c r="U619" s="3"/>
      <c r="V619" s="131"/>
      <c r="W619" s="15"/>
      <c r="X619" s="3"/>
      <c r="Y619" s="3"/>
      <c r="Z619" s="3"/>
      <c r="AA619" s="3"/>
      <c r="AB619" s="3"/>
      <c r="AC619" s="131"/>
      <c r="AD619" s="15"/>
      <c r="AE619" s="99"/>
      <c r="AF619" s="149"/>
      <c r="AG619" s="134"/>
      <c r="AH619" s="134"/>
      <c r="AI619" s="137"/>
      <c r="AJ619" s="150"/>
      <c r="AK619" s="137"/>
      <c r="AL619" s="137"/>
      <c r="AM619" s="3"/>
      <c r="AN619" s="138"/>
      <c r="AO619" s="2"/>
      <c r="AP619" s="139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131"/>
      <c r="BB619" s="15"/>
      <c r="BC619" s="99"/>
      <c r="BD619" s="149"/>
      <c r="BE619" s="134"/>
      <c r="BF619" s="134"/>
      <c r="BG619" s="137"/>
      <c r="BH619" s="150"/>
      <c r="BI619" s="137"/>
      <c r="BJ619" s="137"/>
      <c r="BK619" s="3"/>
      <c r="BL619" s="138"/>
      <c r="BM619" s="2"/>
      <c r="BN619" s="139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131"/>
      <c r="BZ619" s="15"/>
      <c r="CA619" s="99"/>
      <c r="CB619" s="149"/>
      <c r="CC619" s="134"/>
      <c r="CD619" s="134"/>
      <c r="CE619" s="137"/>
      <c r="CF619" s="150"/>
      <c r="CG619" s="137"/>
      <c r="CH619" s="137"/>
      <c r="CI619" s="3"/>
      <c r="CJ619" s="138"/>
      <c r="CK619" s="2"/>
      <c r="CL619" s="139"/>
      <c r="CM619" s="3"/>
      <c r="CN619" s="3"/>
      <c r="CO619" s="3"/>
      <c r="CP619" s="3"/>
      <c r="CQ619" s="3"/>
      <c r="CR619" s="3"/>
      <c r="CS619" s="3"/>
      <c r="CT619" s="3"/>
      <c r="CU619" s="3"/>
      <c r="CV619" s="3"/>
      <c r="CW619" s="131"/>
      <c r="CX619" s="15"/>
      <c r="CY619" s="99"/>
      <c r="CZ619" s="149"/>
      <c r="DA619" s="134"/>
      <c r="DB619" s="134"/>
      <c r="DC619" s="137"/>
      <c r="DD619" s="150"/>
      <c r="DE619" s="137"/>
      <c r="DF619" s="137"/>
      <c r="DG619" s="3"/>
      <c r="DH619" s="138"/>
      <c r="DI619" s="2"/>
      <c r="DJ619" s="139"/>
      <c r="DK619" s="3"/>
      <c r="DL619" s="3"/>
      <c r="DM619" s="3"/>
      <c r="DN619" s="3"/>
      <c r="DO619" s="3"/>
      <c r="DP619" s="3"/>
      <c r="DQ619" s="3"/>
      <c r="DR619" s="3"/>
      <c r="DS619" s="3"/>
      <c r="DT619" s="3"/>
      <c r="DU619" s="131"/>
      <c r="DV619" s="15"/>
      <c r="DW619" s="99"/>
      <c r="DX619" s="149"/>
      <c r="DY619" s="134"/>
      <c r="DZ619" s="134"/>
      <c r="EA619" s="137"/>
      <c r="EB619" s="150"/>
      <c r="EC619" s="137"/>
      <c r="ED619" s="137"/>
      <c r="EE619" s="3"/>
      <c r="EF619" s="138"/>
      <c r="EG619" s="2"/>
      <c r="EH619" s="139"/>
      <c r="EI619" s="3"/>
      <c r="EJ619" s="3"/>
      <c r="EK619" s="3"/>
      <c r="EL619" s="3"/>
      <c r="EM619" s="3"/>
      <c r="EN619" s="3"/>
      <c r="EO619" s="3"/>
      <c r="EP619" s="3"/>
      <c r="EQ619" s="3"/>
      <c r="ER619" s="3"/>
      <c r="ES619" s="131"/>
      <c r="ET619" s="15"/>
      <c r="EU619" s="99"/>
      <c r="EV619" s="149"/>
      <c r="EW619" s="134"/>
      <c r="EX619" s="134"/>
      <c r="EY619" s="137"/>
      <c r="EZ619" s="150"/>
      <c r="FA619" s="137"/>
      <c r="FB619" s="137"/>
      <c r="FC619" s="3"/>
      <c r="FD619" s="138"/>
      <c r="FE619" s="2"/>
      <c r="FF619" s="139"/>
      <c r="FG619" s="3"/>
      <c r="FH619" s="3"/>
      <c r="FI619" s="3"/>
      <c r="FJ619" s="3"/>
      <c r="FK619" s="3"/>
      <c r="FL619" s="3"/>
      <c r="FM619" s="3"/>
      <c r="FN619" s="3"/>
      <c r="FO619" s="3"/>
      <c r="FP619" s="3"/>
      <c r="FQ619" s="131"/>
      <c r="FR619" s="15"/>
      <c r="FS619" s="99"/>
      <c r="FT619" s="149"/>
      <c r="FU619" s="134"/>
      <c r="FV619" s="134"/>
      <c r="FW619" s="137"/>
      <c r="FX619" s="150"/>
      <c r="FY619" s="137"/>
      <c r="FZ619" s="137"/>
      <c r="GA619" s="3"/>
      <c r="GB619" s="138"/>
      <c r="GC619" s="2"/>
      <c r="GD619" s="139"/>
      <c r="GE619" s="3"/>
      <c r="GF619" s="3"/>
    </row>
    <row r="620" spans="1:188" s="125" customFormat="1">
      <c r="A620" s="86"/>
      <c r="B620" s="56">
        <v>43027</v>
      </c>
      <c r="C620" s="18"/>
      <c r="D620" s="19" t="s">
        <v>1058</v>
      </c>
      <c r="E620" s="20" t="s">
        <v>173</v>
      </c>
      <c r="F620" s="24" t="s">
        <v>982</v>
      </c>
      <c r="G620" s="238">
        <v>1707</v>
      </c>
      <c r="H620" s="121">
        <v>1362000</v>
      </c>
      <c r="I620" s="24"/>
      <c r="J620" s="199">
        <v>1297143</v>
      </c>
      <c r="K620" s="24">
        <v>1297143</v>
      </c>
      <c r="L620" s="24"/>
      <c r="M620" s="24">
        <f>K620*L620</f>
        <v>0</v>
      </c>
      <c r="N620" s="129">
        <f t="shared" si="49"/>
        <v>1297143</v>
      </c>
      <c r="O620" s="108" t="s">
        <v>983</v>
      </c>
      <c r="P620" s="3"/>
      <c r="Q620" s="3"/>
      <c r="R620" s="3"/>
      <c r="S620" s="3"/>
      <c r="T620" s="3"/>
      <c r="U620" s="3"/>
      <c r="V620" s="131"/>
      <c r="W620" s="15"/>
      <c r="X620" s="3"/>
      <c r="Y620" s="3"/>
      <c r="Z620" s="3"/>
      <c r="AA620" s="3"/>
      <c r="AB620" s="3"/>
      <c r="AC620" s="131"/>
      <c r="AD620" s="15"/>
      <c r="AE620" s="99"/>
      <c r="AF620" s="149"/>
      <c r="AG620" s="134"/>
      <c r="AH620" s="134"/>
      <c r="AI620" s="137"/>
      <c r="AJ620" s="150"/>
      <c r="AK620" s="137"/>
      <c r="AL620" s="137"/>
      <c r="AM620" s="3"/>
      <c r="AN620" s="138"/>
      <c r="AO620" s="2"/>
      <c r="AP620" s="139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131"/>
      <c r="BB620" s="15"/>
      <c r="BC620" s="99"/>
      <c r="BD620" s="149"/>
      <c r="BE620" s="134"/>
      <c r="BF620" s="134"/>
      <c r="BG620" s="137"/>
      <c r="BH620" s="150"/>
      <c r="BI620" s="137"/>
      <c r="BJ620" s="137"/>
      <c r="BK620" s="3"/>
      <c r="BL620" s="138"/>
      <c r="BM620" s="2"/>
      <c r="BN620" s="139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131"/>
      <c r="BZ620" s="15"/>
      <c r="CA620" s="99"/>
      <c r="CB620" s="149"/>
      <c r="CC620" s="134"/>
      <c r="CD620" s="134"/>
      <c r="CE620" s="137"/>
      <c r="CF620" s="150"/>
      <c r="CG620" s="137"/>
      <c r="CH620" s="137"/>
      <c r="CI620" s="3"/>
      <c r="CJ620" s="138"/>
      <c r="CK620" s="2"/>
      <c r="CL620" s="139"/>
      <c r="CM620" s="3"/>
      <c r="CN620" s="3"/>
      <c r="CO620" s="3"/>
      <c r="CP620" s="3"/>
      <c r="CQ620" s="3"/>
      <c r="CR620" s="3"/>
      <c r="CS620" s="3"/>
      <c r="CT620" s="3"/>
      <c r="CU620" s="3"/>
      <c r="CV620" s="3"/>
      <c r="CW620" s="131"/>
      <c r="CX620" s="15"/>
      <c r="CY620" s="99"/>
      <c r="CZ620" s="149"/>
      <c r="DA620" s="134"/>
      <c r="DB620" s="134"/>
      <c r="DC620" s="137"/>
      <c r="DD620" s="150"/>
      <c r="DE620" s="137"/>
      <c r="DF620" s="137"/>
      <c r="DG620" s="3"/>
      <c r="DH620" s="138"/>
      <c r="DI620" s="2"/>
      <c r="DJ620" s="139"/>
      <c r="DK620" s="3"/>
      <c r="DL620" s="3"/>
      <c r="DM620" s="3"/>
      <c r="DN620" s="3"/>
      <c r="DO620" s="3"/>
      <c r="DP620" s="3"/>
      <c r="DQ620" s="3"/>
      <c r="DR620" s="3"/>
      <c r="DS620" s="3"/>
      <c r="DT620" s="3"/>
      <c r="DU620" s="131"/>
      <c r="DV620" s="15"/>
      <c r="DW620" s="99"/>
      <c r="DX620" s="149"/>
      <c r="DY620" s="134"/>
      <c r="DZ620" s="134"/>
      <c r="EA620" s="137"/>
      <c r="EB620" s="150"/>
      <c r="EC620" s="137"/>
      <c r="ED620" s="137"/>
      <c r="EE620" s="3"/>
      <c r="EF620" s="138"/>
      <c r="EG620" s="2"/>
      <c r="EH620" s="139"/>
      <c r="EI620" s="3"/>
      <c r="EJ620" s="3"/>
      <c r="EK620" s="3"/>
      <c r="EL620" s="3"/>
      <c r="EM620" s="3"/>
      <c r="EN620" s="3"/>
      <c r="EO620" s="3"/>
      <c r="EP620" s="3"/>
      <c r="EQ620" s="3"/>
      <c r="ER620" s="3"/>
      <c r="ES620" s="131"/>
      <c r="ET620" s="15"/>
      <c r="EU620" s="99"/>
      <c r="EV620" s="149"/>
      <c r="EW620" s="134"/>
      <c r="EX620" s="134"/>
      <c r="EY620" s="137"/>
      <c r="EZ620" s="150"/>
      <c r="FA620" s="137"/>
      <c r="FB620" s="137"/>
      <c r="FC620" s="3"/>
      <c r="FD620" s="138"/>
      <c r="FE620" s="2"/>
      <c r="FF620" s="139"/>
      <c r="FG620" s="3"/>
      <c r="FH620" s="3"/>
      <c r="FI620" s="3"/>
      <c r="FJ620" s="3"/>
      <c r="FK620" s="3"/>
      <c r="FL620" s="3"/>
      <c r="FM620" s="3"/>
      <c r="FN620" s="3"/>
      <c r="FO620" s="3"/>
      <c r="FP620" s="3"/>
      <c r="FQ620" s="131"/>
      <c r="FR620" s="15"/>
      <c r="FS620" s="99"/>
      <c r="FT620" s="149"/>
      <c r="FU620" s="134"/>
      <c r="FV620" s="134"/>
      <c r="FW620" s="137"/>
      <c r="FX620" s="150"/>
      <c r="FY620" s="137"/>
      <c r="FZ620" s="137"/>
      <c r="GA620" s="3"/>
      <c r="GB620" s="138"/>
      <c r="GC620" s="2"/>
      <c r="GD620" s="139"/>
      <c r="GE620" s="3"/>
      <c r="GF620" s="3"/>
    </row>
    <row r="621" spans="1:188" s="125" customFormat="1">
      <c r="A621" s="86"/>
      <c r="B621" s="56">
        <v>43004</v>
      </c>
      <c r="C621" s="18"/>
      <c r="D621" s="19" t="s">
        <v>1058</v>
      </c>
      <c r="E621" s="20" t="s">
        <v>222</v>
      </c>
      <c r="F621" s="24" t="s">
        <v>984</v>
      </c>
      <c r="G621" s="238">
        <v>1707</v>
      </c>
      <c r="H621" s="121">
        <v>1585200</v>
      </c>
      <c r="I621" s="24">
        <v>1509714</v>
      </c>
      <c r="J621" s="199"/>
      <c r="K621" s="24">
        <v>1509714</v>
      </c>
      <c r="L621" s="24"/>
      <c r="M621" s="24">
        <f>K621*L621</f>
        <v>0</v>
      </c>
      <c r="N621" s="129">
        <f t="shared" si="49"/>
        <v>1509714</v>
      </c>
      <c r="O621" s="108" t="s">
        <v>985</v>
      </c>
      <c r="P621" s="3"/>
      <c r="Q621" s="3"/>
      <c r="R621" s="3"/>
      <c r="S621" s="3"/>
      <c r="T621" s="3"/>
      <c r="U621" s="3"/>
      <c r="V621" s="131"/>
      <c r="W621" s="15"/>
      <c r="X621" s="3"/>
      <c r="Y621" s="3"/>
      <c r="Z621" s="3"/>
      <c r="AA621" s="3"/>
      <c r="AB621" s="3"/>
      <c r="AC621" s="131"/>
      <c r="AD621" s="15"/>
      <c r="AE621" s="99"/>
      <c r="AF621" s="149"/>
      <c r="AG621" s="134"/>
      <c r="AH621" s="134"/>
      <c r="AI621" s="137"/>
      <c r="AJ621" s="150"/>
      <c r="AK621" s="137"/>
      <c r="AL621" s="137"/>
      <c r="AM621" s="3"/>
      <c r="AN621" s="138"/>
      <c r="AO621" s="2"/>
      <c r="AP621" s="139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131"/>
      <c r="BB621" s="15"/>
      <c r="BC621" s="99"/>
      <c r="BD621" s="149"/>
      <c r="BE621" s="134"/>
      <c r="BF621" s="134"/>
      <c r="BG621" s="137"/>
      <c r="BH621" s="150"/>
      <c r="BI621" s="137"/>
      <c r="BJ621" s="137"/>
      <c r="BK621" s="3"/>
      <c r="BL621" s="138"/>
      <c r="BM621" s="2"/>
      <c r="BN621" s="139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131"/>
      <c r="BZ621" s="15"/>
      <c r="CA621" s="99"/>
      <c r="CB621" s="149"/>
      <c r="CC621" s="134"/>
      <c r="CD621" s="134"/>
      <c r="CE621" s="137"/>
      <c r="CF621" s="150"/>
      <c r="CG621" s="137"/>
      <c r="CH621" s="137"/>
      <c r="CI621" s="3"/>
      <c r="CJ621" s="138"/>
      <c r="CK621" s="2"/>
      <c r="CL621" s="139"/>
      <c r="CM621" s="3"/>
      <c r="CN621" s="3"/>
      <c r="CO621" s="3"/>
      <c r="CP621" s="3"/>
      <c r="CQ621" s="3"/>
      <c r="CR621" s="3"/>
      <c r="CS621" s="3"/>
      <c r="CT621" s="3"/>
      <c r="CU621" s="3"/>
      <c r="CV621" s="3"/>
      <c r="CW621" s="131"/>
      <c r="CX621" s="15"/>
      <c r="CY621" s="99"/>
      <c r="CZ621" s="149"/>
      <c r="DA621" s="134"/>
      <c r="DB621" s="134"/>
      <c r="DC621" s="137"/>
      <c r="DD621" s="150"/>
      <c r="DE621" s="137"/>
      <c r="DF621" s="137"/>
      <c r="DG621" s="3"/>
      <c r="DH621" s="138"/>
      <c r="DI621" s="2"/>
      <c r="DJ621" s="139"/>
      <c r="DK621" s="3"/>
      <c r="DL621" s="3"/>
      <c r="DM621" s="3"/>
      <c r="DN621" s="3"/>
      <c r="DO621" s="3"/>
      <c r="DP621" s="3"/>
      <c r="DQ621" s="3"/>
      <c r="DR621" s="3"/>
      <c r="DS621" s="3"/>
      <c r="DT621" s="3"/>
      <c r="DU621" s="131"/>
      <c r="DV621" s="15"/>
      <c r="DW621" s="99"/>
      <c r="DX621" s="149"/>
      <c r="DY621" s="134"/>
      <c r="DZ621" s="134"/>
      <c r="EA621" s="137"/>
      <c r="EB621" s="150"/>
      <c r="EC621" s="137"/>
      <c r="ED621" s="137"/>
      <c r="EE621" s="3"/>
      <c r="EF621" s="138"/>
      <c r="EG621" s="2"/>
      <c r="EH621" s="139"/>
      <c r="EI621" s="3"/>
      <c r="EJ621" s="3"/>
      <c r="EK621" s="3"/>
      <c r="EL621" s="3"/>
      <c r="EM621" s="3"/>
      <c r="EN621" s="3"/>
      <c r="EO621" s="3"/>
      <c r="EP621" s="3"/>
      <c r="EQ621" s="3"/>
      <c r="ER621" s="3"/>
      <c r="ES621" s="131"/>
      <c r="ET621" s="15"/>
      <c r="EU621" s="99"/>
      <c r="EV621" s="149"/>
      <c r="EW621" s="134"/>
      <c r="EX621" s="134"/>
      <c r="EY621" s="137"/>
      <c r="EZ621" s="150"/>
      <c r="FA621" s="137"/>
      <c r="FB621" s="137"/>
      <c r="FC621" s="3"/>
      <c r="FD621" s="138"/>
      <c r="FE621" s="2"/>
      <c r="FF621" s="139"/>
      <c r="FG621" s="3"/>
      <c r="FH621" s="3"/>
      <c r="FI621" s="3"/>
      <c r="FJ621" s="3"/>
      <c r="FK621" s="3"/>
      <c r="FL621" s="3"/>
      <c r="FM621" s="3"/>
      <c r="FN621" s="3"/>
      <c r="FO621" s="3"/>
      <c r="FP621" s="3"/>
      <c r="FQ621" s="131"/>
      <c r="FR621" s="15"/>
      <c r="FS621" s="99"/>
      <c r="FT621" s="149"/>
      <c r="FU621" s="134"/>
      <c r="FV621" s="134"/>
      <c r="FW621" s="137"/>
      <c r="FX621" s="150"/>
      <c r="FY621" s="137"/>
      <c r="FZ621" s="137"/>
      <c r="GA621" s="3"/>
      <c r="GB621" s="138"/>
      <c r="GC621" s="2"/>
      <c r="GD621" s="139"/>
      <c r="GE621" s="3"/>
      <c r="GF621" s="3"/>
    </row>
    <row r="622" spans="1:188" s="125" customFormat="1">
      <c r="A622" s="86"/>
      <c r="B622" s="56"/>
      <c r="C622" s="18"/>
      <c r="D622" s="19" t="s">
        <v>1058</v>
      </c>
      <c r="E622" s="20" t="s">
        <v>1068</v>
      </c>
      <c r="F622" s="82" t="s">
        <v>1417</v>
      </c>
      <c r="G622" s="58"/>
      <c r="H622" s="121"/>
      <c r="I622" s="24">
        <v>1114285</v>
      </c>
      <c r="J622" s="24"/>
      <c r="K622" s="24">
        <f>I622+J622</f>
        <v>1114285</v>
      </c>
      <c r="L622" s="123"/>
      <c r="M622" s="24"/>
      <c r="N622" s="129">
        <f t="shared" si="49"/>
        <v>1114285</v>
      </c>
      <c r="O622" s="108"/>
      <c r="P622" s="3"/>
      <c r="Q622" s="3"/>
      <c r="R622" s="3"/>
      <c r="S622" s="3"/>
      <c r="T622" s="3"/>
      <c r="U622" s="3"/>
      <c r="V622" s="131"/>
      <c r="W622" s="15"/>
      <c r="X622" s="3"/>
      <c r="Y622" s="3"/>
      <c r="Z622" s="3"/>
      <c r="AA622" s="3"/>
      <c r="AB622" s="3"/>
      <c r="AC622" s="131"/>
      <c r="AD622" s="15"/>
      <c r="AE622" s="99"/>
      <c r="AF622" s="149"/>
      <c r="AG622" s="134"/>
      <c r="AH622" s="134"/>
      <c r="AI622" s="137"/>
      <c r="AJ622" s="150"/>
      <c r="AK622" s="137"/>
      <c r="AL622" s="137"/>
      <c r="AM622" s="3"/>
      <c r="AN622" s="138"/>
      <c r="AO622" s="2"/>
      <c r="AP622" s="139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131"/>
      <c r="BB622" s="15"/>
      <c r="BC622" s="99"/>
      <c r="BD622" s="149"/>
      <c r="BE622" s="134"/>
      <c r="BF622" s="134"/>
      <c r="BG622" s="137"/>
      <c r="BH622" s="150"/>
      <c r="BI622" s="137"/>
      <c r="BJ622" s="137"/>
      <c r="BK622" s="3"/>
      <c r="BL622" s="138"/>
      <c r="BM622" s="2"/>
      <c r="BN622" s="139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131"/>
      <c r="BZ622" s="15"/>
      <c r="CA622" s="99"/>
      <c r="CB622" s="149"/>
      <c r="CC622" s="134"/>
      <c r="CD622" s="134"/>
      <c r="CE622" s="137"/>
      <c r="CF622" s="150"/>
      <c r="CG622" s="137"/>
      <c r="CH622" s="137"/>
      <c r="CI622" s="3"/>
      <c r="CJ622" s="138"/>
      <c r="CK622" s="2"/>
      <c r="CL622" s="139"/>
      <c r="CM622" s="3"/>
      <c r="CN622" s="3"/>
      <c r="CO622" s="3"/>
      <c r="CP622" s="3"/>
      <c r="CQ622" s="3"/>
      <c r="CR622" s="3"/>
      <c r="CS622" s="3"/>
      <c r="CT622" s="3"/>
      <c r="CU622" s="3"/>
      <c r="CV622" s="3"/>
      <c r="CW622" s="131"/>
      <c r="CX622" s="15"/>
      <c r="CY622" s="99"/>
      <c r="CZ622" s="149"/>
      <c r="DA622" s="134"/>
      <c r="DB622" s="134"/>
      <c r="DC622" s="137"/>
      <c r="DD622" s="150"/>
      <c r="DE622" s="137"/>
      <c r="DF622" s="137"/>
      <c r="DG622" s="3"/>
      <c r="DH622" s="138"/>
      <c r="DI622" s="2"/>
      <c r="DJ622" s="139"/>
      <c r="DK622" s="3"/>
      <c r="DL622" s="3"/>
      <c r="DM622" s="3"/>
      <c r="DN622" s="3"/>
      <c r="DO622" s="3"/>
      <c r="DP622" s="3"/>
      <c r="DQ622" s="3"/>
      <c r="DR622" s="3"/>
      <c r="DS622" s="3"/>
      <c r="DT622" s="3"/>
      <c r="DU622" s="131"/>
      <c r="DV622" s="15"/>
      <c r="DW622" s="99"/>
      <c r="DX622" s="149"/>
      <c r="DY622" s="134"/>
      <c r="DZ622" s="134"/>
      <c r="EA622" s="137"/>
      <c r="EB622" s="150"/>
      <c r="EC622" s="137"/>
      <c r="ED622" s="137"/>
      <c r="EE622" s="3"/>
      <c r="EF622" s="138"/>
      <c r="EG622" s="2"/>
      <c r="EH622" s="139"/>
      <c r="EI622" s="3"/>
      <c r="EJ622" s="3"/>
      <c r="EK622" s="3"/>
      <c r="EL622" s="3"/>
      <c r="EM622" s="3"/>
      <c r="EN622" s="3"/>
      <c r="EO622" s="3"/>
      <c r="EP622" s="3"/>
      <c r="EQ622" s="3"/>
      <c r="ER622" s="3"/>
      <c r="ES622" s="131"/>
      <c r="ET622" s="15"/>
      <c r="EU622" s="99"/>
      <c r="EV622" s="149"/>
      <c r="EW622" s="134"/>
      <c r="EX622" s="134"/>
      <c r="EY622" s="137"/>
      <c r="EZ622" s="150"/>
      <c r="FA622" s="137"/>
      <c r="FB622" s="137"/>
      <c r="FC622" s="3"/>
      <c r="FD622" s="138"/>
      <c r="FE622" s="2"/>
      <c r="FF622" s="139"/>
      <c r="FG622" s="3"/>
      <c r="FH622" s="3"/>
      <c r="FI622" s="3"/>
      <c r="FJ622" s="3"/>
      <c r="FK622" s="3"/>
      <c r="FL622" s="3"/>
      <c r="FM622" s="3"/>
      <c r="FN622" s="3"/>
      <c r="FO622" s="3"/>
      <c r="FP622" s="3"/>
      <c r="FQ622" s="131"/>
      <c r="FR622" s="15"/>
      <c r="FS622" s="99"/>
      <c r="FT622" s="149"/>
      <c r="FU622" s="134"/>
      <c r="FV622" s="134"/>
      <c r="FW622" s="137"/>
      <c r="FX622" s="150"/>
      <c r="FY622" s="137"/>
      <c r="FZ622" s="137"/>
      <c r="GA622" s="3"/>
      <c r="GB622" s="138"/>
      <c r="GC622" s="2"/>
      <c r="GD622" s="139"/>
      <c r="GE622" s="3"/>
      <c r="GF622" s="3"/>
    </row>
    <row r="623" spans="1:188" s="125" customFormat="1">
      <c r="A623" s="86"/>
      <c r="B623" s="56">
        <v>43004</v>
      </c>
      <c r="C623" s="18"/>
      <c r="D623" s="19" t="s">
        <v>1058</v>
      </c>
      <c r="E623" s="20" t="s">
        <v>178</v>
      </c>
      <c r="F623" s="24" t="s">
        <v>987</v>
      </c>
      <c r="G623" s="238">
        <v>1707</v>
      </c>
      <c r="H623" s="121">
        <v>1324800</v>
      </c>
      <c r="I623" s="24">
        <v>1261714</v>
      </c>
      <c r="J623" s="199"/>
      <c r="K623" s="24">
        <v>1261714</v>
      </c>
      <c r="L623" s="24"/>
      <c r="M623" s="24">
        <f>K623*L623</f>
        <v>0</v>
      </c>
      <c r="N623" s="129">
        <f t="shared" si="49"/>
        <v>1261714</v>
      </c>
      <c r="O623" s="108" t="s">
        <v>988</v>
      </c>
      <c r="P623" s="3"/>
      <c r="Q623" s="3"/>
      <c r="R623" s="3"/>
      <c r="S623" s="3"/>
      <c r="T623" s="3"/>
      <c r="U623" s="3"/>
      <c r="V623" s="131"/>
      <c r="W623" s="15"/>
      <c r="X623" s="3"/>
      <c r="Y623" s="3"/>
      <c r="Z623" s="3"/>
      <c r="AA623" s="3"/>
      <c r="AB623" s="3"/>
      <c r="AC623" s="131"/>
      <c r="AD623" s="15"/>
      <c r="AE623" s="99"/>
      <c r="AF623" s="149"/>
      <c r="AG623" s="134"/>
      <c r="AH623" s="134"/>
      <c r="AI623" s="137"/>
      <c r="AJ623" s="150"/>
      <c r="AK623" s="137"/>
      <c r="AL623" s="137"/>
      <c r="AM623" s="3"/>
      <c r="AN623" s="138"/>
      <c r="AO623" s="2"/>
      <c r="AP623" s="139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131"/>
      <c r="BB623" s="15"/>
      <c r="BC623" s="99"/>
      <c r="BD623" s="149"/>
      <c r="BE623" s="134"/>
      <c r="BF623" s="134"/>
      <c r="BG623" s="137"/>
      <c r="BH623" s="150"/>
      <c r="BI623" s="137"/>
      <c r="BJ623" s="137"/>
      <c r="BK623" s="3"/>
      <c r="BL623" s="138"/>
      <c r="BM623" s="2"/>
      <c r="BN623" s="139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131"/>
      <c r="BZ623" s="15"/>
      <c r="CA623" s="99"/>
      <c r="CB623" s="149"/>
      <c r="CC623" s="134"/>
      <c r="CD623" s="134"/>
      <c r="CE623" s="137"/>
      <c r="CF623" s="150"/>
      <c r="CG623" s="137"/>
      <c r="CH623" s="137"/>
      <c r="CI623" s="3"/>
      <c r="CJ623" s="138"/>
      <c r="CK623" s="2"/>
      <c r="CL623" s="139"/>
      <c r="CM623" s="3"/>
      <c r="CN623" s="3"/>
      <c r="CO623" s="3"/>
      <c r="CP623" s="3"/>
      <c r="CQ623" s="3"/>
      <c r="CR623" s="3"/>
      <c r="CS623" s="3"/>
      <c r="CT623" s="3"/>
      <c r="CU623" s="3"/>
      <c r="CV623" s="3"/>
      <c r="CW623" s="131"/>
      <c r="CX623" s="15"/>
      <c r="CY623" s="99"/>
      <c r="CZ623" s="149"/>
      <c r="DA623" s="134"/>
      <c r="DB623" s="134"/>
      <c r="DC623" s="137"/>
      <c r="DD623" s="150"/>
      <c r="DE623" s="137"/>
      <c r="DF623" s="137"/>
      <c r="DG623" s="3"/>
      <c r="DH623" s="138"/>
      <c r="DI623" s="2"/>
      <c r="DJ623" s="139"/>
      <c r="DK623" s="3"/>
      <c r="DL623" s="3"/>
      <c r="DM623" s="3"/>
      <c r="DN623" s="3"/>
      <c r="DO623" s="3"/>
      <c r="DP623" s="3"/>
      <c r="DQ623" s="3"/>
      <c r="DR623" s="3"/>
      <c r="DS623" s="3"/>
      <c r="DT623" s="3"/>
      <c r="DU623" s="131"/>
      <c r="DV623" s="15"/>
      <c r="DW623" s="99"/>
      <c r="DX623" s="149"/>
      <c r="DY623" s="134"/>
      <c r="DZ623" s="134"/>
      <c r="EA623" s="137"/>
      <c r="EB623" s="150"/>
      <c r="EC623" s="137"/>
      <c r="ED623" s="137"/>
      <c r="EE623" s="3"/>
      <c r="EF623" s="138"/>
      <c r="EG623" s="2"/>
      <c r="EH623" s="139"/>
      <c r="EI623" s="3"/>
      <c r="EJ623" s="3"/>
      <c r="EK623" s="3"/>
      <c r="EL623" s="3"/>
      <c r="EM623" s="3"/>
      <c r="EN623" s="3"/>
      <c r="EO623" s="3"/>
      <c r="EP623" s="3"/>
      <c r="EQ623" s="3"/>
      <c r="ER623" s="3"/>
      <c r="ES623" s="131"/>
      <c r="ET623" s="15"/>
      <c r="EU623" s="99"/>
      <c r="EV623" s="149"/>
      <c r="EW623" s="134"/>
      <c r="EX623" s="134"/>
      <c r="EY623" s="137"/>
      <c r="EZ623" s="150"/>
      <c r="FA623" s="137"/>
      <c r="FB623" s="137"/>
      <c r="FC623" s="3"/>
      <c r="FD623" s="138"/>
      <c r="FE623" s="2"/>
      <c r="FF623" s="139"/>
      <c r="FG623" s="3"/>
      <c r="FH623" s="3"/>
      <c r="FI623" s="3"/>
      <c r="FJ623" s="3"/>
      <c r="FK623" s="3"/>
      <c r="FL623" s="3"/>
      <c r="FM623" s="3"/>
      <c r="FN623" s="3"/>
      <c r="FO623" s="3"/>
      <c r="FP623" s="3"/>
      <c r="FQ623" s="131"/>
      <c r="FR623" s="15"/>
      <c r="FS623" s="99"/>
      <c r="FT623" s="149"/>
      <c r="FU623" s="134"/>
      <c r="FV623" s="134"/>
      <c r="FW623" s="137"/>
      <c r="FX623" s="150"/>
      <c r="FY623" s="137"/>
      <c r="FZ623" s="137"/>
      <c r="GA623" s="3"/>
      <c r="GB623" s="138"/>
      <c r="GC623" s="2"/>
      <c r="GD623" s="139"/>
      <c r="GE623" s="3"/>
      <c r="GF623" s="3"/>
    </row>
    <row r="624" spans="1:188" s="125" customFormat="1">
      <c r="A624" s="86"/>
      <c r="B624" s="56">
        <v>43027</v>
      </c>
      <c r="C624" s="18"/>
      <c r="D624" s="19" t="s">
        <v>1058</v>
      </c>
      <c r="E624" s="20" t="s">
        <v>193</v>
      </c>
      <c r="F624" s="24" t="s">
        <v>989</v>
      </c>
      <c r="G624" s="238">
        <v>1707</v>
      </c>
      <c r="H624" s="121">
        <v>1548000</v>
      </c>
      <c r="I624" s="24"/>
      <c r="J624" s="199">
        <v>1474286</v>
      </c>
      <c r="K624" s="24">
        <v>1474286</v>
      </c>
      <c r="L624" s="24"/>
      <c r="M624" s="24">
        <f>K624*L624</f>
        <v>0</v>
      </c>
      <c r="N624" s="129">
        <f t="shared" si="49"/>
        <v>1474286</v>
      </c>
      <c r="O624" s="108" t="s">
        <v>990</v>
      </c>
      <c r="P624" s="3"/>
      <c r="Q624" s="3"/>
      <c r="R624" s="3"/>
      <c r="S624" s="3"/>
      <c r="T624" s="3"/>
      <c r="U624" s="3"/>
      <c r="V624" s="131"/>
      <c r="W624" s="15"/>
      <c r="X624" s="3"/>
      <c r="Y624" s="3"/>
      <c r="Z624" s="3"/>
      <c r="AA624" s="3"/>
      <c r="AB624" s="3"/>
      <c r="AC624" s="131"/>
      <c r="AD624" s="15"/>
      <c r="AE624" s="99"/>
      <c r="AF624" s="149"/>
      <c r="AG624" s="134"/>
      <c r="AH624" s="134"/>
      <c r="AI624" s="137"/>
      <c r="AJ624" s="150"/>
      <c r="AK624" s="137"/>
      <c r="AL624" s="137"/>
      <c r="AM624" s="3"/>
      <c r="AN624" s="138"/>
      <c r="AO624" s="2"/>
      <c r="AP624" s="139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131"/>
      <c r="BB624" s="15"/>
      <c r="BC624" s="99"/>
      <c r="BD624" s="149"/>
      <c r="BE624" s="134"/>
      <c r="BF624" s="134"/>
      <c r="BG624" s="137"/>
      <c r="BH624" s="150"/>
      <c r="BI624" s="137"/>
      <c r="BJ624" s="137"/>
      <c r="BK624" s="3"/>
      <c r="BL624" s="138"/>
      <c r="BM624" s="2"/>
      <c r="BN624" s="139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131"/>
      <c r="BZ624" s="15"/>
      <c r="CA624" s="99"/>
      <c r="CB624" s="149"/>
      <c r="CC624" s="134"/>
      <c r="CD624" s="134"/>
      <c r="CE624" s="137"/>
      <c r="CF624" s="150"/>
      <c r="CG624" s="137"/>
      <c r="CH624" s="137"/>
      <c r="CI624" s="3"/>
      <c r="CJ624" s="138"/>
      <c r="CK624" s="2"/>
      <c r="CL624" s="139"/>
      <c r="CM624" s="3"/>
      <c r="CN624" s="3"/>
      <c r="CO624" s="3"/>
      <c r="CP624" s="3"/>
      <c r="CQ624" s="3"/>
      <c r="CR624" s="3"/>
      <c r="CS624" s="3"/>
      <c r="CT624" s="3"/>
      <c r="CU624" s="3"/>
      <c r="CV624" s="3"/>
      <c r="CW624" s="131"/>
      <c r="CX624" s="15"/>
      <c r="CY624" s="99"/>
      <c r="CZ624" s="149"/>
      <c r="DA624" s="134"/>
      <c r="DB624" s="134"/>
      <c r="DC624" s="137"/>
      <c r="DD624" s="150"/>
      <c r="DE624" s="137"/>
      <c r="DF624" s="137"/>
      <c r="DG624" s="3"/>
      <c r="DH624" s="138"/>
      <c r="DI624" s="2"/>
      <c r="DJ624" s="139"/>
      <c r="DK624" s="3"/>
      <c r="DL624" s="3"/>
      <c r="DM624" s="3"/>
      <c r="DN624" s="3"/>
      <c r="DO624" s="3"/>
      <c r="DP624" s="3"/>
      <c r="DQ624" s="3"/>
      <c r="DR624" s="3"/>
      <c r="DS624" s="3"/>
      <c r="DT624" s="3"/>
      <c r="DU624" s="131"/>
      <c r="DV624" s="15"/>
      <c r="DW624" s="99"/>
      <c r="DX624" s="149"/>
      <c r="DY624" s="134"/>
      <c r="DZ624" s="134"/>
      <c r="EA624" s="137"/>
      <c r="EB624" s="150"/>
      <c r="EC624" s="137"/>
      <c r="ED624" s="137"/>
      <c r="EE624" s="3"/>
      <c r="EF624" s="138"/>
      <c r="EG624" s="2"/>
      <c r="EH624" s="139"/>
      <c r="EI624" s="3"/>
      <c r="EJ624" s="3"/>
      <c r="EK624" s="3"/>
      <c r="EL624" s="3"/>
      <c r="EM624" s="3"/>
      <c r="EN624" s="3"/>
      <c r="EO624" s="3"/>
      <c r="EP624" s="3"/>
      <c r="EQ624" s="3"/>
      <c r="ER624" s="3"/>
      <c r="ES624" s="131"/>
      <c r="ET624" s="15"/>
      <c r="EU624" s="99"/>
      <c r="EV624" s="149"/>
      <c r="EW624" s="134"/>
      <c r="EX624" s="134"/>
      <c r="EY624" s="137"/>
      <c r="EZ624" s="150"/>
      <c r="FA624" s="137"/>
      <c r="FB624" s="137"/>
      <c r="FC624" s="3"/>
      <c r="FD624" s="138"/>
      <c r="FE624" s="2"/>
      <c r="FF624" s="139"/>
      <c r="FG624" s="3"/>
      <c r="FH624" s="3"/>
      <c r="FI624" s="3"/>
      <c r="FJ624" s="3"/>
      <c r="FK624" s="3"/>
      <c r="FL624" s="3"/>
      <c r="FM624" s="3"/>
      <c r="FN624" s="3"/>
      <c r="FO624" s="3"/>
      <c r="FP624" s="3"/>
      <c r="FQ624" s="131"/>
      <c r="FR624" s="15"/>
      <c r="FS624" s="99"/>
      <c r="FT624" s="149"/>
      <c r="FU624" s="134"/>
      <c r="FV624" s="134"/>
      <c r="FW624" s="137"/>
      <c r="FX624" s="150"/>
      <c r="FY624" s="137"/>
      <c r="FZ624" s="137"/>
      <c r="GA624" s="3"/>
      <c r="GB624" s="138"/>
      <c r="GC624" s="2"/>
      <c r="GD624" s="139"/>
      <c r="GE624" s="3"/>
      <c r="GF624" s="3"/>
    </row>
    <row r="625" spans="1:188" s="125" customFormat="1">
      <c r="A625" s="86"/>
      <c r="B625" s="56"/>
      <c r="C625" s="18"/>
      <c r="D625" s="19" t="s">
        <v>1058</v>
      </c>
      <c r="E625" s="20" t="s">
        <v>1081</v>
      </c>
      <c r="F625" s="82" t="s">
        <v>1418</v>
      </c>
      <c r="G625" s="58"/>
      <c r="H625" s="121"/>
      <c r="I625" s="24">
        <v>1381714</v>
      </c>
      <c r="J625" s="24"/>
      <c r="K625" s="24">
        <f>I625+J625</f>
        <v>1381714</v>
      </c>
      <c r="L625" s="123"/>
      <c r="M625" s="24"/>
      <c r="N625" s="129">
        <f t="shared" si="49"/>
        <v>1381714</v>
      </c>
      <c r="O625" s="87" t="s">
        <v>1056</v>
      </c>
      <c r="P625" s="3"/>
      <c r="Q625" s="3"/>
      <c r="R625" s="3"/>
      <c r="S625" s="3"/>
      <c r="T625" s="3"/>
      <c r="U625" s="3"/>
      <c r="V625" s="131"/>
      <c r="W625" s="15"/>
      <c r="X625" s="3"/>
      <c r="Y625" s="3"/>
      <c r="Z625" s="3"/>
      <c r="AA625" s="3"/>
      <c r="AB625" s="3"/>
      <c r="AC625" s="131"/>
      <c r="AD625" s="15"/>
      <c r="AE625" s="99"/>
      <c r="AF625" s="149"/>
      <c r="AG625" s="134"/>
      <c r="AH625" s="134"/>
      <c r="AI625" s="137"/>
      <c r="AJ625" s="150"/>
      <c r="AK625" s="137"/>
      <c r="AL625" s="137"/>
      <c r="AM625" s="3"/>
      <c r="AN625" s="138"/>
      <c r="AO625" s="2"/>
      <c r="AP625" s="139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131"/>
      <c r="BB625" s="15"/>
      <c r="BC625" s="99"/>
      <c r="BD625" s="149"/>
      <c r="BE625" s="134"/>
      <c r="BF625" s="134"/>
      <c r="BG625" s="137"/>
      <c r="BH625" s="150"/>
      <c r="BI625" s="137"/>
      <c r="BJ625" s="137"/>
      <c r="BK625" s="3"/>
      <c r="BL625" s="138"/>
      <c r="BM625" s="2"/>
      <c r="BN625" s="139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131"/>
      <c r="BZ625" s="15"/>
      <c r="CA625" s="99"/>
      <c r="CB625" s="149"/>
      <c r="CC625" s="134"/>
      <c r="CD625" s="134"/>
      <c r="CE625" s="137"/>
      <c r="CF625" s="150"/>
      <c r="CG625" s="137"/>
      <c r="CH625" s="137"/>
      <c r="CI625" s="3"/>
      <c r="CJ625" s="138"/>
      <c r="CK625" s="2"/>
      <c r="CL625" s="139"/>
      <c r="CM625" s="3"/>
      <c r="CN625" s="3"/>
      <c r="CO625" s="3"/>
      <c r="CP625" s="3"/>
      <c r="CQ625" s="3"/>
      <c r="CR625" s="3"/>
      <c r="CS625" s="3"/>
      <c r="CT625" s="3"/>
      <c r="CU625" s="3"/>
      <c r="CV625" s="3"/>
      <c r="CW625" s="131"/>
      <c r="CX625" s="15"/>
      <c r="CY625" s="99"/>
      <c r="CZ625" s="149"/>
      <c r="DA625" s="134"/>
      <c r="DB625" s="134"/>
      <c r="DC625" s="137"/>
      <c r="DD625" s="150"/>
      <c r="DE625" s="137"/>
      <c r="DF625" s="137"/>
      <c r="DG625" s="3"/>
      <c r="DH625" s="138"/>
      <c r="DI625" s="2"/>
      <c r="DJ625" s="139"/>
      <c r="DK625" s="3"/>
      <c r="DL625" s="3"/>
      <c r="DM625" s="3"/>
      <c r="DN625" s="3"/>
      <c r="DO625" s="3"/>
      <c r="DP625" s="3"/>
      <c r="DQ625" s="3"/>
      <c r="DR625" s="3"/>
      <c r="DS625" s="3"/>
      <c r="DT625" s="3"/>
      <c r="DU625" s="131"/>
      <c r="DV625" s="15"/>
      <c r="DW625" s="99"/>
      <c r="DX625" s="149"/>
      <c r="DY625" s="134"/>
      <c r="DZ625" s="134"/>
      <c r="EA625" s="137"/>
      <c r="EB625" s="150"/>
      <c r="EC625" s="137"/>
      <c r="ED625" s="137"/>
      <c r="EE625" s="3"/>
      <c r="EF625" s="138"/>
      <c r="EG625" s="2"/>
      <c r="EH625" s="139"/>
      <c r="EI625" s="3"/>
      <c r="EJ625" s="3"/>
      <c r="EK625" s="3"/>
      <c r="EL625" s="3"/>
      <c r="EM625" s="3"/>
      <c r="EN625" s="3"/>
      <c r="EO625" s="3"/>
      <c r="EP625" s="3"/>
      <c r="EQ625" s="3"/>
      <c r="ER625" s="3"/>
      <c r="ES625" s="131"/>
      <c r="ET625" s="15"/>
      <c r="EU625" s="99"/>
      <c r="EV625" s="149"/>
      <c r="EW625" s="134"/>
      <c r="EX625" s="134"/>
      <c r="EY625" s="137"/>
      <c r="EZ625" s="150"/>
      <c r="FA625" s="137"/>
      <c r="FB625" s="137"/>
      <c r="FC625" s="3"/>
      <c r="FD625" s="138"/>
      <c r="FE625" s="2"/>
      <c r="FF625" s="139"/>
      <c r="FG625" s="3"/>
      <c r="FH625" s="3"/>
      <c r="FI625" s="3"/>
      <c r="FJ625" s="3"/>
      <c r="FK625" s="3"/>
      <c r="FL625" s="3"/>
      <c r="FM625" s="3"/>
      <c r="FN625" s="3"/>
      <c r="FO625" s="3"/>
      <c r="FP625" s="3"/>
      <c r="FQ625" s="131"/>
      <c r="FR625" s="15"/>
      <c r="FS625" s="99"/>
      <c r="FT625" s="149"/>
      <c r="FU625" s="134"/>
      <c r="FV625" s="134"/>
      <c r="FW625" s="137"/>
      <c r="FX625" s="150"/>
      <c r="FY625" s="137"/>
      <c r="FZ625" s="137"/>
      <c r="GA625" s="3"/>
      <c r="GB625" s="138"/>
      <c r="GC625" s="2"/>
      <c r="GD625" s="139"/>
      <c r="GE625" s="3"/>
      <c r="GF625" s="3"/>
    </row>
    <row r="626" spans="1:188" s="125" customFormat="1">
      <c r="A626" s="86"/>
      <c r="B626" s="56"/>
      <c r="C626" s="18"/>
      <c r="D626" s="19" t="s">
        <v>1058</v>
      </c>
      <c r="E626" s="20" t="s">
        <v>201</v>
      </c>
      <c r="F626" s="82" t="s">
        <v>992</v>
      </c>
      <c r="G626" s="58"/>
      <c r="H626" s="121">
        <v>1450800</v>
      </c>
      <c r="I626" s="24"/>
      <c r="J626" s="122">
        <f>SUM(H626)/1.05</f>
        <v>1381714.2857142857</v>
      </c>
      <c r="K626" s="24">
        <f>I626+J626</f>
        <v>1381714.2857142857</v>
      </c>
      <c r="L626" s="123"/>
      <c r="M626" s="24"/>
      <c r="N626" s="129">
        <f t="shared" si="49"/>
        <v>1381714.2857142857</v>
      </c>
      <c r="O626" s="108"/>
      <c r="P626" s="3"/>
      <c r="Q626" s="3"/>
      <c r="R626" s="3"/>
      <c r="S626" s="3"/>
      <c r="T626" s="3"/>
      <c r="U626" s="3"/>
      <c r="V626" s="131"/>
      <c r="W626" s="15"/>
      <c r="X626" s="3"/>
      <c r="Y626" s="3"/>
      <c r="Z626" s="3"/>
      <c r="AA626" s="3"/>
      <c r="AB626" s="3"/>
      <c r="AC626" s="131"/>
      <c r="AD626" s="15"/>
      <c r="AE626" s="99"/>
      <c r="AF626" s="149"/>
      <c r="AG626" s="134"/>
      <c r="AH626" s="134"/>
      <c r="AI626" s="137"/>
      <c r="AJ626" s="150"/>
      <c r="AK626" s="137"/>
      <c r="AL626" s="137"/>
      <c r="AM626" s="3"/>
      <c r="AN626" s="138"/>
      <c r="AO626" s="2"/>
      <c r="AP626" s="139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131"/>
      <c r="BB626" s="15"/>
      <c r="BC626" s="99"/>
      <c r="BD626" s="149"/>
      <c r="BE626" s="134"/>
      <c r="BF626" s="134"/>
      <c r="BG626" s="137"/>
      <c r="BH626" s="150"/>
      <c r="BI626" s="137"/>
      <c r="BJ626" s="137"/>
      <c r="BK626" s="3"/>
      <c r="BL626" s="138"/>
      <c r="BM626" s="2"/>
      <c r="BN626" s="139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131"/>
      <c r="BZ626" s="15"/>
      <c r="CA626" s="99"/>
      <c r="CB626" s="149"/>
      <c r="CC626" s="134"/>
      <c r="CD626" s="134"/>
      <c r="CE626" s="137"/>
      <c r="CF626" s="150"/>
      <c r="CG626" s="137"/>
      <c r="CH626" s="137"/>
      <c r="CI626" s="3"/>
      <c r="CJ626" s="138"/>
      <c r="CK626" s="2"/>
      <c r="CL626" s="139"/>
      <c r="CM626" s="3"/>
      <c r="CN626" s="3"/>
      <c r="CO626" s="3"/>
      <c r="CP626" s="3"/>
      <c r="CQ626" s="3"/>
      <c r="CR626" s="3"/>
      <c r="CS626" s="3"/>
      <c r="CT626" s="3"/>
      <c r="CU626" s="3"/>
      <c r="CV626" s="3"/>
      <c r="CW626" s="131"/>
      <c r="CX626" s="15"/>
      <c r="CY626" s="99"/>
      <c r="CZ626" s="149"/>
      <c r="DA626" s="134"/>
      <c r="DB626" s="134"/>
      <c r="DC626" s="137"/>
      <c r="DD626" s="150"/>
      <c r="DE626" s="137"/>
      <c r="DF626" s="137"/>
      <c r="DG626" s="3"/>
      <c r="DH626" s="138"/>
      <c r="DI626" s="2"/>
      <c r="DJ626" s="139"/>
      <c r="DK626" s="3"/>
      <c r="DL626" s="3"/>
      <c r="DM626" s="3"/>
      <c r="DN626" s="3"/>
      <c r="DO626" s="3"/>
      <c r="DP626" s="3"/>
      <c r="DQ626" s="3"/>
      <c r="DR626" s="3"/>
      <c r="DS626" s="3"/>
      <c r="DT626" s="3"/>
      <c r="DU626" s="131"/>
      <c r="DV626" s="15"/>
      <c r="DW626" s="99"/>
      <c r="DX626" s="149"/>
      <c r="DY626" s="134"/>
      <c r="DZ626" s="134"/>
      <c r="EA626" s="137"/>
      <c r="EB626" s="150"/>
      <c r="EC626" s="137"/>
      <c r="ED626" s="137"/>
      <c r="EE626" s="3"/>
      <c r="EF626" s="138"/>
      <c r="EG626" s="2"/>
      <c r="EH626" s="139"/>
      <c r="EI626" s="3"/>
      <c r="EJ626" s="3"/>
      <c r="EK626" s="3"/>
      <c r="EL626" s="3"/>
      <c r="EM626" s="3"/>
      <c r="EN626" s="3"/>
      <c r="EO626" s="3"/>
      <c r="EP626" s="3"/>
      <c r="EQ626" s="3"/>
      <c r="ER626" s="3"/>
      <c r="ES626" s="131"/>
      <c r="ET626" s="15"/>
      <c r="EU626" s="99"/>
      <c r="EV626" s="149"/>
      <c r="EW626" s="134"/>
      <c r="EX626" s="134"/>
      <c r="EY626" s="137"/>
      <c r="EZ626" s="150"/>
      <c r="FA626" s="137"/>
      <c r="FB626" s="137"/>
      <c r="FC626" s="3"/>
      <c r="FD626" s="138"/>
      <c r="FE626" s="2"/>
      <c r="FF626" s="139"/>
      <c r="FG626" s="3"/>
      <c r="FH626" s="3"/>
      <c r="FI626" s="3"/>
      <c r="FJ626" s="3"/>
      <c r="FK626" s="3"/>
      <c r="FL626" s="3"/>
      <c r="FM626" s="3"/>
      <c r="FN626" s="3"/>
      <c r="FO626" s="3"/>
      <c r="FP626" s="3"/>
      <c r="FQ626" s="131"/>
      <c r="FR626" s="15"/>
      <c r="FS626" s="99"/>
      <c r="FT626" s="149"/>
      <c r="FU626" s="134"/>
      <c r="FV626" s="134"/>
      <c r="FW626" s="137"/>
      <c r="FX626" s="150"/>
      <c r="FY626" s="137"/>
      <c r="FZ626" s="137"/>
      <c r="GA626" s="3"/>
      <c r="GB626" s="138"/>
      <c r="GC626" s="2"/>
      <c r="GD626" s="139"/>
      <c r="GE626" s="3"/>
      <c r="GF626" s="3"/>
    </row>
    <row r="627" spans="1:188" s="125" customFormat="1">
      <c r="A627" s="86"/>
      <c r="B627" s="56"/>
      <c r="C627" s="18"/>
      <c r="D627" s="19" t="s">
        <v>1058</v>
      </c>
      <c r="E627" s="20" t="s">
        <v>1082</v>
      </c>
      <c r="F627" s="120" t="s">
        <v>993</v>
      </c>
      <c r="G627" s="58"/>
      <c r="H627" s="121"/>
      <c r="I627" s="24">
        <v>1594286</v>
      </c>
      <c r="J627" s="24"/>
      <c r="K627" s="24">
        <f>I627+J627</f>
        <v>1594286</v>
      </c>
      <c r="L627" s="123"/>
      <c r="M627" s="24"/>
      <c r="N627" s="59">
        <f t="shared" si="49"/>
        <v>1594286</v>
      </c>
      <c r="O627" s="108"/>
      <c r="P627" s="3"/>
      <c r="Q627" s="3"/>
      <c r="R627" s="3"/>
      <c r="S627" s="3"/>
      <c r="T627" s="3"/>
      <c r="U627" s="3"/>
      <c r="V627" s="131"/>
      <c r="W627" s="15"/>
      <c r="X627" s="3"/>
      <c r="Y627" s="3"/>
      <c r="Z627" s="3"/>
      <c r="AA627" s="3"/>
      <c r="AB627" s="3"/>
      <c r="AC627" s="131"/>
      <c r="AD627" s="15"/>
      <c r="AE627" s="99"/>
      <c r="AF627" s="149"/>
      <c r="AG627" s="134"/>
      <c r="AH627" s="134"/>
      <c r="AI627" s="137"/>
      <c r="AJ627" s="150"/>
      <c r="AK627" s="137"/>
      <c r="AL627" s="137"/>
      <c r="AM627" s="3"/>
      <c r="AN627" s="138"/>
      <c r="AO627" s="2"/>
      <c r="AP627" s="139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131"/>
      <c r="BB627" s="15"/>
      <c r="BC627" s="99"/>
      <c r="BD627" s="149"/>
      <c r="BE627" s="134"/>
      <c r="BF627" s="134"/>
      <c r="BG627" s="137"/>
      <c r="BH627" s="150"/>
      <c r="BI627" s="137"/>
      <c r="BJ627" s="137"/>
      <c r="BK627" s="3"/>
      <c r="BL627" s="138"/>
      <c r="BM627" s="2"/>
      <c r="BN627" s="139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131"/>
      <c r="BZ627" s="15"/>
      <c r="CA627" s="99"/>
      <c r="CB627" s="149"/>
      <c r="CC627" s="134"/>
      <c r="CD627" s="134"/>
      <c r="CE627" s="137"/>
      <c r="CF627" s="150"/>
      <c r="CG627" s="137"/>
      <c r="CH627" s="137"/>
      <c r="CI627" s="3"/>
      <c r="CJ627" s="138"/>
      <c r="CK627" s="2"/>
      <c r="CL627" s="139"/>
      <c r="CM627" s="3"/>
      <c r="CN627" s="3"/>
      <c r="CO627" s="3"/>
      <c r="CP627" s="3"/>
      <c r="CQ627" s="3"/>
      <c r="CR627" s="3"/>
      <c r="CS627" s="3"/>
      <c r="CT627" s="3"/>
      <c r="CU627" s="3"/>
      <c r="CV627" s="3"/>
      <c r="CW627" s="131"/>
      <c r="CX627" s="15"/>
      <c r="CY627" s="99"/>
      <c r="CZ627" s="149"/>
      <c r="DA627" s="134"/>
      <c r="DB627" s="134"/>
      <c r="DC627" s="137"/>
      <c r="DD627" s="150"/>
      <c r="DE627" s="137"/>
      <c r="DF627" s="137"/>
      <c r="DG627" s="3"/>
      <c r="DH627" s="138"/>
      <c r="DI627" s="2"/>
      <c r="DJ627" s="139"/>
      <c r="DK627" s="3"/>
      <c r="DL627" s="3"/>
      <c r="DM627" s="3"/>
      <c r="DN627" s="3"/>
      <c r="DO627" s="3"/>
      <c r="DP627" s="3"/>
      <c r="DQ627" s="3"/>
      <c r="DR627" s="3"/>
      <c r="DS627" s="3"/>
      <c r="DT627" s="3"/>
      <c r="DU627" s="131"/>
      <c r="DV627" s="15"/>
      <c r="DW627" s="99"/>
      <c r="DX627" s="149"/>
      <c r="DY627" s="134"/>
      <c r="DZ627" s="134"/>
      <c r="EA627" s="137"/>
      <c r="EB627" s="150"/>
      <c r="EC627" s="137"/>
      <c r="ED627" s="137"/>
      <c r="EE627" s="3"/>
      <c r="EF627" s="138"/>
      <c r="EG627" s="2"/>
      <c r="EH627" s="139"/>
      <c r="EI627" s="3"/>
      <c r="EJ627" s="3"/>
      <c r="EK627" s="3"/>
      <c r="EL627" s="3"/>
      <c r="EM627" s="3"/>
      <c r="EN627" s="3"/>
      <c r="EO627" s="3"/>
      <c r="EP627" s="3"/>
      <c r="EQ627" s="3"/>
      <c r="ER627" s="3"/>
      <c r="ES627" s="131"/>
      <c r="ET627" s="15"/>
      <c r="EU627" s="99"/>
      <c r="EV627" s="149"/>
      <c r="EW627" s="134"/>
      <c r="EX627" s="134"/>
      <c r="EY627" s="137"/>
      <c r="EZ627" s="150"/>
      <c r="FA627" s="137"/>
      <c r="FB627" s="137"/>
      <c r="FC627" s="3"/>
      <c r="FD627" s="138"/>
      <c r="FE627" s="2"/>
      <c r="FF627" s="139"/>
      <c r="FG627" s="3"/>
      <c r="FH627" s="3"/>
      <c r="FI627" s="3"/>
      <c r="FJ627" s="3"/>
      <c r="FK627" s="3"/>
      <c r="FL627" s="3"/>
      <c r="FM627" s="3"/>
      <c r="FN627" s="3"/>
      <c r="FO627" s="3"/>
      <c r="FP627" s="3"/>
      <c r="FQ627" s="131"/>
      <c r="FR627" s="15"/>
      <c r="FS627" s="99"/>
      <c r="FT627" s="149"/>
      <c r="FU627" s="134"/>
      <c r="FV627" s="134"/>
      <c r="FW627" s="137"/>
      <c r="FX627" s="150"/>
      <c r="FY627" s="137"/>
      <c r="FZ627" s="137"/>
      <c r="GA627" s="3"/>
      <c r="GB627" s="138"/>
      <c r="GC627" s="2"/>
      <c r="GD627" s="139"/>
      <c r="GE627" s="3"/>
      <c r="GF627" s="3"/>
    </row>
    <row r="628" spans="1:188" s="125" customFormat="1">
      <c r="A628" s="86"/>
      <c r="B628" s="56"/>
      <c r="C628" s="18"/>
      <c r="D628" s="19" t="s">
        <v>1058</v>
      </c>
      <c r="E628" s="20" t="s">
        <v>1082</v>
      </c>
      <c r="F628" s="120" t="s">
        <v>994</v>
      </c>
      <c r="G628" s="58"/>
      <c r="H628" s="121"/>
      <c r="I628" s="24">
        <v>1594286</v>
      </c>
      <c r="J628" s="24"/>
      <c r="K628" s="24">
        <f>I628+J628</f>
        <v>1594286</v>
      </c>
      <c r="L628" s="123"/>
      <c r="M628" s="24"/>
      <c r="N628" s="59">
        <f t="shared" si="49"/>
        <v>1594286</v>
      </c>
      <c r="O628" s="87" t="s">
        <v>1056</v>
      </c>
      <c r="P628" s="3"/>
      <c r="Q628" s="3"/>
      <c r="R628" s="3"/>
      <c r="S628" s="3"/>
      <c r="T628" s="3"/>
      <c r="U628" s="3"/>
      <c r="V628" s="131"/>
      <c r="W628" s="15"/>
      <c r="X628" s="3"/>
      <c r="Y628" s="3"/>
      <c r="Z628" s="3"/>
      <c r="AA628" s="3"/>
      <c r="AB628" s="3"/>
      <c r="AC628" s="131"/>
      <c r="AD628" s="15"/>
      <c r="AE628" s="99"/>
      <c r="AF628" s="149"/>
      <c r="AG628" s="134"/>
      <c r="AH628" s="134"/>
      <c r="AI628" s="137"/>
      <c r="AJ628" s="150"/>
      <c r="AK628" s="137"/>
      <c r="AL628" s="137"/>
      <c r="AM628" s="3"/>
      <c r="AN628" s="138"/>
      <c r="AO628" s="2"/>
      <c r="AP628" s="139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131"/>
      <c r="BB628" s="15"/>
      <c r="BC628" s="99"/>
      <c r="BD628" s="149"/>
      <c r="BE628" s="134"/>
      <c r="BF628" s="134"/>
      <c r="BG628" s="137"/>
      <c r="BH628" s="150"/>
      <c r="BI628" s="137"/>
      <c r="BJ628" s="137"/>
      <c r="BK628" s="3"/>
      <c r="BL628" s="138"/>
      <c r="BM628" s="2"/>
      <c r="BN628" s="139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131"/>
      <c r="BZ628" s="15"/>
      <c r="CA628" s="99"/>
      <c r="CB628" s="149"/>
      <c r="CC628" s="134"/>
      <c r="CD628" s="134"/>
      <c r="CE628" s="137"/>
      <c r="CF628" s="150"/>
      <c r="CG628" s="137"/>
      <c r="CH628" s="137"/>
      <c r="CI628" s="3"/>
      <c r="CJ628" s="138"/>
      <c r="CK628" s="2"/>
      <c r="CL628" s="139"/>
      <c r="CM628" s="3"/>
      <c r="CN628" s="3"/>
      <c r="CO628" s="3"/>
      <c r="CP628" s="3"/>
      <c r="CQ628" s="3"/>
      <c r="CR628" s="3"/>
      <c r="CS628" s="3"/>
      <c r="CT628" s="3"/>
      <c r="CU628" s="3"/>
      <c r="CV628" s="3"/>
      <c r="CW628" s="131"/>
      <c r="CX628" s="15"/>
      <c r="CY628" s="99"/>
      <c r="CZ628" s="149"/>
      <c r="DA628" s="134"/>
      <c r="DB628" s="134"/>
      <c r="DC628" s="137"/>
      <c r="DD628" s="150"/>
      <c r="DE628" s="137"/>
      <c r="DF628" s="137"/>
      <c r="DG628" s="3"/>
      <c r="DH628" s="138"/>
      <c r="DI628" s="2"/>
      <c r="DJ628" s="139"/>
      <c r="DK628" s="3"/>
      <c r="DL628" s="3"/>
      <c r="DM628" s="3"/>
      <c r="DN628" s="3"/>
      <c r="DO628" s="3"/>
      <c r="DP628" s="3"/>
      <c r="DQ628" s="3"/>
      <c r="DR628" s="3"/>
      <c r="DS628" s="3"/>
      <c r="DT628" s="3"/>
      <c r="DU628" s="131"/>
      <c r="DV628" s="15"/>
      <c r="DW628" s="99"/>
      <c r="DX628" s="149"/>
      <c r="DY628" s="134"/>
      <c r="DZ628" s="134"/>
      <c r="EA628" s="137"/>
      <c r="EB628" s="150"/>
      <c r="EC628" s="137"/>
      <c r="ED628" s="137"/>
      <c r="EE628" s="3"/>
      <c r="EF628" s="138"/>
      <c r="EG628" s="2"/>
      <c r="EH628" s="139"/>
      <c r="EI628" s="3"/>
      <c r="EJ628" s="3"/>
      <c r="EK628" s="3"/>
      <c r="EL628" s="3"/>
      <c r="EM628" s="3"/>
      <c r="EN628" s="3"/>
      <c r="EO628" s="3"/>
      <c r="EP628" s="3"/>
      <c r="EQ628" s="3"/>
      <c r="ER628" s="3"/>
      <c r="ES628" s="131"/>
      <c r="ET628" s="15"/>
      <c r="EU628" s="99"/>
      <c r="EV628" s="149"/>
      <c r="EW628" s="134"/>
      <c r="EX628" s="134"/>
      <c r="EY628" s="137"/>
      <c r="EZ628" s="150"/>
      <c r="FA628" s="137"/>
      <c r="FB628" s="137"/>
      <c r="FC628" s="3"/>
      <c r="FD628" s="138"/>
      <c r="FE628" s="2"/>
      <c r="FF628" s="139"/>
      <c r="FG628" s="3"/>
      <c r="FH628" s="3"/>
      <c r="FI628" s="3"/>
      <c r="FJ628" s="3"/>
      <c r="FK628" s="3"/>
      <c r="FL628" s="3"/>
      <c r="FM628" s="3"/>
      <c r="FN628" s="3"/>
      <c r="FO628" s="3"/>
      <c r="FP628" s="3"/>
      <c r="FQ628" s="131"/>
      <c r="FR628" s="15"/>
      <c r="FS628" s="99"/>
      <c r="FT628" s="149"/>
      <c r="FU628" s="134"/>
      <c r="FV628" s="134"/>
      <c r="FW628" s="137"/>
      <c r="FX628" s="150"/>
      <c r="FY628" s="137"/>
      <c r="FZ628" s="137"/>
      <c r="GA628" s="3"/>
      <c r="GB628" s="138"/>
      <c r="GC628" s="2"/>
      <c r="GD628" s="139"/>
      <c r="GE628" s="3"/>
      <c r="GF628" s="3"/>
    </row>
    <row r="629" spans="1:188" s="125" customFormat="1">
      <c r="A629" s="86"/>
      <c r="B629" s="56"/>
      <c r="C629" s="18"/>
      <c r="D629" s="19" t="s">
        <v>1055</v>
      </c>
      <c r="E629" s="20" t="s">
        <v>1419</v>
      </c>
      <c r="F629" s="62" t="s">
        <v>1420</v>
      </c>
      <c r="G629" s="63"/>
      <c r="H629" s="23"/>
      <c r="I629" s="24">
        <v>374076</v>
      </c>
      <c r="J629" s="24"/>
      <c r="K629" s="25">
        <f>I629+J629</f>
        <v>374076</v>
      </c>
      <c r="L629" s="26"/>
      <c r="M629" s="273"/>
      <c r="N629" s="129">
        <f t="shared" si="49"/>
        <v>374076</v>
      </c>
      <c r="O629" s="87" t="s">
        <v>1056</v>
      </c>
      <c r="P629" s="3"/>
      <c r="Q629" s="3"/>
      <c r="R629" s="3"/>
      <c r="S629" s="3"/>
      <c r="T629" s="3"/>
      <c r="U629" s="3"/>
      <c r="V629" s="131"/>
      <c r="W629" s="15"/>
      <c r="X629" s="3"/>
      <c r="Y629" s="3"/>
      <c r="Z629" s="3"/>
      <c r="AA629" s="3"/>
      <c r="AB629" s="3"/>
      <c r="AC629" s="131"/>
      <c r="AD629" s="15"/>
      <c r="AE629" s="99"/>
      <c r="AF629" s="149"/>
      <c r="AG629" s="134"/>
      <c r="AH629" s="134"/>
      <c r="AI629" s="137"/>
      <c r="AJ629" s="150"/>
      <c r="AK629" s="137"/>
      <c r="AL629" s="137"/>
      <c r="AM629" s="3"/>
      <c r="AN629" s="138"/>
      <c r="AO629" s="2"/>
      <c r="AP629" s="139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131"/>
      <c r="BB629" s="15"/>
      <c r="BC629" s="99"/>
      <c r="BD629" s="149"/>
      <c r="BE629" s="134"/>
      <c r="BF629" s="134"/>
      <c r="BG629" s="137"/>
      <c r="BH629" s="150"/>
      <c r="BI629" s="137"/>
      <c r="BJ629" s="137"/>
      <c r="BK629" s="3"/>
      <c r="BL629" s="138"/>
      <c r="BM629" s="2"/>
      <c r="BN629" s="139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131"/>
      <c r="BZ629" s="15"/>
      <c r="CA629" s="99"/>
      <c r="CB629" s="149"/>
      <c r="CC629" s="134"/>
      <c r="CD629" s="134"/>
      <c r="CE629" s="137"/>
      <c r="CF629" s="150"/>
      <c r="CG629" s="137"/>
      <c r="CH629" s="137"/>
      <c r="CI629" s="3"/>
      <c r="CJ629" s="138"/>
      <c r="CK629" s="2"/>
      <c r="CL629" s="139"/>
      <c r="CM629" s="3"/>
      <c r="CN629" s="3"/>
      <c r="CO629" s="3"/>
      <c r="CP629" s="3"/>
      <c r="CQ629" s="3"/>
      <c r="CR629" s="3"/>
      <c r="CS629" s="3"/>
      <c r="CT629" s="3"/>
      <c r="CU629" s="3"/>
      <c r="CV629" s="3"/>
      <c r="CW629" s="131"/>
      <c r="CX629" s="15"/>
      <c r="CY629" s="99"/>
      <c r="CZ629" s="149"/>
      <c r="DA629" s="134"/>
      <c r="DB629" s="134"/>
      <c r="DC629" s="137"/>
      <c r="DD629" s="150"/>
      <c r="DE629" s="137"/>
      <c r="DF629" s="137"/>
      <c r="DG629" s="3"/>
      <c r="DH629" s="138"/>
      <c r="DI629" s="2"/>
      <c r="DJ629" s="139"/>
      <c r="DK629" s="3"/>
      <c r="DL629" s="3"/>
      <c r="DM629" s="3"/>
      <c r="DN629" s="3"/>
      <c r="DO629" s="3"/>
      <c r="DP629" s="3"/>
      <c r="DQ629" s="3"/>
      <c r="DR629" s="3"/>
      <c r="DS629" s="3"/>
      <c r="DT629" s="3"/>
      <c r="DU629" s="131"/>
      <c r="DV629" s="15"/>
      <c r="DW629" s="99"/>
      <c r="DX629" s="149"/>
      <c r="DY629" s="134"/>
      <c r="DZ629" s="134"/>
      <c r="EA629" s="137"/>
      <c r="EB629" s="150"/>
      <c r="EC629" s="137"/>
      <c r="ED629" s="137"/>
      <c r="EE629" s="3"/>
      <c r="EF629" s="138"/>
      <c r="EG629" s="2"/>
      <c r="EH629" s="139"/>
      <c r="EI629" s="3"/>
      <c r="EJ629" s="3"/>
      <c r="EK629" s="3"/>
      <c r="EL629" s="3"/>
      <c r="EM629" s="3"/>
      <c r="EN629" s="3"/>
      <c r="EO629" s="3"/>
      <c r="EP629" s="3"/>
      <c r="EQ629" s="3"/>
      <c r="ER629" s="3"/>
      <c r="ES629" s="131"/>
      <c r="ET629" s="15"/>
      <c r="EU629" s="99"/>
      <c r="EV629" s="149"/>
      <c r="EW629" s="134"/>
      <c r="EX629" s="134"/>
      <c r="EY629" s="137"/>
      <c r="EZ629" s="150"/>
      <c r="FA629" s="137"/>
      <c r="FB629" s="137"/>
      <c r="FC629" s="3"/>
      <c r="FD629" s="138"/>
      <c r="FE629" s="2"/>
      <c r="FF629" s="139"/>
      <c r="FG629" s="3"/>
      <c r="FH629" s="3"/>
      <c r="FI629" s="3"/>
      <c r="FJ629" s="3"/>
      <c r="FK629" s="3"/>
      <c r="FL629" s="3"/>
      <c r="FM629" s="3"/>
      <c r="FN629" s="3"/>
      <c r="FO629" s="3"/>
      <c r="FP629" s="3"/>
      <c r="FQ629" s="131"/>
      <c r="FR629" s="15"/>
      <c r="FS629" s="99"/>
      <c r="FT629" s="149"/>
      <c r="FU629" s="134"/>
      <c r="FV629" s="134"/>
      <c r="FW629" s="137"/>
      <c r="FX629" s="150"/>
      <c r="FY629" s="137"/>
      <c r="FZ629" s="137"/>
      <c r="GA629" s="3"/>
      <c r="GB629" s="138"/>
      <c r="GC629" s="2"/>
      <c r="GD629" s="139"/>
      <c r="GE629" s="3"/>
      <c r="GF629" s="3"/>
    </row>
    <row r="630" spans="1:188" s="125" customFormat="1">
      <c r="A630" s="86"/>
      <c r="B630" s="56"/>
      <c r="C630" s="18"/>
      <c r="D630" s="19" t="s">
        <v>1055</v>
      </c>
      <c r="E630" s="20" t="s">
        <v>68</v>
      </c>
      <c r="F630" s="24" t="s">
        <v>997</v>
      </c>
      <c r="G630" s="238"/>
      <c r="H630" s="121">
        <v>18900</v>
      </c>
      <c r="I630" s="24">
        <v>700552</v>
      </c>
      <c r="J630" s="199"/>
      <c r="K630" s="24">
        <v>700552</v>
      </c>
      <c r="L630" s="24"/>
      <c r="M630" s="24"/>
      <c r="N630" s="129">
        <v>700552</v>
      </c>
      <c r="O630" s="108"/>
      <c r="P630" s="3"/>
      <c r="Q630" s="3"/>
      <c r="R630" s="3"/>
      <c r="S630" s="3"/>
      <c r="T630" s="3"/>
      <c r="U630" s="3"/>
      <c r="V630" s="131"/>
      <c r="W630" s="15"/>
      <c r="X630" s="3"/>
      <c r="Y630" s="3"/>
      <c r="Z630" s="3"/>
      <c r="AA630" s="3"/>
      <c r="AB630" s="3"/>
      <c r="AC630" s="131"/>
      <c r="AD630" s="15"/>
      <c r="AE630" s="99"/>
      <c r="AF630" s="149"/>
      <c r="AG630" s="134"/>
      <c r="AH630" s="134"/>
      <c r="AI630" s="137"/>
      <c r="AJ630" s="150"/>
      <c r="AK630" s="137"/>
      <c r="AL630" s="137"/>
      <c r="AM630" s="3"/>
      <c r="AN630" s="138"/>
      <c r="AO630" s="2"/>
      <c r="AP630" s="139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131"/>
      <c r="BB630" s="15"/>
      <c r="BC630" s="99"/>
      <c r="BD630" s="149"/>
      <c r="BE630" s="134"/>
      <c r="BF630" s="134"/>
      <c r="BG630" s="137"/>
      <c r="BH630" s="150"/>
      <c r="BI630" s="137"/>
      <c r="BJ630" s="137"/>
      <c r="BK630" s="3"/>
      <c r="BL630" s="138"/>
      <c r="BM630" s="2"/>
      <c r="BN630" s="139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131"/>
      <c r="BZ630" s="15"/>
      <c r="CA630" s="99"/>
      <c r="CB630" s="149"/>
      <c r="CC630" s="134"/>
      <c r="CD630" s="134"/>
      <c r="CE630" s="137"/>
      <c r="CF630" s="150"/>
      <c r="CG630" s="137"/>
      <c r="CH630" s="137"/>
      <c r="CI630" s="3"/>
      <c r="CJ630" s="138"/>
      <c r="CK630" s="2"/>
      <c r="CL630" s="139"/>
      <c r="CM630" s="3"/>
      <c r="CN630" s="3"/>
      <c r="CO630" s="3"/>
      <c r="CP630" s="3"/>
      <c r="CQ630" s="3"/>
      <c r="CR630" s="3"/>
      <c r="CS630" s="3"/>
      <c r="CT630" s="3"/>
      <c r="CU630" s="3"/>
      <c r="CV630" s="3"/>
      <c r="CW630" s="131"/>
      <c r="CX630" s="15"/>
      <c r="CY630" s="99"/>
      <c r="CZ630" s="149"/>
      <c r="DA630" s="134"/>
      <c r="DB630" s="134"/>
      <c r="DC630" s="137"/>
      <c r="DD630" s="150"/>
      <c r="DE630" s="137"/>
      <c r="DF630" s="137"/>
      <c r="DG630" s="3"/>
      <c r="DH630" s="138"/>
      <c r="DI630" s="2"/>
      <c r="DJ630" s="139"/>
      <c r="DK630" s="3"/>
      <c r="DL630" s="3"/>
      <c r="DM630" s="3"/>
      <c r="DN630" s="3"/>
      <c r="DO630" s="3"/>
      <c r="DP630" s="3"/>
      <c r="DQ630" s="3"/>
      <c r="DR630" s="3"/>
      <c r="DS630" s="3"/>
      <c r="DT630" s="3"/>
      <c r="DU630" s="131"/>
      <c r="DV630" s="15"/>
      <c r="DW630" s="99"/>
      <c r="DX630" s="149"/>
      <c r="DY630" s="134"/>
      <c r="DZ630" s="134"/>
      <c r="EA630" s="137"/>
      <c r="EB630" s="150"/>
      <c r="EC630" s="137"/>
      <c r="ED630" s="137"/>
      <c r="EE630" s="3"/>
      <c r="EF630" s="138"/>
      <c r="EG630" s="2"/>
      <c r="EH630" s="139"/>
      <c r="EI630" s="3"/>
      <c r="EJ630" s="3"/>
      <c r="EK630" s="3"/>
      <c r="EL630" s="3"/>
      <c r="EM630" s="3"/>
      <c r="EN630" s="3"/>
      <c r="EO630" s="3"/>
      <c r="EP630" s="3"/>
      <c r="EQ630" s="3"/>
      <c r="ER630" s="3"/>
      <c r="ES630" s="131"/>
      <c r="ET630" s="15"/>
      <c r="EU630" s="99"/>
      <c r="EV630" s="149"/>
      <c r="EW630" s="134"/>
      <c r="EX630" s="134"/>
      <c r="EY630" s="137"/>
      <c r="EZ630" s="150"/>
      <c r="FA630" s="137"/>
      <c r="FB630" s="137"/>
      <c r="FC630" s="3"/>
      <c r="FD630" s="138"/>
      <c r="FE630" s="2"/>
      <c r="FF630" s="139"/>
      <c r="FG630" s="3"/>
      <c r="FH630" s="3"/>
      <c r="FI630" s="3"/>
      <c r="FJ630" s="3"/>
      <c r="FK630" s="3"/>
      <c r="FL630" s="3"/>
      <c r="FM630" s="3"/>
      <c r="FN630" s="3"/>
      <c r="FO630" s="3"/>
      <c r="FP630" s="3"/>
      <c r="FQ630" s="131"/>
      <c r="FR630" s="15"/>
      <c r="FS630" s="99"/>
      <c r="FT630" s="149"/>
      <c r="FU630" s="134"/>
      <c r="FV630" s="134"/>
      <c r="FW630" s="137"/>
      <c r="FX630" s="150"/>
      <c r="FY630" s="137"/>
      <c r="FZ630" s="137"/>
      <c r="GA630" s="3"/>
      <c r="GB630" s="138"/>
      <c r="GC630" s="2"/>
      <c r="GD630" s="139"/>
      <c r="GE630" s="3"/>
      <c r="GF630" s="3"/>
    </row>
    <row r="631" spans="1:188" s="125" customFormat="1">
      <c r="A631" s="86"/>
      <c r="B631" s="56">
        <v>43047</v>
      </c>
      <c r="C631" s="18"/>
      <c r="D631" s="19" t="s">
        <v>1371</v>
      </c>
      <c r="E631" s="20" t="s">
        <v>398</v>
      </c>
      <c r="F631" s="24" t="s">
        <v>791</v>
      </c>
      <c r="G631" s="238">
        <v>1707</v>
      </c>
      <c r="H631" s="121">
        <f>1729000-30000</f>
        <v>1699000</v>
      </c>
      <c r="I631" s="24">
        <v>1618095</v>
      </c>
      <c r="J631" s="199"/>
      <c r="K631" s="24">
        <f t="shared" ref="K631:K641" si="50">I631+J631</f>
        <v>1618095</v>
      </c>
      <c r="L631" s="24"/>
      <c r="M631" s="24">
        <f t="shared" ref="M631:M640" si="51">K631*L631</f>
        <v>0</v>
      </c>
      <c r="N631" s="129">
        <f t="shared" ref="N631:N640" si="52">K631-M631</f>
        <v>1618095</v>
      </c>
      <c r="O631" s="108" t="s">
        <v>900</v>
      </c>
      <c r="P631" s="3"/>
      <c r="Q631" s="3"/>
      <c r="R631" s="3"/>
      <c r="S631" s="3"/>
      <c r="T631" s="3"/>
      <c r="U631" s="3"/>
      <c r="V631" s="131"/>
      <c r="W631" s="15"/>
      <c r="X631" s="3"/>
      <c r="Y631" s="3"/>
      <c r="Z631" s="3"/>
      <c r="AA631" s="3"/>
      <c r="AB631" s="3"/>
      <c r="AC631" s="131"/>
      <c r="AD631" s="15"/>
      <c r="AE631" s="99"/>
      <c r="AF631" s="149"/>
      <c r="AG631" s="134"/>
      <c r="AH631" s="134"/>
      <c r="AI631" s="137"/>
      <c r="AJ631" s="150"/>
      <c r="AK631" s="137"/>
      <c r="AL631" s="137"/>
      <c r="AM631" s="3"/>
      <c r="AN631" s="138"/>
      <c r="AO631" s="2"/>
      <c r="AP631" s="139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131"/>
      <c r="BB631" s="15"/>
      <c r="BC631" s="99"/>
      <c r="BD631" s="149"/>
      <c r="BE631" s="134"/>
      <c r="BF631" s="134"/>
      <c r="BG631" s="137"/>
      <c r="BH631" s="150"/>
      <c r="BI631" s="137"/>
      <c r="BJ631" s="137"/>
      <c r="BK631" s="3"/>
      <c r="BL631" s="138"/>
      <c r="BM631" s="2"/>
      <c r="BN631" s="139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131"/>
      <c r="BZ631" s="15"/>
      <c r="CA631" s="99"/>
      <c r="CB631" s="149"/>
      <c r="CC631" s="134"/>
      <c r="CD631" s="134"/>
      <c r="CE631" s="137"/>
      <c r="CF631" s="150"/>
      <c r="CG631" s="137"/>
      <c r="CH631" s="137"/>
      <c r="CI631" s="3"/>
      <c r="CJ631" s="138"/>
      <c r="CK631" s="2"/>
      <c r="CL631" s="139"/>
      <c r="CM631" s="3"/>
      <c r="CN631" s="3"/>
      <c r="CO631" s="3"/>
      <c r="CP631" s="3"/>
      <c r="CQ631" s="3"/>
      <c r="CR631" s="3"/>
      <c r="CS631" s="3"/>
      <c r="CT631" s="3"/>
      <c r="CU631" s="3"/>
      <c r="CV631" s="3"/>
      <c r="CW631" s="131"/>
      <c r="CX631" s="15"/>
      <c r="CY631" s="99"/>
      <c r="CZ631" s="149"/>
      <c r="DA631" s="134"/>
      <c r="DB631" s="134"/>
      <c r="DC631" s="137"/>
      <c r="DD631" s="150"/>
      <c r="DE631" s="137"/>
      <c r="DF631" s="137"/>
      <c r="DG631" s="3"/>
      <c r="DH631" s="138"/>
      <c r="DI631" s="2"/>
      <c r="DJ631" s="139"/>
      <c r="DK631" s="3"/>
      <c r="DL631" s="3"/>
      <c r="DM631" s="3"/>
      <c r="DN631" s="3"/>
      <c r="DO631" s="3"/>
      <c r="DP631" s="3"/>
      <c r="DQ631" s="3"/>
      <c r="DR631" s="3"/>
      <c r="DS631" s="3"/>
      <c r="DT631" s="3"/>
      <c r="DU631" s="131"/>
      <c r="DV631" s="15"/>
      <c r="DW631" s="99"/>
      <c r="DX631" s="149"/>
      <c r="DY631" s="134"/>
      <c r="DZ631" s="134"/>
      <c r="EA631" s="137"/>
      <c r="EB631" s="150"/>
      <c r="EC631" s="137"/>
      <c r="ED631" s="137"/>
      <c r="EE631" s="3"/>
      <c r="EF631" s="138"/>
      <c r="EG631" s="2"/>
      <c r="EH631" s="139"/>
      <c r="EI631" s="3"/>
      <c r="EJ631" s="3"/>
      <c r="EK631" s="3"/>
      <c r="EL631" s="3"/>
      <c r="EM631" s="3"/>
      <c r="EN631" s="3"/>
      <c r="EO631" s="3"/>
      <c r="EP631" s="3"/>
      <c r="EQ631" s="3"/>
      <c r="ER631" s="3"/>
      <c r="ES631" s="131"/>
      <c r="ET631" s="15"/>
      <c r="EU631" s="99"/>
      <c r="EV631" s="149"/>
      <c r="EW631" s="134"/>
      <c r="EX631" s="134"/>
      <c r="EY631" s="137"/>
      <c r="EZ631" s="150"/>
      <c r="FA631" s="137"/>
      <c r="FB631" s="137"/>
      <c r="FC631" s="3"/>
      <c r="FD631" s="138"/>
      <c r="FE631" s="2"/>
      <c r="FF631" s="139"/>
      <c r="FG631" s="3"/>
      <c r="FH631" s="3"/>
      <c r="FI631" s="3"/>
      <c r="FJ631" s="3"/>
      <c r="FK631" s="3"/>
      <c r="FL631" s="3"/>
      <c r="FM631" s="3"/>
      <c r="FN631" s="3"/>
      <c r="FO631" s="3"/>
      <c r="FP631" s="3"/>
      <c r="FQ631" s="131"/>
      <c r="FR631" s="15"/>
      <c r="FS631" s="99"/>
      <c r="FT631" s="149"/>
      <c r="FU631" s="134"/>
      <c r="FV631" s="134"/>
      <c r="FW631" s="137"/>
      <c r="FX631" s="150"/>
      <c r="FY631" s="137"/>
      <c r="FZ631" s="137"/>
      <c r="GA631" s="3"/>
      <c r="GB631" s="138"/>
      <c r="GC631" s="2"/>
      <c r="GD631" s="139"/>
      <c r="GE631" s="3"/>
      <c r="GF631" s="3"/>
    </row>
    <row r="632" spans="1:188" s="125" customFormat="1">
      <c r="A632" s="86"/>
      <c r="B632" s="56">
        <v>43082</v>
      </c>
      <c r="C632" s="18"/>
      <c r="D632" s="19" t="s">
        <v>1421</v>
      </c>
      <c r="E632" s="20" t="s">
        <v>398</v>
      </c>
      <c r="F632" s="24" t="s">
        <v>792</v>
      </c>
      <c r="G632" s="238">
        <v>1707</v>
      </c>
      <c r="H632" s="121">
        <f>1729000-30000</f>
        <v>1699000</v>
      </c>
      <c r="I632" s="24"/>
      <c r="J632" s="199">
        <f>SUM(H632)/1.05</f>
        <v>1618095.2380952381</v>
      </c>
      <c r="K632" s="24">
        <f t="shared" si="50"/>
        <v>1618095.2380952381</v>
      </c>
      <c r="L632" s="24"/>
      <c r="M632" s="24">
        <f t="shared" si="51"/>
        <v>0</v>
      </c>
      <c r="N632" s="129">
        <f t="shared" si="52"/>
        <v>1618095.2380952381</v>
      </c>
      <c r="O632" s="108" t="s">
        <v>900</v>
      </c>
      <c r="P632" s="3"/>
      <c r="Q632" s="3"/>
      <c r="R632" s="3"/>
      <c r="S632" s="3"/>
      <c r="T632" s="3"/>
      <c r="U632" s="3"/>
      <c r="V632" s="131"/>
      <c r="W632" s="15"/>
      <c r="X632" s="3"/>
      <c r="Y632" s="3"/>
      <c r="Z632" s="3"/>
      <c r="AA632" s="3"/>
      <c r="AB632" s="3"/>
      <c r="AC632" s="131"/>
      <c r="AD632" s="15"/>
      <c r="AE632" s="99"/>
      <c r="AF632" s="149"/>
      <c r="AG632" s="134"/>
      <c r="AH632" s="134"/>
      <c r="AI632" s="137"/>
      <c r="AJ632" s="150"/>
      <c r="AK632" s="137"/>
      <c r="AL632" s="137"/>
      <c r="AM632" s="3"/>
      <c r="AN632" s="138"/>
      <c r="AO632" s="2"/>
      <c r="AP632" s="139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131"/>
      <c r="BB632" s="15"/>
      <c r="BC632" s="99"/>
      <c r="BD632" s="149"/>
      <c r="BE632" s="134"/>
      <c r="BF632" s="134"/>
      <c r="BG632" s="137"/>
      <c r="BH632" s="150"/>
      <c r="BI632" s="137"/>
      <c r="BJ632" s="137"/>
      <c r="BK632" s="3"/>
      <c r="BL632" s="138"/>
      <c r="BM632" s="2"/>
      <c r="BN632" s="139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131"/>
      <c r="BZ632" s="15"/>
      <c r="CA632" s="99"/>
      <c r="CB632" s="149"/>
      <c r="CC632" s="134"/>
      <c r="CD632" s="134"/>
      <c r="CE632" s="137"/>
      <c r="CF632" s="150"/>
      <c r="CG632" s="137"/>
      <c r="CH632" s="137"/>
      <c r="CI632" s="3"/>
      <c r="CJ632" s="138"/>
      <c r="CK632" s="2"/>
      <c r="CL632" s="139"/>
      <c r="CM632" s="3"/>
      <c r="CN632" s="3"/>
      <c r="CO632" s="3"/>
      <c r="CP632" s="3"/>
      <c r="CQ632" s="3"/>
      <c r="CR632" s="3"/>
      <c r="CS632" s="3"/>
      <c r="CT632" s="3"/>
      <c r="CU632" s="3"/>
      <c r="CV632" s="3"/>
      <c r="CW632" s="131"/>
      <c r="CX632" s="15"/>
      <c r="CY632" s="99"/>
      <c r="CZ632" s="149"/>
      <c r="DA632" s="134"/>
      <c r="DB632" s="134"/>
      <c r="DC632" s="137"/>
      <c r="DD632" s="150"/>
      <c r="DE632" s="137"/>
      <c r="DF632" s="137"/>
      <c r="DG632" s="3"/>
      <c r="DH632" s="138"/>
      <c r="DI632" s="2"/>
      <c r="DJ632" s="139"/>
      <c r="DK632" s="3"/>
      <c r="DL632" s="3"/>
      <c r="DM632" s="3"/>
      <c r="DN632" s="3"/>
      <c r="DO632" s="3"/>
      <c r="DP632" s="3"/>
      <c r="DQ632" s="3"/>
      <c r="DR632" s="3"/>
      <c r="DS632" s="3"/>
      <c r="DT632" s="3"/>
      <c r="DU632" s="131"/>
      <c r="DV632" s="15"/>
      <c r="DW632" s="99"/>
      <c r="DX632" s="149"/>
      <c r="DY632" s="134"/>
      <c r="DZ632" s="134"/>
      <c r="EA632" s="137"/>
      <c r="EB632" s="150"/>
      <c r="EC632" s="137"/>
      <c r="ED632" s="137"/>
      <c r="EE632" s="3"/>
      <c r="EF632" s="138"/>
      <c r="EG632" s="2"/>
      <c r="EH632" s="139"/>
      <c r="EI632" s="3"/>
      <c r="EJ632" s="3"/>
      <c r="EK632" s="3"/>
      <c r="EL632" s="3"/>
      <c r="EM632" s="3"/>
      <c r="EN632" s="3"/>
      <c r="EO632" s="3"/>
      <c r="EP632" s="3"/>
      <c r="EQ632" s="3"/>
      <c r="ER632" s="3"/>
      <c r="ES632" s="131"/>
      <c r="ET632" s="15"/>
      <c r="EU632" s="99"/>
      <c r="EV632" s="149"/>
      <c r="EW632" s="134"/>
      <c r="EX632" s="134"/>
      <c r="EY632" s="137"/>
      <c r="EZ632" s="150"/>
      <c r="FA632" s="137"/>
      <c r="FB632" s="137"/>
      <c r="FC632" s="3"/>
      <c r="FD632" s="138"/>
      <c r="FE632" s="2"/>
      <c r="FF632" s="139"/>
      <c r="FG632" s="3"/>
      <c r="FH632" s="3"/>
      <c r="FI632" s="3"/>
      <c r="FJ632" s="3"/>
      <c r="FK632" s="3"/>
      <c r="FL632" s="3"/>
      <c r="FM632" s="3"/>
      <c r="FN632" s="3"/>
      <c r="FO632" s="3"/>
      <c r="FP632" s="3"/>
      <c r="FQ632" s="131"/>
      <c r="FR632" s="15"/>
      <c r="FS632" s="99"/>
      <c r="FT632" s="149"/>
      <c r="FU632" s="134"/>
      <c r="FV632" s="134"/>
      <c r="FW632" s="137"/>
      <c r="FX632" s="150"/>
      <c r="FY632" s="137"/>
      <c r="FZ632" s="137"/>
      <c r="GA632" s="3"/>
      <c r="GB632" s="138"/>
      <c r="GC632" s="2"/>
      <c r="GD632" s="139"/>
      <c r="GE632" s="3"/>
      <c r="GF632" s="3"/>
    </row>
    <row r="633" spans="1:188" s="125" customFormat="1">
      <c r="A633" s="86"/>
      <c r="B633" s="56">
        <v>43070</v>
      </c>
      <c r="C633" s="18"/>
      <c r="D633" s="19" t="s">
        <v>1422</v>
      </c>
      <c r="E633" s="20" t="s">
        <v>306</v>
      </c>
      <c r="F633" s="24" t="s">
        <v>793</v>
      </c>
      <c r="G633" s="238">
        <v>1709</v>
      </c>
      <c r="H633" s="121">
        <v>1660000</v>
      </c>
      <c r="I633" s="24"/>
      <c r="J633" s="199">
        <f>SUM(H633)/1.05</f>
        <v>1580952.3809523808</v>
      </c>
      <c r="K633" s="24">
        <f t="shared" si="50"/>
        <v>1580952.3809523808</v>
      </c>
      <c r="L633" s="24"/>
      <c r="M633" s="24">
        <f t="shared" si="51"/>
        <v>0</v>
      </c>
      <c r="N633" s="129">
        <f t="shared" si="52"/>
        <v>1580952.3809523808</v>
      </c>
      <c r="O633" s="108" t="s">
        <v>900</v>
      </c>
      <c r="P633" s="3"/>
      <c r="Q633" s="3"/>
      <c r="R633" s="3"/>
      <c r="S633" s="3"/>
      <c r="T633" s="3"/>
      <c r="U633" s="3"/>
      <c r="V633" s="131"/>
      <c r="W633" s="15"/>
      <c r="X633" s="3"/>
      <c r="Y633" s="3"/>
      <c r="Z633" s="3"/>
      <c r="AA633" s="3"/>
      <c r="AB633" s="3"/>
      <c r="AC633" s="131"/>
      <c r="AD633" s="15"/>
      <c r="AE633" s="99"/>
      <c r="AF633" s="149"/>
      <c r="AG633" s="134"/>
      <c r="AH633" s="134"/>
      <c r="AI633" s="137"/>
      <c r="AJ633" s="150"/>
      <c r="AK633" s="137"/>
      <c r="AL633" s="137"/>
      <c r="AM633" s="3"/>
      <c r="AN633" s="138"/>
      <c r="AO633" s="2"/>
      <c r="AP633" s="139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131"/>
      <c r="BB633" s="15"/>
      <c r="BC633" s="99"/>
      <c r="BD633" s="149"/>
      <c r="BE633" s="134"/>
      <c r="BF633" s="134"/>
      <c r="BG633" s="137"/>
      <c r="BH633" s="150"/>
      <c r="BI633" s="137"/>
      <c r="BJ633" s="137"/>
      <c r="BK633" s="3"/>
      <c r="BL633" s="138"/>
      <c r="BM633" s="2"/>
      <c r="BN633" s="139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131"/>
      <c r="BZ633" s="15"/>
      <c r="CA633" s="99"/>
      <c r="CB633" s="149"/>
      <c r="CC633" s="134"/>
      <c r="CD633" s="134"/>
      <c r="CE633" s="137"/>
      <c r="CF633" s="150"/>
      <c r="CG633" s="137"/>
      <c r="CH633" s="137"/>
      <c r="CI633" s="3"/>
      <c r="CJ633" s="138"/>
      <c r="CK633" s="2"/>
      <c r="CL633" s="139"/>
      <c r="CM633" s="3"/>
      <c r="CN633" s="3"/>
      <c r="CO633" s="3"/>
      <c r="CP633" s="3"/>
      <c r="CQ633" s="3"/>
      <c r="CR633" s="3"/>
      <c r="CS633" s="3"/>
      <c r="CT633" s="3"/>
      <c r="CU633" s="3"/>
      <c r="CV633" s="3"/>
      <c r="CW633" s="131"/>
      <c r="CX633" s="15"/>
      <c r="CY633" s="99"/>
      <c r="CZ633" s="149"/>
      <c r="DA633" s="134"/>
      <c r="DB633" s="134"/>
      <c r="DC633" s="137"/>
      <c r="DD633" s="150"/>
      <c r="DE633" s="137"/>
      <c r="DF633" s="137"/>
      <c r="DG633" s="3"/>
      <c r="DH633" s="138"/>
      <c r="DI633" s="2"/>
      <c r="DJ633" s="139"/>
      <c r="DK633" s="3"/>
      <c r="DL633" s="3"/>
      <c r="DM633" s="3"/>
      <c r="DN633" s="3"/>
      <c r="DO633" s="3"/>
      <c r="DP633" s="3"/>
      <c r="DQ633" s="3"/>
      <c r="DR633" s="3"/>
      <c r="DS633" s="3"/>
      <c r="DT633" s="3"/>
      <c r="DU633" s="131"/>
      <c r="DV633" s="15"/>
      <c r="DW633" s="99"/>
      <c r="DX633" s="149"/>
      <c r="DY633" s="134"/>
      <c r="DZ633" s="134"/>
      <c r="EA633" s="137"/>
      <c r="EB633" s="150"/>
      <c r="EC633" s="137"/>
      <c r="ED633" s="137"/>
      <c r="EE633" s="3"/>
      <c r="EF633" s="138"/>
      <c r="EG633" s="2"/>
      <c r="EH633" s="139"/>
      <c r="EI633" s="3"/>
      <c r="EJ633" s="3"/>
      <c r="EK633" s="3"/>
      <c r="EL633" s="3"/>
      <c r="EM633" s="3"/>
      <c r="EN633" s="3"/>
      <c r="EO633" s="3"/>
      <c r="EP633" s="3"/>
      <c r="EQ633" s="3"/>
      <c r="ER633" s="3"/>
      <c r="ES633" s="131"/>
      <c r="ET633" s="15"/>
      <c r="EU633" s="99"/>
      <c r="EV633" s="149"/>
      <c r="EW633" s="134"/>
      <c r="EX633" s="134"/>
      <c r="EY633" s="137"/>
      <c r="EZ633" s="150"/>
      <c r="FA633" s="137"/>
      <c r="FB633" s="137"/>
      <c r="FC633" s="3"/>
      <c r="FD633" s="138"/>
      <c r="FE633" s="2"/>
      <c r="FF633" s="139"/>
      <c r="FG633" s="3"/>
      <c r="FH633" s="3"/>
      <c r="FI633" s="3"/>
      <c r="FJ633" s="3"/>
      <c r="FK633" s="3"/>
      <c r="FL633" s="3"/>
      <c r="FM633" s="3"/>
      <c r="FN633" s="3"/>
      <c r="FO633" s="3"/>
      <c r="FP633" s="3"/>
      <c r="FQ633" s="131"/>
      <c r="FR633" s="15"/>
      <c r="FS633" s="99"/>
      <c r="FT633" s="149"/>
      <c r="FU633" s="134"/>
      <c r="FV633" s="134"/>
      <c r="FW633" s="137"/>
      <c r="FX633" s="150"/>
      <c r="FY633" s="137"/>
      <c r="FZ633" s="137"/>
      <c r="GA633" s="3"/>
      <c r="GB633" s="138"/>
      <c r="GC633" s="2"/>
      <c r="GD633" s="139"/>
      <c r="GE633" s="3"/>
      <c r="GF633" s="3"/>
    </row>
    <row r="634" spans="1:188" s="125" customFormat="1">
      <c r="A634" s="86"/>
      <c r="B634" s="56">
        <v>43048</v>
      </c>
      <c r="C634" s="18"/>
      <c r="D634" s="19" t="s">
        <v>1421</v>
      </c>
      <c r="E634" s="20" t="s">
        <v>536</v>
      </c>
      <c r="F634" s="24" t="s">
        <v>794</v>
      </c>
      <c r="G634" s="238">
        <v>1708</v>
      </c>
      <c r="H634" s="121">
        <v>1840000</v>
      </c>
      <c r="I634" s="24">
        <v>1752381</v>
      </c>
      <c r="J634" s="199"/>
      <c r="K634" s="24">
        <f t="shared" si="50"/>
        <v>1752381</v>
      </c>
      <c r="L634" s="24"/>
      <c r="M634" s="24">
        <f t="shared" si="51"/>
        <v>0</v>
      </c>
      <c r="N634" s="129">
        <f t="shared" si="52"/>
        <v>1752381</v>
      </c>
      <c r="O634" s="108" t="s">
        <v>900</v>
      </c>
      <c r="P634" s="3"/>
      <c r="Q634" s="3"/>
      <c r="R634" s="3"/>
      <c r="S634" s="3"/>
      <c r="T634" s="3"/>
      <c r="U634" s="3"/>
      <c r="V634" s="131"/>
      <c r="W634" s="15"/>
      <c r="X634" s="3"/>
      <c r="Y634" s="3"/>
      <c r="Z634" s="3"/>
      <c r="AA634" s="3"/>
      <c r="AB634" s="3"/>
      <c r="AC634" s="131"/>
      <c r="AD634" s="15"/>
      <c r="AE634" s="99"/>
      <c r="AF634" s="149"/>
      <c r="AG634" s="134"/>
      <c r="AH634" s="134"/>
      <c r="AI634" s="137"/>
      <c r="AJ634" s="150"/>
      <c r="AK634" s="137"/>
      <c r="AL634" s="137"/>
      <c r="AM634" s="3"/>
      <c r="AN634" s="138"/>
      <c r="AO634" s="2"/>
      <c r="AP634" s="139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131"/>
      <c r="BB634" s="15"/>
      <c r="BC634" s="99"/>
      <c r="BD634" s="149"/>
      <c r="BE634" s="134"/>
      <c r="BF634" s="134"/>
      <c r="BG634" s="137"/>
      <c r="BH634" s="150"/>
      <c r="BI634" s="137"/>
      <c r="BJ634" s="137"/>
      <c r="BK634" s="3"/>
      <c r="BL634" s="138"/>
      <c r="BM634" s="2"/>
      <c r="BN634" s="139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131"/>
      <c r="BZ634" s="15"/>
      <c r="CA634" s="99"/>
      <c r="CB634" s="149"/>
      <c r="CC634" s="134"/>
      <c r="CD634" s="134"/>
      <c r="CE634" s="137"/>
      <c r="CF634" s="150"/>
      <c r="CG634" s="137"/>
      <c r="CH634" s="137"/>
      <c r="CI634" s="3"/>
      <c r="CJ634" s="138"/>
      <c r="CK634" s="2"/>
      <c r="CL634" s="139"/>
      <c r="CM634" s="3"/>
      <c r="CN634" s="3"/>
      <c r="CO634" s="3"/>
      <c r="CP634" s="3"/>
      <c r="CQ634" s="3"/>
      <c r="CR634" s="3"/>
      <c r="CS634" s="3"/>
      <c r="CT634" s="3"/>
      <c r="CU634" s="3"/>
      <c r="CV634" s="3"/>
      <c r="CW634" s="131"/>
      <c r="CX634" s="15"/>
      <c r="CY634" s="99"/>
      <c r="CZ634" s="149"/>
      <c r="DA634" s="134"/>
      <c r="DB634" s="134"/>
      <c r="DC634" s="137"/>
      <c r="DD634" s="150"/>
      <c r="DE634" s="137"/>
      <c r="DF634" s="137"/>
      <c r="DG634" s="3"/>
      <c r="DH634" s="138"/>
      <c r="DI634" s="2"/>
      <c r="DJ634" s="139"/>
      <c r="DK634" s="3"/>
      <c r="DL634" s="3"/>
      <c r="DM634" s="3"/>
      <c r="DN634" s="3"/>
      <c r="DO634" s="3"/>
      <c r="DP634" s="3"/>
      <c r="DQ634" s="3"/>
      <c r="DR634" s="3"/>
      <c r="DS634" s="3"/>
      <c r="DT634" s="3"/>
      <c r="DU634" s="131"/>
      <c r="DV634" s="15"/>
      <c r="DW634" s="99"/>
      <c r="DX634" s="149"/>
      <c r="DY634" s="134"/>
      <c r="DZ634" s="134"/>
      <c r="EA634" s="137"/>
      <c r="EB634" s="150"/>
      <c r="EC634" s="137"/>
      <c r="ED634" s="137"/>
      <c r="EE634" s="3"/>
      <c r="EF634" s="138"/>
      <c r="EG634" s="2"/>
      <c r="EH634" s="139"/>
      <c r="EI634" s="3"/>
      <c r="EJ634" s="3"/>
      <c r="EK634" s="3"/>
      <c r="EL634" s="3"/>
      <c r="EM634" s="3"/>
      <c r="EN634" s="3"/>
      <c r="EO634" s="3"/>
      <c r="EP634" s="3"/>
      <c r="EQ634" s="3"/>
      <c r="ER634" s="3"/>
      <c r="ES634" s="131"/>
      <c r="ET634" s="15"/>
      <c r="EU634" s="99"/>
      <c r="EV634" s="149"/>
      <c r="EW634" s="134"/>
      <c r="EX634" s="134"/>
      <c r="EY634" s="137"/>
      <c r="EZ634" s="150"/>
      <c r="FA634" s="137"/>
      <c r="FB634" s="137"/>
      <c r="FC634" s="3"/>
      <c r="FD634" s="138"/>
      <c r="FE634" s="2"/>
      <c r="FF634" s="139"/>
      <c r="FG634" s="3"/>
      <c r="FH634" s="3"/>
      <c r="FI634" s="3"/>
      <c r="FJ634" s="3"/>
      <c r="FK634" s="3"/>
      <c r="FL634" s="3"/>
      <c r="FM634" s="3"/>
      <c r="FN634" s="3"/>
      <c r="FO634" s="3"/>
      <c r="FP634" s="3"/>
      <c r="FQ634" s="131"/>
      <c r="FR634" s="15"/>
      <c r="FS634" s="99"/>
      <c r="FT634" s="149"/>
      <c r="FU634" s="134"/>
      <c r="FV634" s="134"/>
      <c r="FW634" s="137"/>
      <c r="FX634" s="150"/>
      <c r="FY634" s="137"/>
      <c r="FZ634" s="137"/>
      <c r="GA634" s="3"/>
      <c r="GB634" s="138"/>
      <c r="GC634" s="2"/>
      <c r="GD634" s="139"/>
      <c r="GE634" s="3"/>
      <c r="GF634" s="3"/>
    </row>
    <row r="635" spans="1:188" s="125" customFormat="1">
      <c r="A635" s="86"/>
      <c r="B635" s="56">
        <v>43062</v>
      </c>
      <c r="C635" s="18"/>
      <c r="D635" s="19" t="s">
        <v>1421</v>
      </c>
      <c r="E635" s="20" t="s">
        <v>795</v>
      </c>
      <c r="F635" s="24" t="s">
        <v>796</v>
      </c>
      <c r="G635" s="238">
        <v>1708</v>
      </c>
      <c r="H635" s="121">
        <f>160000+1938000</f>
        <v>2098000</v>
      </c>
      <c r="I635" s="24">
        <v>1998095</v>
      </c>
      <c r="J635" s="199"/>
      <c r="K635" s="24">
        <f t="shared" si="50"/>
        <v>1998095</v>
      </c>
      <c r="L635" s="24"/>
      <c r="M635" s="24">
        <f t="shared" si="51"/>
        <v>0</v>
      </c>
      <c r="N635" s="129">
        <f t="shared" si="52"/>
        <v>1998095</v>
      </c>
      <c r="O635" s="108" t="s">
        <v>900</v>
      </c>
      <c r="P635" s="3"/>
      <c r="Q635" s="3"/>
      <c r="R635" s="3"/>
      <c r="S635" s="3"/>
      <c r="T635" s="3"/>
      <c r="U635" s="3"/>
      <c r="V635" s="131"/>
      <c r="W635" s="15"/>
      <c r="X635" s="3"/>
      <c r="Y635" s="3"/>
      <c r="Z635" s="3"/>
      <c r="AA635" s="3"/>
      <c r="AB635" s="3"/>
      <c r="AC635" s="131"/>
      <c r="AD635" s="15"/>
      <c r="AE635" s="99"/>
      <c r="AF635" s="149"/>
      <c r="AG635" s="134"/>
      <c r="AH635" s="134"/>
      <c r="AI635" s="137"/>
      <c r="AJ635" s="150"/>
      <c r="AK635" s="137"/>
      <c r="AL635" s="137"/>
      <c r="AM635" s="3"/>
      <c r="AN635" s="138"/>
      <c r="AO635" s="2"/>
      <c r="AP635" s="139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131"/>
      <c r="BB635" s="15"/>
      <c r="BC635" s="99"/>
      <c r="BD635" s="149"/>
      <c r="BE635" s="134"/>
      <c r="BF635" s="134"/>
      <c r="BG635" s="137"/>
      <c r="BH635" s="150"/>
      <c r="BI635" s="137"/>
      <c r="BJ635" s="137"/>
      <c r="BK635" s="3"/>
      <c r="BL635" s="138"/>
      <c r="BM635" s="2"/>
      <c r="BN635" s="139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131"/>
      <c r="BZ635" s="15"/>
      <c r="CA635" s="99"/>
      <c r="CB635" s="149"/>
      <c r="CC635" s="134"/>
      <c r="CD635" s="134"/>
      <c r="CE635" s="137"/>
      <c r="CF635" s="150"/>
      <c r="CG635" s="137"/>
      <c r="CH635" s="137"/>
      <c r="CI635" s="3"/>
      <c r="CJ635" s="138"/>
      <c r="CK635" s="2"/>
      <c r="CL635" s="139"/>
      <c r="CM635" s="3"/>
      <c r="CN635" s="3"/>
      <c r="CO635" s="3"/>
      <c r="CP635" s="3"/>
      <c r="CQ635" s="3"/>
      <c r="CR635" s="3"/>
      <c r="CS635" s="3"/>
      <c r="CT635" s="3"/>
      <c r="CU635" s="3"/>
      <c r="CV635" s="3"/>
      <c r="CW635" s="131"/>
      <c r="CX635" s="15"/>
      <c r="CY635" s="99"/>
      <c r="CZ635" s="149"/>
      <c r="DA635" s="134"/>
      <c r="DB635" s="134"/>
      <c r="DC635" s="137"/>
      <c r="DD635" s="150"/>
      <c r="DE635" s="137"/>
      <c r="DF635" s="137"/>
      <c r="DG635" s="3"/>
      <c r="DH635" s="138"/>
      <c r="DI635" s="2"/>
      <c r="DJ635" s="139"/>
      <c r="DK635" s="3"/>
      <c r="DL635" s="3"/>
      <c r="DM635" s="3"/>
      <c r="DN635" s="3"/>
      <c r="DO635" s="3"/>
      <c r="DP635" s="3"/>
      <c r="DQ635" s="3"/>
      <c r="DR635" s="3"/>
      <c r="DS635" s="3"/>
      <c r="DT635" s="3"/>
      <c r="DU635" s="131"/>
      <c r="DV635" s="15"/>
      <c r="DW635" s="99"/>
      <c r="DX635" s="149"/>
      <c r="DY635" s="134"/>
      <c r="DZ635" s="134"/>
      <c r="EA635" s="137"/>
      <c r="EB635" s="150"/>
      <c r="EC635" s="137"/>
      <c r="ED635" s="137"/>
      <c r="EE635" s="3"/>
      <c r="EF635" s="138"/>
      <c r="EG635" s="2"/>
      <c r="EH635" s="139"/>
      <c r="EI635" s="3"/>
      <c r="EJ635" s="3"/>
      <c r="EK635" s="3"/>
      <c r="EL635" s="3"/>
      <c r="EM635" s="3"/>
      <c r="EN635" s="3"/>
      <c r="EO635" s="3"/>
      <c r="EP635" s="3"/>
      <c r="EQ635" s="3"/>
      <c r="ER635" s="3"/>
      <c r="ES635" s="131"/>
      <c r="ET635" s="15"/>
      <c r="EU635" s="99"/>
      <c r="EV635" s="149"/>
      <c r="EW635" s="134"/>
      <c r="EX635" s="134"/>
      <c r="EY635" s="137"/>
      <c r="EZ635" s="150"/>
      <c r="FA635" s="137"/>
      <c r="FB635" s="137"/>
      <c r="FC635" s="3"/>
      <c r="FD635" s="138"/>
      <c r="FE635" s="2"/>
      <c r="FF635" s="139"/>
      <c r="FG635" s="3"/>
      <c r="FH635" s="3"/>
      <c r="FI635" s="3"/>
      <c r="FJ635" s="3"/>
      <c r="FK635" s="3"/>
      <c r="FL635" s="3"/>
      <c r="FM635" s="3"/>
      <c r="FN635" s="3"/>
      <c r="FO635" s="3"/>
      <c r="FP635" s="3"/>
      <c r="FQ635" s="131"/>
      <c r="FR635" s="15"/>
      <c r="FS635" s="99"/>
      <c r="FT635" s="149"/>
      <c r="FU635" s="134"/>
      <c r="FV635" s="134"/>
      <c r="FW635" s="137"/>
      <c r="FX635" s="150"/>
      <c r="FY635" s="137"/>
      <c r="FZ635" s="137"/>
      <c r="GA635" s="3"/>
      <c r="GB635" s="138"/>
      <c r="GC635" s="2"/>
      <c r="GD635" s="139"/>
      <c r="GE635" s="3"/>
      <c r="GF635" s="3"/>
    </row>
    <row r="636" spans="1:188" s="125" customFormat="1">
      <c r="A636" s="86"/>
      <c r="B636" s="56">
        <v>43075</v>
      </c>
      <c r="C636" s="18"/>
      <c r="D636" s="19" t="s">
        <v>1421</v>
      </c>
      <c r="E636" s="20" t="s">
        <v>407</v>
      </c>
      <c r="F636" s="24" t="s">
        <v>797</v>
      </c>
      <c r="G636" s="238">
        <v>1708</v>
      </c>
      <c r="H636" s="121">
        <v>2000000</v>
      </c>
      <c r="I636" s="24"/>
      <c r="J636" s="199">
        <f>SUM(H636)/1.05</f>
        <v>1904761.9047619046</v>
      </c>
      <c r="K636" s="24">
        <f t="shared" si="50"/>
        <v>1904761.9047619046</v>
      </c>
      <c r="L636" s="24"/>
      <c r="M636" s="24">
        <f t="shared" si="51"/>
        <v>0</v>
      </c>
      <c r="N636" s="129">
        <f t="shared" si="52"/>
        <v>1904761.9047619046</v>
      </c>
      <c r="O636" s="108" t="s">
        <v>900</v>
      </c>
      <c r="P636" s="3"/>
      <c r="Q636" s="3"/>
      <c r="R636" s="3"/>
      <c r="S636" s="3"/>
      <c r="T636" s="3"/>
      <c r="U636" s="3"/>
      <c r="V636" s="131"/>
      <c r="W636" s="15"/>
      <c r="X636" s="3"/>
      <c r="Y636" s="3"/>
      <c r="Z636" s="3"/>
      <c r="AA636" s="3"/>
      <c r="AB636" s="3"/>
      <c r="AC636" s="131"/>
      <c r="AD636" s="15"/>
      <c r="AE636" s="99"/>
      <c r="AF636" s="149"/>
      <c r="AG636" s="134"/>
      <c r="AH636" s="134"/>
      <c r="AI636" s="137"/>
      <c r="AJ636" s="150"/>
      <c r="AK636" s="137"/>
      <c r="AL636" s="137"/>
      <c r="AM636" s="3"/>
      <c r="AN636" s="138"/>
      <c r="AO636" s="2"/>
      <c r="AP636" s="139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131"/>
      <c r="BB636" s="15"/>
      <c r="BC636" s="99"/>
      <c r="BD636" s="149"/>
      <c r="BE636" s="134"/>
      <c r="BF636" s="134"/>
      <c r="BG636" s="137"/>
      <c r="BH636" s="150"/>
      <c r="BI636" s="137"/>
      <c r="BJ636" s="137"/>
      <c r="BK636" s="3"/>
      <c r="BL636" s="138"/>
      <c r="BM636" s="2"/>
      <c r="BN636" s="139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131"/>
      <c r="BZ636" s="15"/>
      <c r="CA636" s="99"/>
      <c r="CB636" s="149"/>
      <c r="CC636" s="134"/>
      <c r="CD636" s="134"/>
      <c r="CE636" s="137"/>
      <c r="CF636" s="150"/>
      <c r="CG636" s="137"/>
      <c r="CH636" s="137"/>
      <c r="CI636" s="3"/>
      <c r="CJ636" s="138"/>
      <c r="CK636" s="2"/>
      <c r="CL636" s="139"/>
      <c r="CM636" s="3"/>
      <c r="CN636" s="3"/>
      <c r="CO636" s="3"/>
      <c r="CP636" s="3"/>
      <c r="CQ636" s="3"/>
      <c r="CR636" s="3"/>
      <c r="CS636" s="3"/>
      <c r="CT636" s="3"/>
      <c r="CU636" s="3"/>
      <c r="CV636" s="3"/>
      <c r="CW636" s="131"/>
      <c r="CX636" s="15"/>
      <c r="CY636" s="99"/>
      <c r="CZ636" s="149"/>
      <c r="DA636" s="134"/>
      <c r="DB636" s="134"/>
      <c r="DC636" s="137"/>
      <c r="DD636" s="150"/>
      <c r="DE636" s="137"/>
      <c r="DF636" s="137"/>
      <c r="DG636" s="3"/>
      <c r="DH636" s="138"/>
      <c r="DI636" s="2"/>
      <c r="DJ636" s="139"/>
      <c r="DK636" s="3"/>
      <c r="DL636" s="3"/>
      <c r="DM636" s="3"/>
      <c r="DN636" s="3"/>
      <c r="DO636" s="3"/>
      <c r="DP636" s="3"/>
      <c r="DQ636" s="3"/>
      <c r="DR636" s="3"/>
      <c r="DS636" s="3"/>
      <c r="DT636" s="3"/>
      <c r="DU636" s="131"/>
      <c r="DV636" s="15"/>
      <c r="DW636" s="99"/>
      <c r="DX636" s="149"/>
      <c r="DY636" s="134"/>
      <c r="DZ636" s="134"/>
      <c r="EA636" s="137"/>
      <c r="EB636" s="150"/>
      <c r="EC636" s="137"/>
      <c r="ED636" s="137"/>
      <c r="EE636" s="3"/>
      <c r="EF636" s="138"/>
      <c r="EG636" s="2"/>
      <c r="EH636" s="139"/>
      <c r="EI636" s="3"/>
      <c r="EJ636" s="3"/>
      <c r="EK636" s="3"/>
      <c r="EL636" s="3"/>
      <c r="EM636" s="3"/>
      <c r="EN636" s="3"/>
      <c r="EO636" s="3"/>
      <c r="EP636" s="3"/>
      <c r="EQ636" s="3"/>
      <c r="ER636" s="3"/>
      <c r="ES636" s="131"/>
      <c r="ET636" s="15"/>
      <c r="EU636" s="99"/>
      <c r="EV636" s="149"/>
      <c r="EW636" s="134"/>
      <c r="EX636" s="134"/>
      <c r="EY636" s="137"/>
      <c r="EZ636" s="150"/>
      <c r="FA636" s="137"/>
      <c r="FB636" s="137"/>
      <c r="FC636" s="3"/>
      <c r="FD636" s="138"/>
      <c r="FE636" s="2"/>
      <c r="FF636" s="139"/>
      <c r="FG636" s="3"/>
      <c r="FH636" s="3"/>
      <c r="FI636" s="3"/>
      <c r="FJ636" s="3"/>
      <c r="FK636" s="3"/>
      <c r="FL636" s="3"/>
      <c r="FM636" s="3"/>
      <c r="FN636" s="3"/>
      <c r="FO636" s="3"/>
      <c r="FP636" s="3"/>
      <c r="FQ636" s="131"/>
      <c r="FR636" s="15"/>
      <c r="FS636" s="99"/>
      <c r="FT636" s="149"/>
      <c r="FU636" s="134"/>
      <c r="FV636" s="134"/>
      <c r="FW636" s="137"/>
      <c r="FX636" s="150"/>
      <c r="FY636" s="137"/>
      <c r="FZ636" s="137"/>
      <c r="GA636" s="3"/>
      <c r="GB636" s="138"/>
      <c r="GC636" s="2"/>
      <c r="GD636" s="139"/>
      <c r="GE636" s="3"/>
      <c r="GF636" s="3"/>
    </row>
    <row r="637" spans="1:188" s="125" customFormat="1">
      <c r="A637" s="86"/>
      <c r="B637" s="56">
        <v>43082</v>
      </c>
      <c r="C637" s="18"/>
      <c r="D637" s="19" t="s">
        <v>1421</v>
      </c>
      <c r="E637" s="20" t="s">
        <v>407</v>
      </c>
      <c r="F637" s="24" t="s">
        <v>798</v>
      </c>
      <c r="G637" s="238">
        <v>1709</v>
      </c>
      <c r="H637" s="121">
        <v>2000000</v>
      </c>
      <c r="I637" s="24"/>
      <c r="J637" s="199">
        <f>SUM(H637)/1.05</f>
        <v>1904761.9047619046</v>
      </c>
      <c r="K637" s="24">
        <f t="shared" si="50"/>
        <v>1904761.9047619046</v>
      </c>
      <c r="L637" s="24"/>
      <c r="M637" s="24">
        <f t="shared" si="51"/>
        <v>0</v>
      </c>
      <c r="N637" s="129">
        <f t="shared" si="52"/>
        <v>1904761.9047619046</v>
      </c>
      <c r="O637" s="108" t="s">
        <v>900</v>
      </c>
      <c r="P637" s="3"/>
      <c r="Q637" s="3"/>
      <c r="R637" s="3"/>
      <c r="S637" s="3"/>
      <c r="T637" s="3"/>
      <c r="U637" s="3"/>
      <c r="V637" s="131"/>
      <c r="W637" s="15"/>
      <c r="X637" s="3"/>
      <c r="Y637" s="3"/>
      <c r="Z637" s="3"/>
      <c r="AA637" s="3"/>
      <c r="AB637" s="3"/>
      <c r="AC637" s="131"/>
      <c r="AD637" s="15"/>
      <c r="AE637" s="99"/>
      <c r="AF637" s="149"/>
      <c r="AG637" s="134"/>
      <c r="AH637" s="134"/>
      <c r="AI637" s="137"/>
      <c r="AJ637" s="150"/>
      <c r="AK637" s="137"/>
      <c r="AL637" s="137"/>
      <c r="AM637" s="3"/>
      <c r="AN637" s="138"/>
      <c r="AO637" s="2"/>
      <c r="AP637" s="139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131"/>
      <c r="BB637" s="15"/>
      <c r="BC637" s="99"/>
      <c r="BD637" s="149"/>
      <c r="BE637" s="134"/>
      <c r="BF637" s="134"/>
      <c r="BG637" s="137"/>
      <c r="BH637" s="150"/>
      <c r="BI637" s="137"/>
      <c r="BJ637" s="137"/>
      <c r="BK637" s="3"/>
      <c r="BL637" s="138"/>
      <c r="BM637" s="2"/>
      <c r="BN637" s="139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131"/>
      <c r="BZ637" s="15"/>
      <c r="CA637" s="99"/>
      <c r="CB637" s="149"/>
      <c r="CC637" s="134"/>
      <c r="CD637" s="134"/>
      <c r="CE637" s="137"/>
      <c r="CF637" s="150"/>
      <c r="CG637" s="137"/>
      <c r="CH637" s="137"/>
      <c r="CI637" s="3"/>
      <c r="CJ637" s="138"/>
      <c r="CK637" s="2"/>
      <c r="CL637" s="139"/>
      <c r="CM637" s="3"/>
      <c r="CN637" s="3"/>
      <c r="CO637" s="3"/>
      <c r="CP637" s="3"/>
      <c r="CQ637" s="3"/>
      <c r="CR637" s="3"/>
      <c r="CS637" s="3"/>
      <c r="CT637" s="3"/>
      <c r="CU637" s="3"/>
      <c r="CV637" s="3"/>
      <c r="CW637" s="131"/>
      <c r="CX637" s="15"/>
      <c r="CY637" s="99"/>
      <c r="CZ637" s="149"/>
      <c r="DA637" s="134"/>
      <c r="DB637" s="134"/>
      <c r="DC637" s="137"/>
      <c r="DD637" s="150"/>
      <c r="DE637" s="137"/>
      <c r="DF637" s="137"/>
      <c r="DG637" s="3"/>
      <c r="DH637" s="138"/>
      <c r="DI637" s="2"/>
      <c r="DJ637" s="139"/>
      <c r="DK637" s="3"/>
      <c r="DL637" s="3"/>
      <c r="DM637" s="3"/>
      <c r="DN637" s="3"/>
      <c r="DO637" s="3"/>
      <c r="DP637" s="3"/>
      <c r="DQ637" s="3"/>
      <c r="DR637" s="3"/>
      <c r="DS637" s="3"/>
      <c r="DT637" s="3"/>
      <c r="DU637" s="131"/>
      <c r="DV637" s="15"/>
      <c r="DW637" s="99"/>
      <c r="DX637" s="149"/>
      <c r="DY637" s="134"/>
      <c r="DZ637" s="134"/>
      <c r="EA637" s="137"/>
      <c r="EB637" s="150"/>
      <c r="EC637" s="137"/>
      <c r="ED637" s="137"/>
      <c r="EE637" s="3"/>
      <c r="EF637" s="138"/>
      <c r="EG637" s="2"/>
      <c r="EH637" s="139"/>
      <c r="EI637" s="3"/>
      <c r="EJ637" s="3"/>
      <c r="EK637" s="3"/>
      <c r="EL637" s="3"/>
      <c r="EM637" s="3"/>
      <c r="EN637" s="3"/>
      <c r="EO637" s="3"/>
      <c r="EP637" s="3"/>
      <c r="EQ637" s="3"/>
      <c r="ER637" s="3"/>
      <c r="ES637" s="131"/>
      <c r="ET637" s="15"/>
      <c r="EU637" s="99"/>
      <c r="EV637" s="149"/>
      <c r="EW637" s="134"/>
      <c r="EX637" s="134"/>
      <c r="EY637" s="137"/>
      <c r="EZ637" s="150"/>
      <c r="FA637" s="137"/>
      <c r="FB637" s="137"/>
      <c r="FC637" s="3"/>
      <c r="FD637" s="138"/>
      <c r="FE637" s="2"/>
      <c r="FF637" s="139"/>
      <c r="FG637" s="3"/>
      <c r="FH637" s="3"/>
      <c r="FI637" s="3"/>
      <c r="FJ637" s="3"/>
      <c r="FK637" s="3"/>
      <c r="FL637" s="3"/>
      <c r="FM637" s="3"/>
      <c r="FN637" s="3"/>
      <c r="FO637" s="3"/>
      <c r="FP637" s="3"/>
      <c r="FQ637" s="131"/>
      <c r="FR637" s="15"/>
      <c r="FS637" s="99"/>
      <c r="FT637" s="149"/>
      <c r="FU637" s="134"/>
      <c r="FV637" s="134"/>
      <c r="FW637" s="137"/>
      <c r="FX637" s="150"/>
      <c r="FY637" s="137"/>
      <c r="FZ637" s="137"/>
      <c r="GA637" s="3"/>
      <c r="GB637" s="138"/>
      <c r="GC637" s="2"/>
      <c r="GD637" s="139"/>
      <c r="GE637" s="3"/>
      <c r="GF637" s="3"/>
    </row>
    <row r="638" spans="1:188" s="125" customFormat="1">
      <c r="A638" s="86"/>
      <c r="B638" s="56">
        <v>43013</v>
      </c>
      <c r="C638" s="18"/>
      <c r="D638" s="19" t="s">
        <v>1421</v>
      </c>
      <c r="E638" s="20" t="s">
        <v>424</v>
      </c>
      <c r="F638" s="24" t="s">
        <v>799</v>
      </c>
      <c r="G638" s="238">
        <v>1708</v>
      </c>
      <c r="H638" s="121">
        <f>65700+3329400</f>
        <v>3395100</v>
      </c>
      <c r="I638" s="24">
        <v>3233429</v>
      </c>
      <c r="J638" s="199"/>
      <c r="K638" s="24">
        <f t="shared" si="50"/>
        <v>3233429</v>
      </c>
      <c r="L638" s="24"/>
      <c r="M638" s="24">
        <f t="shared" si="51"/>
        <v>0</v>
      </c>
      <c r="N638" s="129">
        <f t="shared" si="52"/>
        <v>3233429</v>
      </c>
      <c r="O638" s="108" t="s">
        <v>900</v>
      </c>
      <c r="P638" s="3"/>
      <c r="Q638" s="3"/>
      <c r="R638" s="3"/>
      <c r="S638" s="3"/>
      <c r="T638" s="3"/>
      <c r="U638" s="3"/>
      <c r="V638" s="131"/>
      <c r="W638" s="15"/>
      <c r="X638" s="3"/>
      <c r="Y638" s="3"/>
      <c r="Z638" s="3"/>
      <c r="AA638" s="3"/>
      <c r="AB638" s="3"/>
      <c r="AC638" s="131"/>
      <c r="AD638" s="15"/>
      <c r="AE638" s="99"/>
      <c r="AF638" s="149"/>
      <c r="AG638" s="134"/>
      <c r="AH638" s="134"/>
      <c r="AI638" s="137"/>
      <c r="AJ638" s="150"/>
      <c r="AK638" s="137"/>
      <c r="AL638" s="137"/>
      <c r="AM638" s="3"/>
      <c r="AN638" s="138"/>
      <c r="AO638" s="2"/>
      <c r="AP638" s="139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131"/>
      <c r="BB638" s="15"/>
      <c r="BC638" s="99"/>
      <c r="BD638" s="149"/>
      <c r="BE638" s="134"/>
      <c r="BF638" s="134"/>
      <c r="BG638" s="137"/>
      <c r="BH638" s="150"/>
      <c r="BI638" s="137"/>
      <c r="BJ638" s="137"/>
      <c r="BK638" s="3"/>
      <c r="BL638" s="138"/>
      <c r="BM638" s="2"/>
      <c r="BN638" s="139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131"/>
      <c r="BZ638" s="15"/>
      <c r="CA638" s="99"/>
      <c r="CB638" s="149"/>
      <c r="CC638" s="134"/>
      <c r="CD638" s="134"/>
      <c r="CE638" s="137"/>
      <c r="CF638" s="150"/>
      <c r="CG638" s="137"/>
      <c r="CH638" s="137"/>
      <c r="CI638" s="3"/>
      <c r="CJ638" s="138"/>
      <c r="CK638" s="2"/>
      <c r="CL638" s="139"/>
      <c r="CM638" s="3"/>
      <c r="CN638" s="3"/>
      <c r="CO638" s="3"/>
      <c r="CP638" s="3"/>
      <c r="CQ638" s="3"/>
      <c r="CR638" s="3"/>
      <c r="CS638" s="3"/>
      <c r="CT638" s="3"/>
      <c r="CU638" s="3"/>
      <c r="CV638" s="3"/>
      <c r="CW638" s="131"/>
      <c r="CX638" s="15"/>
      <c r="CY638" s="99"/>
      <c r="CZ638" s="149"/>
      <c r="DA638" s="134"/>
      <c r="DB638" s="134"/>
      <c r="DC638" s="137"/>
      <c r="DD638" s="150"/>
      <c r="DE638" s="137"/>
      <c r="DF638" s="137"/>
      <c r="DG638" s="3"/>
      <c r="DH638" s="138"/>
      <c r="DI638" s="2"/>
      <c r="DJ638" s="139"/>
      <c r="DK638" s="3"/>
      <c r="DL638" s="3"/>
      <c r="DM638" s="3"/>
      <c r="DN638" s="3"/>
      <c r="DO638" s="3"/>
      <c r="DP638" s="3"/>
      <c r="DQ638" s="3"/>
      <c r="DR638" s="3"/>
      <c r="DS638" s="3"/>
      <c r="DT638" s="3"/>
      <c r="DU638" s="131"/>
      <c r="DV638" s="15"/>
      <c r="DW638" s="99"/>
      <c r="DX638" s="149"/>
      <c r="DY638" s="134"/>
      <c r="DZ638" s="134"/>
      <c r="EA638" s="137"/>
      <c r="EB638" s="150"/>
      <c r="EC638" s="137"/>
      <c r="ED638" s="137"/>
      <c r="EE638" s="3"/>
      <c r="EF638" s="138"/>
      <c r="EG638" s="2"/>
      <c r="EH638" s="139"/>
      <c r="EI638" s="3"/>
      <c r="EJ638" s="3"/>
      <c r="EK638" s="3"/>
      <c r="EL638" s="3"/>
      <c r="EM638" s="3"/>
      <c r="EN638" s="3"/>
      <c r="EO638" s="3"/>
      <c r="EP638" s="3"/>
      <c r="EQ638" s="3"/>
      <c r="ER638" s="3"/>
      <c r="ES638" s="131"/>
      <c r="ET638" s="15"/>
      <c r="EU638" s="99"/>
      <c r="EV638" s="149"/>
      <c r="EW638" s="134"/>
      <c r="EX638" s="134"/>
      <c r="EY638" s="137"/>
      <c r="EZ638" s="150"/>
      <c r="FA638" s="137"/>
      <c r="FB638" s="137"/>
      <c r="FC638" s="3"/>
      <c r="FD638" s="138"/>
      <c r="FE638" s="2"/>
      <c r="FF638" s="139"/>
      <c r="FG638" s="3"/>
      <c r="FH638" s="3"/>
      <c r="FI638" s="3"/>
      <c r="FJ638" s="3"/>
      <c r="FK638" s="3"/>
      <c r="FL638" s="3"/>
      <c r="FM638" s="3"/>
      <c r="FN638" s="3"/>
      <c r="FO638" s="3"/>
      <c r="FP638" s="3"/>
      <c r="FQ638" s="131"/>
      <c r="FR638" s="15"/>
      <c r="FS638" s="99"/>
      <c r="FT638" s="149"/>
      <c r="FU638" s="134"/>
      <c r="FV638" s="134"/>
      <c r="FW638" s="137"/>
      <c r="FX638" s="150"/>
      <c r="FY638" s="137"/>
      <c r="FZ638" s="137"/>
      <c r="GA638" s="3"/>
      <c r="GB638" s="138"/>
      <c r="GC638" s="2"/>
      <c r="GD638" s="139"/>
      <c r="GE638" s="3"/>
      <c r="GF638" s="3"/>
    </row>
    <row r="639" spans="1:188" s="125" customFormat="1">
      <c r="A639" s="86"/>
      <c r="B639" s="56">
        <v>43005</v>
      </c>
      <c r="C639" s="18"/>
      <c r="D639" s="19" t="s">
        <v>1421</v>
      </c>
      <c r="E639" s="20" t="s">
        <v>442</v>
      </c>
      <c r="F639" s="24" t="s">
        <v>800</v>
      </c>
      <c r="G639" s="238">
        <v>1707</v>
      </c>
      <c r="H639" s="121">
        <f>-30000+1711200</f>
        <v>1681200</v>
      </c>
      <c r="I639" s="24">
        <v>1601143</v>
      </c>
      <c r="J639" s="199"/>
      <c r="K639" s="24">
        <f t="shared" si="50"/>
        <v>1601143</v>
      </c>
      <c r="L639" s="24"/>
      <c r="M639" s="24">
        <f t="shared" si="51"/>
        <v>0</v>
      </c>
      <c r="N639" s="129">
        <f t="shared" si="52"/>
        <v>1601143</v>
      </c>
      <c r="O639" s="108" t="s">
        <v>900</v>
      </c>
      <c r="P639" s="3"/>
      <c r="Q639" s="3"/>
      <c r="R639" s="3"/>
      <c r="S639" s="3"/>
      <c r="T639" s="3"/>
      <c r="U639" s="3"/>
      <c r="V639" s="131"/>
      <c r="W639" s="15"/>
      <c r="X639" s="3"/>
      <c r="Y639" s="3"/>
      <c r="Z639" s="3"/>
      <c r="AA639" s="3"/>
      <c r="AB639" s="3"/>
      <c r="AC639" s="131"/>
      <c r="AD639" s="15"/>
      <c r="AE639" s="99"/>
      <c r="AF639" s="149"/>
      <c r="AG639" s="134"/>
      <c r="AH639" s="134"/>
      <c r="AI639" s="137"/>
      <c r="AJ639" s="150"/>
      <c r="AK639" s="137"/>
      <c r="AL639" s="137"/>
      <c r="AM639" s="3"/>
      <c r="AN639" s="138"/>
      <c r="AO639" s="2"/>
      <c r="AP639" s="139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131"/>
      <c r="BB639" s="15"/>
      <c r="BC639" s="99"/>
      <c r="BD639" s="149"/>
      <c r="BE639" s="134"/>
      <c r="BF639" s="134"/>
      <c r="BG639" s="137"/>
      <c r="BH639" s="150"/>
      <c r="BI639" s="137"/>
      <c r="BJ639" s="137"/>
      <c r="BK639" s="3"/>
      <c r="BL639" s="138"/>
      <c r="BM639" s="2"/>
      <c r="BN639" s="139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131"/>
      <c r="BZ639" s="15"/>
      <c r="CA639" s="99"/>
      <c r="CB639" s="149"/>
      <c r="CC639" s="134"/>
      <c r="CD639" s="134"/>
      <c r="CE639" s="137"/>
      <c r="CF639" s="150"/>
      <c r="CG639" s="137"/>
      <c r="CH639" s="137"/>
      <c r="CI639" s="3"/>
      <c r="CJ639" s="138"/>
      <c r="CK639" s="2"/>
      <c r="CL639" s="139"/>
      <c r="CM639" s="3"/>
      <c r="CN639" s="3"/>
      <c r="CO639" s="3"/>
      <c r="CP639" s="3"/>
      <c r="CQ639" s="3"/>
      <c r="CR639" s="3"/>
      <c r="CS639" s="3"/>
      <c r="CT639" s="3"/>
      <c r="CU639" s="3"/>
      <c r="CV639" s="3"/>
      <c r="CW639" s="131"/>
      <c r="CX639" s="15"/>
      <c r="CY639" s="99"/>
      <c r="CZ639" s="149"/>
      <c r="DA639" s="134"/>
      <c r="DB639" s="134"/>
      <c r="DC639" s="137"/>
      <c r="DD639" s="150"/>
      <c r="DE639" s="137"/>
      <c r="DF639" s="137"/>
      <c r="DG639" s="3"/>
      <c r="DH639" s="138"/>
      <c r="DI639" s="2"/>
      <c r="DJ639" s="139"/>
      <c r="DK639" s="3"/>
      <c r="DL639" s="3"/>
      <c r="DM639" s="3"/>
      <c r="DN639" s="3"/>
      <c r="DO639" s="3"/>
      <c r="DP639" s="3"/>
      <c r="DQ639" s="3"/>
      <c r="DR639" s="3"/>
      <c r="DS639" s="3"/>
      <c r="DT639" s="3"/>
      <c r="DU639" s="131"/>
      <c r="DV639" s="15"/>
      <c r="DW639" s="99"/>
      <c r="DX639" s="149"/>
      <c r="DY639" s="134"/>
      <c r="DZ639" s="134"/>
      <c r="EA639" s="137"/>
      <c r="EB639" s="150"/>
      <c r="EC639" s="137"/>
      <c r="ED639" s="137"/>
      <c r="EE639" s="3"/>
      <c r="EF639" s="138"/>
      <c r="EG639" s="2"/>
      <c r="EH639" s="139"/>
      <c r="EI639" s="3"/>
      <c r="EJ639" s="3"/>
      <c r="EK639" s="3"/>
      <c r="EL639" s="3"/>
      <c r="EM639" s="3"/>
      <c r="EN639" s="3"/>
      <c r="EO639" s="3"/>
      <c r="EP639" s="3"/>
      <c r="EQ639" s="3"/>
      <c r="ER639" s="3"/>
      <c r="ES639" s="131"/>
      <c r="ET639" s="15"/>
      <c r="EU639" s="99"/>
      <c r="EV639" s="149"/>
      <c r="EW639" s="134"/>
      <c r="EX639" s="134"/>
      <c r="EY639" s="137"/>
      <c r="EZ639" s="150"/>
      <c r="FA639" s="137"/>
      <c r="FB639" s="137"/>
      <c r="FC639" s="3"/>
      <c r="FD639" s="138"/>
      <c r="FE639" s="2"/>
      <c r="FF639" s="139"/>
      <c r="FG639" s="3"/>
      <c r="FH639" s="3"/>
      <c r="FI639" s="3"/>
      <c r="FJ639" s="3"/>
      <c r="FK639" s="3"/>
      <c r="FL639" s="3"/>
      <c r="FM639" s="3"/>
      <c r="FN639" s="3"/>
      <c r="FO639" s="3"/>
      <c r="FP639" s="3"/>
      <c r="FQ639" s="131"/>
      <c r="FR639" s="15"/>
      <c r="FS639" s="99"/>
      <c r="FT639" s="149"/>
      <c r="FU639" s="134"/>
      <c r="FV639" s="134"/>
      <c r="FW639" s="137"/>
      <c r="FX639" s="150"/>
      <c r="FY639" s="137"/>
      <c r="FZ639" s="137"/>
      <c r="GA639" s="3"/>
      <c r="GB639" s="138"/>
      <c r="GC639" s="2"/>
      <c r="GD639" s="139"/>
      <c r="GE639" s="3"/>
      <c r="GF639" s="3"/>
    </row>
    <row r="640" spans="1:188" s="125" customFormat="1">
      <c r="A640" s="86"/>
      <c r="B640" s="56">
        <v>43081</v>
      </c>
      <c r="C640" s="18"/>
      <c r="D640" s="19" t="s">
        <v>1421</v>
      </c>
      <c r="E640" s="20" t="s">
        <v>495</v>
      </c>
      <c r="F640" s="24" t="s">
        <v>801</v>
      </c>
      <c r="G640" s="238">
        <v>1708</v>
      </c>
      <c r="H640" s="121">
        <v>3320100</v>
      </c>
      <c r="I640" s="24"/>
      <c r="J640" s="199">
        <f>SUM(H640)/1.05</f>
        <v>3162000</v>
      </c>
      <c r="K640" s="24">
        <f t="shared" si="50"/>
        <v>3162000</v>
      </c>
      <c r="L640" s="24"/>
      <c r="M640" s="24">
        <f t="shared" si="51"/>
        <v>0</v>
      </c>
      <c r="N640" s="129">
        <f t="shared" si="52"/>
        <v>3162000</v>
      </c>
      <c r="O640" s="108" t="s">
        <v>900</v>
      </c>
      <c r="P640" s="3"/>
      <c r="Q640" s="3"/>
      <c r="R640" s="3"/>
      <c r="S640" s="3"/>
      <c r="T640" s="3"/>
      <c r="U640" s="3"/>
      <c r="V640" s="131"/>
      <c r="W640" s="15"/>
      <c r="X640" s="3"/>
      <c r="Y640" s="3"/>
      <c r="Z640" s="3"/>
      <c r="AA640" s="3"/>
      <c r="AB640" s="3"/>
      <c r="AC640" s="131"/>
      <c r="AD640" s="15"/>
      <c r="AE640" s="99"/>
      <c r="AF640" s="149"/>
      <c r="AG640" s="134"/>
      <c r="AH640" s="134"/>
      <c r="AI640" s="137"/>
      <c r="AJ640" s="150"/>
      <c r="AK640" s="137"/>
      <c r="AL640" s="137"/>
      <c r="AM640" s="3"/>
      <c r="AN640" s="138"/>
      <c r="AO640" s="2"/>
      <c r="AP640" s="139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131"/>
      <c r="BB640" s="15"/>
      <c r="BC640" s="99"/>
      <c r="BD640" s="149"/>
      <c r="BE640" s="134"/>
      <c r="BF640" s="134"/>
      <c r="BG640" s="137"/>
      <c r="BH640" s="150"/>
      <c r="BI640" s="137"/>
      <c r="BJ640" s="137"/>
      <c r="BK640" s="3"/>
      <c r="BL640" s="138"/>
      <c r="BM640" s="2"/>
      <c r="BN640" s="139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131"/>
      <c r="BZ640" s="15"/>
      <c r="CA640" s="99"/>
      <c r="CB640" s="149"/>
      <c r="CC640" s="134"/>
      <c r="CD640" s="134"/>
      <c r="CE640" s="137"/>
      <c r="CF640" s="150"/>
      <c r="CG640" s="137"/>
      <c r="CH640" s="137"/>
      <c r="CI640" s="3"/>
      <c r="CJ640" s="138"/>
      <c r="CK640" s="2"/>
      <c r="CL640" s="139"/>
      <c r="CM640" s="3"/>
      <c r="CN640" s="3"/>
      <c r="CO640" s="3"/>
      <c r="CP640" s="3"/>
      <c r="CQ640" s="3"/>
      <c r="CR640" s="3"/>
      <c r="CS640" s="3"/>
      <c r="CT640" s="3"/>
      <c r="CU640" s="3"/>
      <c r="CV640" s="3"/>
      <c r="CW640" s="131"/>
      <c r="CX640" s="15"/>
      <c r="CY640" s="99"/>
      <c r="CZ640" s="149"/>
      <c r="DA640" s="134"/>
      <c r="DB640" s="134"/>
      <c r="DC640" s="137"/>
      <c r="DD640" s="150"/>
      <c r="DE640" s="137"/>
      <c r="DF640" s="137"/>
      <c r="DG640" s="3"/>
      <c r="DH640" s="138"/>
      <c r="DI640" s="2"/>
      <c r="DJ640" s="139"/>
      <c r="DK640" s="3"/>
      <c r="DL640" s="3"/>
      <c r="DM640" s="3"/>
      <c r="DN640" s="3"/>
      <c r="DO640" s="3"/>
      <c r="DP640" s="3"/>
      <c r="DQ640" s="3"/>
      <c r="DR640" s="3"/>
      <c r="DS640" s="3"/>
      <c r="DT640" s="3"/>
      <c r="DU640" s="131"/>
      <c r="DV640" s="15"/>
      <c r="DW640" s="99"/>
      <c r="DX640" s="149"/>
      <c r="DY640" s="134"/>
      <c r="DZ640" s="134"/>
      <c r="EA640" s="137"/>
      <c r="EB640" s="150"/>
      <c r="EC640" s="137"/>
      <c r="ED640" s="137"/>
      <c r="EE640" s="3"/>
      <c r="EF640" s="138"/>
      <c r="EG640" s="2"/>
      <c r="EH640" s="139"/>
      <c r="EI640" s="3"/>
      <c r="EJ640" s="3"/>
      <c r="EK640" s="3"/>
      <c r="EL640" s="3"/>
      <c r="EM640" s="3"/>
      <c r="EN640" s="3"/>
      <c r="EO640" s="3"/>
      <c r="EP640" s="3"/>
      <c r="EQ640" s="3"/>
      <c r="ER640" s="3"/>
      <c r="ES640" s="131"/>
      <c r="ET640" s="15"/>
      <c r="EU640" s="99"/>
      <c r="EV640" s="149"/>
      <c r="EW640" s="134"/>
      <c r="EX640" s="134"/>
      <c r="EY640" s="137"/>
      <c r="EZ640" s="150"/>
      <c r="FA640" s="137"/>
      <c r="FB640" s="137"/>
      <c r="FC640" s="3"/>
      <c r="FD640" s="138"/>
      <c r="FE640" s="2"/>
      <c r="FF640" s="139"/>
      <c r="FG640" s="3"/>
      <c r="FH640" s="3"/>
      <c r="FI640" s="3"/>
      <c r="FJ640" s="3"/>
      <c r="FK640" s="3"/>
      <c r="FL640" s="3"/>
      <c r="FM640" s="3"/>
      <c r="FN640" s="3"/>
      <c r="FO640" s="3"/>
      <c r="FP640" s="3"/>
      <c r="FQ640" s="131"/>
      <c r="FR640" s="15"/>
      <c r="FS640" s="99"/>
      <c r="FT640" s="149"/>
      <c r="FU640" s="134"/>
      <c r="FV640" s="134"/>
      <c r="FW640" s="137"/>
      <c r="FX640" s="150"/>
      <c r="FY640" s="137"/>
      <c r="FZ640" s="137"/>
      <c r="GA640" s="3"/>
      <c r="GB640" s="138"/>
      <c r="GC640" s="2"/>
      <c r="GD640" s="139"/>
      <c r="GE640" s="3"/>
      <c r="GF640" s="3"/>
    </row>
    <row r="641" spans="1:188" s="125" customFormat="1">
      <c r="A641" s="86">
        <v>1</v>
      </c>
      <c r="B641" s="56">
        <v>43039</v>
      </c>
      <c r="C641" s="18"/>
      <c r="D641" s="19" t="s">
        <v>998</v>
      </c>
      <c r="E641" s="20" t="s">
        <v>77</v>
      </c>
      <c r="F641" s="24" t="s">
        <v>999</v>
      </c>
      <c r="G641" s="238">
        <v>1611</v>
      </c>
      <c r="H641" s="121">
        <f>754400+9900</f>
        <v>764300</v>
      </c>
      <c r="I641" s="24">
        <v>727905</v>
      </c>
      <c r="J641" s="199"/>
      <c r="K641" s="24">
        <f t="shared" si="50"/>
        <v>727905</v>
      </c>
      <c r="L641" s="24"/>
      <c r="M641" s="24"/>
      <c r="N641" s="129">
        <f>K641-M641</f>
        <v>727905</v>
      </c>
      <c r="O641" s="108" t="s">
        <v>900</v>
      </c>
      <c r="P641" s="3"/>
      <c r="Q641" s="3"/>
      <c r="R641" s="3"/>
      <c r="S641" s="3"/>
      <c r="T641" s="3"/>
      <c r="U641" s="3"/>
      <c r="V641" s="131"/>
      <c r="W641" s="15"/>
      <c r="X641" s="3"/>
      <c r="Y641" s="3"/>
      <c r="Z641" s="3"/>
      <c r="AA641" s="3"/>
      <c r="AB641" s="3"/>
      <c r="AC641" s="131"/>
      <c r="AD641" s="15"/>
      <c r="AE641" s="99"/>
      <c r="AF641" s="149"/>
      <c r="AG641" s="134"/>
      <c r="AH641" s="134"/>
      <c r="AI641" s="137"/>
      <c r="AJ641" s="150"/>
      <c r="AK641" s="137"/>
      <c r="AL641" s="137"/>
      <c r="AM641" s="3"/>
      <c r="AN641" s="138"/>
      <c r="AO641" s="2"/>
      <c r="AP641" s="139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131"/>
      <c r="BB641" s="15"/>
      <c r="BC641" s="99"/>
      <c r="BD641" s="149"/>
      <c r="BE641" s="134"/>
      <c r="BF641" s="134"/>
      <c r="BG641" s="137"/>
      <c r="BH641" s="150"/>
      <c r="BI641" s="137"/>
      <c r="BJ641" s="137"/>
      <c r="BK641" s="3"/>
      <c r="BL641" s="138"/>
      <c r="BM641" s="2"/>
      <c r="BN641" s="139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131"/>
      <c r="BZ641" s="15"/>
      <c r="CA641" s="99"/>
      <c r="CB641" s="149"/>
      <c r="CC641" s="134"/>
      <c r="CD641" s="134"/>
      <c r="CE641" s="137"/>
      <c r="CF641" s="150"/>
      <c r="CG641" s="137"/>
      <c r="CH641" s="137"/>
      <c r="CI641" s="3"/>
      <c r="CJ641" s="138"/>
      <c r="CK641" s="2"/>
      <c r="CL641" s="139"/>
      <c r="CM641" s="3"/>
      <c r="CN641" s="3"/>
      <c r="CO641" s="3"/>
      <c r="CP641" s="3"/>
      <c r="CQ641" s="3"/>
      <c r="CR641" s="3"/>
      <c r="CS641" s="3"/>
      <c r="CT641" s="3"/>
      <c r="CU641" s="3"/>
      <c r="CV641" s="3"/>
      <c r="CW641" s="131"/>
      <c r="CX641" s="15"/>
      <c r="CY641" s="99"/>
      <c r="CZ641" s="149"/>
      <c r="DA641" s="134"/>
      <c r="DB641" s="134"/>
      <c r="DC641" s="137"/>
      <c r="DD641" s="150"/>
      <c r="DE641" s="137"/>
      <c r="DF641" s="137"/>
      <c r="DG641" s="3"/>
      <c r="DH641" s="138"/>
      <c r="DI641" s="2"/>
      <c r="DJ641" s="139"/>
      <c r="DK641" s="3"/>
      <c r="DL641" s="3"/>
      <c r="DM641" s="3"/>
      <c r="DN641" s="3"/>
      <c r="DO641" s="3"/>
      <c r="DP641" s="3"/>
      <c r="DQ641" s="3"/>
      <c r="DR641" s="3"/>
      <c r="DS641" s="3"/>
      <c r="DT641" s="3"/>
      <c r="DU641" s="131"/>
      <c r="DV641" s="15"/>
      <c r="DW641" s="99"/>
      <c r="DX641" s="149"/>
      <c r="DY641" s="134"/>
      <c r="DZ641" s="134"/>
      <c r="EA641" s="137"/>
      <c r="EB641" s="150"/>
      <c r="EC641" s="137"/>
      <c r="ED641" s="137"/>
      <c r="EE641" s="3"/>
      <c r="EF641" s="138"/>
      <c r="EG641" s="2"/>
      <c r="EH641" s="139"/>
      <c r="EI641" s="3"/>
      <c r="EJ641" s="3"/>
      <c r="EK641" s="3"/>
      <c r="EL641" s="3"/>
      <c r="EM641" s="3"/>
      <c r="EN641" s="3"/>
      <c r="EO641" s="3"/>
      <c r="EP641" s="3"/>
      <c r="EQ641" s="3"/>
      <c r="ER641" s="3"/>
      <c r="ES641" s="131"/>
      <c r="ET641" s="15"/>
      <c r="EU641" s="99"/>
      <c r="EV641" s="149"/>
      <c r="EW641" s="134"/>
      <c r="EX641" s="134"/>
      <c r="EY641" s="137"/>
      <c r="EZ641" s="150"/>
      <c r="FA641" s="137"/>
      <c r="FB641" s="137"/>
      <c r="FC641" s="3"/>
      <c r="FD641" s="138"/>
      <c r="FE641" s="2"/>
      <c r="FF641" s="139"/>
      <c r="FG641" s="3"/>
      <c r="FH641" s="3"/>
      <c r="FI641" s="3"/>
      <c r="FJ641" s="3"/>
      <c r="FK641" s="3"/>
      <c r="FL641" s="3"/>
      <c r="FM641" s="3"/>
      <c r="FN641" s="3"/>
      <c r="FO641" s="3"/>
      <c r="FP641" s="3"/>
      <c r="FQ641" s="131"/>
      <c r="FR641" s="15"/>
      <c r="FS641" s="99"/>
      <c r="FT641" s="149"/>
      <c r="FU641" s="134"/>
      <c r="FV641" s="134"/>
      <c r="FW641" s="137"/>
      <c r="FX641" s="150"/>
      <c r="FY641" s="137"/>
      <c r="FZ641" s="137"/>
      <c r="GA641" s="3"/>
      <c r="GB641" s="138"/>
      <c r="GC641" s="2"/>
      <c r="GD641" s="139"/>
      <c r="GE641" s="3"/>
      <c r="GF641" s="3"/>
    </row>
    <row r="642" spans="1:188" s="125" customFormat="1">
      <c r="A642" s="86"/>
      <c r="B642" s="56">
        <v>43088</v>
      </c>
      <c r="C642" s="18"/>
      <c r="D642" s="19" t="s">
        <v>503</v>
      </c>
      <c r="E642" s="20" t="s">
        <v>291</v>
      </c>
      <c r="F642" s="24" t="s">
        <v>292</v>
      </c>
      <c r="G642" s="238">
        <v>1709</v>
      </c>
      <c r="H642" s="121">
        <v>1212600</v>
      </c>
      <c r="I642" s="24">
        <v>1154857</v>
      </c>
      <c r="J642" s="199"/>
      <c r="K642" s="24">
        <v>1154857</v>
      </c>
      <c r="L642" s="24"/>
      <c r="M642" s="24"/>
      <c r="N642" s="129">
        <f t="shared" ref="N642:N656" si="53">K642-M642</f>
        <v>1154857</v>
      </c>
      <c r="O642" s="108" t="s">
        <v>900</v>
      </c>
      <c r="P642" s="3"/>
      <c r="Q642" s="3"/>
      <c r="R642" s="3"/>
      <c r="S642" s="3"/>
      <c r="T642" s="3"/>
      <c r="U642" s="3"/>
      <c r="V642" s="131"/>
      <c r="W642" s="15"/>
      <c r="X642" s="3"/>
      <c r="Y642" s="3"/>
      <c r="Z642" s="3"/>
      <c r="AA642" s="3"/>
      <c r="AB642" s="3"/>
      <c r="AC642" s="131"/>
      <c r="AD642" s="15"/>
      <c r="AE642" s="99"/>
      <c r="AF642" s="149"/>
      <c r="AG642" s="134"/>
      <c r="AH642" s="134"/>
      <c r="AI642" s="137"/>
      <c r="AJ642" s="150"/>
      <c r="AK642" s="137"/>
      <c r="AL642" s="137"/>
      <c r="AM642" s="3"/>
      <c r="AN642" s="138"/>
      <c r="AO642" s="2"/>
      <c r="AP642" s="139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131"/>
      <c r="BB642" s="15"/>
      <c r="BC642" s="99"/>
      <c r="BD642" s="149"/>
      <c r="BE642" s="134"/>
      <c r="BF642" s="134"/>
      <c r="BG642" s="137"/>
      <c r="BH642" s="150"/>
      <c r="BI642" s="137"/>
      <c r="BJ642" s="137"/>
      <c r="BK642" s="3"/>
      <c r="BL642" s="138"/>
      <c r="BM642" s="2"/>
      <c r="BN642" s="139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131"/>
      <c r="BZ642" s="15"/>
      <c r="CA642" s="99"/>
      <c r="CB642" s="149"/>
      <c r="CC642" s="134"/>
      <c r="CD642" s="134"/>
      <c r="CE642" s="137"/>
      <c r="CF642" s="150"/>
      <c r="CG642" s="137"/>
      <c r="CH642" s="137"/>
      <c r="CI642" s="3"/>
      <c r="CJ642" s="138"/>
      <c r="CK642" s="2"/>
      <c r="CL642" s="139"/>
      <c r="CM642" s="3"/>
      <c r="CN642" s="3"/>
      <c r="CO642" s="3"/>
      <c r="CP642" s="3"/>
      <c r="CQ642" s="3"/>
      <c r="CR642" s="3"/>
      <c r="CS642" s="3"/>
      <c r="CT642" s="3"/>
      <c r="CU642" s="3"/>
      <c r="CV642" s="3"/>
      <c r="CW642" s="131"/>
      <c r="CX642" s="15"/>
      <c r="CY642" s="99"/>
      <c r="CZ642" s="149"/>
      <c r="DA642" s="134"/>
      <c r="DB642" s="134"/>
      <c r="DC642" s="137"/>
      <c r="DD642" s="150"/>
      <c r="DE642" s="137"/>
      <c r="DF642" s="137"/>
      <c r="DG642" s="3"/>
      <c r="DH642" s="138"/>
      <c r="DI642" s="2"/>
      <c r="DJ642" s="139"/>
      <c r="DK642" s="3"/>
      <c r="DL642" s="3"/>
      <c r="DM642" s="3"/>
      <c r="DN642" s="3"/>
      <c r="DO642" s="3"/>
      <c r="DP642" s="3"/>
      <c r="DQ642" s="3"/>
      <c r="DR642" s="3"/>
      <c r="DS642" s="3"/>
      <c r="DT642" s="3"/>
      <c r="DU642" s="131"/>
      <c r="DV642" s="15"/>
      <c r="DW642" s="99"/>
      <c r="DX642" s="149"/>
      <c r="DY642" s="134"/>
      <c r="DZ642" s="134"/>
      <c r="EA642" s="137"/>
      <c r="EB642" s="150"/>
      <c r="EC642" s="137"/>
      <c r="ED642" s="137"/>
      <c r="EE642" s="3"/>
      <c r="EF642" s="138"/>
      <c r="EG642" s="2"/>
      <c r="EH642" s="139"/>
      <c r="EI642" s="3"/>
      <c r="EJ642" s="3"/>
      <c r="EK642" s="3"/>
      <c r="EL642" s="3"/>
      <c r="EM642" s="3"/>
      <c r="EN642" s="3"/>
      <c r="EO642" s="3"/>
      <c r="EP642" s="3"/>
      <c r="EQ642" s="3"/>
      <c r="ER642" s="3"/>
      <c r="ES642" s="131"/>
      <c r="ET642" s="15"/>
      <c r="EU642" s="99"/>
      <c r="EV642" s="149"/>
      <c r="EW642" s="134"/>
      <c r="EX642" s="134"/>
      <c r="EY642" s="137"/>
      <c r="EZ642" s="150"/>
      <c r="FA642" s="137"/>
      <c r="FB642" s="137"/>
      <c r="FC642" s="3"/>
      <c r="FD642" s="138"/>
      <c r="FE642" s="2"/>
      <c r="FF642" s="139"/>
      <c r="FG642" s="3"/>
      <c r="FH642" s="3"/>
      <c r="FI642" s="3"/>
      <c r="FJ642" s="3"/>
      <c r="FK642" s="3"/>
      <c r="FL642" s="3"/>
      <c r="FM642" s="3"/>
      <c r="FN642" s="3"/>
      <c r="FO642" s="3"/>
      <c r="FP642" s="3"/>
      <c r="FQ642" s="131"/>
      <c r="FR642" s="15"/>
      <c r="FS642" s="99"/>
      <c r="FT642" s="149"/>
      <c r="FU642" s="134"/>
      <c r="FV642" s="134"/>
      <c r="FW642" s="137"/>
      <c r="FX642" s="150"/>
      <c r="FY642" s="137"/>
      <c r="FZ642" s="137"/>
      <c r="GA642" s="3"/>
      <c r="GB642" s="138"/>
      <c r="GC642" s="2"/>
      <c r="GD642" s="139"/>
      <c r="GE642" s="3"/>
      <c r="GF642" s="3"/>
    </row>
    <row r="643" spans="1:188" s="125" customFormat="1">
      <c r="A643" s="86"/>
      <c r="B643" s="56">
        <v>43084</v>
      </c>
      <c r="C643" s="18"/>
      <c r="D643" s="19" t="s">
        <v>895</v>
      </c>
      <c r="E643" s="20" t="s">
        <v>398</v>
      </c>
      <c r="F643" s="24" t="s">
        <v>399</v>
      </c>
      <c r="G643" s="238">
        <v>1708</v>
      </c>
      <c r="H643" s="121">
        <v>1729000</v>
      </c>
      <c r="I643" s="24">
        <v>1646667</v>
      </c>
      <c r="J643" s="199"/>
      <c r="K643" s="24">
        <v>1646667</v>
      </c>
      <c r="L643" s="24"/>
      <c r="M643" s="24"/>
      <c r="N643" s="129">
        <f t="shared" si="53"/>
        <v>1646667</v>
      </c>
      <c r="O643" s="108" t="s">
        <v>900</v>
      </c>
      <c r="P643" s="3"/>
      <c r="Q643" s="3"/>
      <c r="R643" s="3"/>
      <c r="S643" s="3"/>
      <c r="T643" s="3"/>
      <c r="U643" s="3"/>
      <c r="V643" s="131"/>
      <c r="W643" s="15"/>
      <c r="X643" s="3"/>
      <c r="Y643" s="3"/>
      <c r="Z643" s="3"/>
      <c r="AA643" s="3"/>
      <c r="AB643" s="3"/>
      <c r="AC643" s="131"/>
      <c r="AD643" s="15"/>
      <c r="AE643" s="99"/>
      <c r="AF643" s="149"/>
      <c r="AG643" s="134"/>
      <c r="AH643" s="134"/>
      <c r="AI643" s="137"/>
      <c r="AJ643" s="150"/>
      <c r="AK643" s="137"/>
      <c r="AL643" s="137"/>
      <c r="AM643" s="3"/>
      <c r="AN643" s="138"/>
      <c r="AO643" s="2"/>
      <c r="AP643" s="139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131"/>
      <c r="BB643" s="15"/>
      <c r="BC643" s="99"/>
      <c r="BD643" s="149"/>
      <c r="BE643" s="134"/>
      <c r="BF643" s="134"/>
      <c r="BG643" s="137"/>
      <c r="BH643" s="150"/>
      <c r="BI643" s="137"/>
      <c r="BJ643" s="137"/>
      <c r="BK643" s="3"/>
      <c r="BL643" s="138"/>
      <c r="BM643" s="2"/>
      <c r="BN643" s="139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131"/>
      <c r="BZ643" s="15"/>
      <c r="CA643" s="99"/>
      <c r="CB643" s="149"/>
      <c r="CC643" s="134"/>
      <c r="CD643" s="134"/>
      <c r="CE643" s="137"/>
      <c r="CF643" s="150"/>
      <c r="CG643" s="137"/>
      <c r="CH643" s="137"/>
      <c r="CI643" s="3"/>
      <c r="CJ643" s="138"/>
      <c r="CK643" s="2"/>
      <c r="CL643" s="139"/>
      <c r="CM643" s="3"/>
      <c r="CN643" s="3"/>
      <c r="CO643" s="3"/>
      <c r="CP643" s="3"/>
      <c r="CQ643" s="3"/>
      <c r="CR643" s="3"/>
      <c r="CS643" s="3"/>
      <c r="CT643" s="3"/>
      <c r="CU643" s="3"/>
      <c r="CV643" s="3"/>
      <c r="CW643" s="131"/>
      <c r="CX643" s="15"/>
      <c r="CY643" s="99"/>
      <c r="CZ643" s="149"/>
      <c r="DA643" s="134"/>
      <c r="DB643" s="134"/>
      <c r="DC643" s="137"/>
      <c r="DD643" s="150"/>
      <c r="DE643" s="137"/>
      <c r="DF643" s="137"/>
      <c r="DG643" s="3"/>
      <c r="DH643" s="138"/>
      <c r="DI643" s="2"/>
      <c r="DJ643" s="139"/>
      <c r="DK643" s="3"/>
      <c r="DL643" s="3"/>
      <c r="DM643" s="3"/>
      <c r="DN643" s="3"/>
      <c r="DO643" s="3"/>
      <c r="DP643" s="3"/>
      <c r="DQ643" s="3"/>
      <c r="DR643" s="3"/>
      <c r="DS643" s="3"/>
      <c r="DT643" s="3"/>
      <c r="DU643" s="131"/>
      <c r="DV643" s="15"/>
      <c r="DW643" s="99"/>
      <c r="DX643" s="149"/>
      <c r="DY643" s="134"/>
      <c r="DZ643" s="134"/>
      <c r="EA643" s="137"/>
      <c r="EB643" s="150"/>
      <c r="EC643" s="137"/>
      <c r="ED643" s="137"/>
      <c r="EE643" s="3"/>
      <c r="EF643" s="138"/>
      <c r="EG643" s="2"/>
      <c r="EH643" s="139"/>
      <c r="EI643" s="3"/>
      <c r="EJ643" s="3"/>
      <c r="EK643" s="3"/>
      <c r="EL643" s="3"/>
      <c r="EM643" s="3"/>
      <c r="EN643" s="3"/>
      <c r="EO643" s="3"/>
      <c r="EP643" s="3"/>
      <c r="EQ643" s="3"/>
      <c r="ER643" s="3"/>
      <c r="ES643" s="131"/>
      <c r="ET643" s="15"/>
      <c r="EU643" s="99"/>
      <c r="EV643" s="149"/>
      <c r="EW643" s="134"/>
      <c r="EX643" s="134"/>
      <c r="EY643" s="137"/>
      <c r="EZ643" s="150"/>
      <c r="FA643" s="137"/>
      <c r="FB643" s="137"/>
      <c r="FC643" s="3"/>
      <c r="FD643" s="138"/>
      <c r="FE643" s="2"/>
      <c r="FF643" s="139"/>
      <c r="FG643" s="3"/>
      <c r="FH643" s="3"/>
      <c r="FI643" s="3"/>
      <c r="FJ643" s="3"/>
      <c r="FK643" s="3"/>
      <c r="FL643" s="3"/>
      <c r="FM643" s="3"/>
      <c r="FN643" s="3"/>
      <c r="FO643" s="3"/>
      <c r="FP643" s="3"/>
      <c r="FQ643" s="131"/>
      <c r="FR643" s="15"/>
      <c r="FS643" s="99"/>
      <c r="FT643" s="149"/>
      <c r="FU643" s="134"/>
      <c r="FV643" s="134"/>
      <c r="FW643" s="137"/>
      <c r="FX643" s="150"/>
      <c r="FY643" s="137"/>
      <c r="FZ643" s="137"/>
      <c r="GA643" s="3"/>
      <c r="GB643" s="138"/>
      <c r="GC643" s="2"/>
      <c r="GD643" s="139"/>
      <c r="GE643" s="3"/>
      <c r="GF643" s="3"/>
    </row>
    <row r="644" spans="1:188" s="125" customFormat="1">
      <c r="A644" s="86"/>
      <c r="B644" s="56">
        <v>43095</v>
      </c>
      <c r="C644" s="18"/>
      <c r="D644" s="19" t="s">
        <v>895</v>
      </c>
      <c r="E644" s="20" t="s">
        <v>401</v>
      </c>
      <c r="F644" s="24" t="s">
        <v>402</v>
      </c>
      <c r="G644" s="238">
        <v>1707</v>
      </c>
      <c r="H644" s="121">
        <v>1585000</v>
      </c>
      <c r="I644" s="24">
        <v>1509524</v>
      </c>
      <c r="J644" s="199"/>
      <c r="K644" s="24">
        <v>1509524</v>
      </c>
      <c r="L644" s="24"/>
      <c r="M644" s="24"/>
      <c r="N644" s="129">
        <f t="shared" si="53"/>
        <v>1509524</v>
      </c>
      <c r="O644" s="108" t="s">
        <v>900</v>
      </c>
      <c r="P644" s="3"/>
      <c r="Q644" s="3"/>
      <c r="R644" s="3"/>
      <c r="S644" s="3"/>
      <c r="T644" s="3"/>
      <c r="U644" s="3"/>
      <c r="V644" s="131"/>
      <c r="W644" s="15"/>
      <c r="X644" s="3"/>
      <c r="Y644" s="3"/>
      <c r="Z644" s="3"/>
      <c r="AA644" s="3"/>
      <c r="AB644" s="3"/>
      <c r="AC644" s="131"/>
      <c r="AD644" s="15"/>
      <c r="AE644" s="99"/>
      <c r="AF644" s="149"/>
      <c r="AG644" s="134"/>
      <c r="AH644" s="134"/>
      <c r="AI644" s="137"/>
      <c r="AJ644" s="150"/>
      <c r="AK644" s="137"/>
      <c r="AL644" s="137"/>
      <c r="AM644" s="3"/>
      <c r="AN644" s="138"/>
      <c r="AO644" s="2"/>
      <c r="AP644" s="139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131"/>
      <c r="BB644" s="15"/>
      <c r="BC644" s="99"/>
      <c r="BD644" s="149"/>
      <c r="BE644" s="134"/>
      <c r="BF644" s="134"/>
      <c r="BG644" s="137"/>
      <c r="BH644" s="150"/>
      <c r="BI644" s="137"/>
      <c r="BJ644" s="137"/>
      <c r="BK644" s="3"/>
      <c r="BL644" s="138"/>
      <c r="BM644" s="2"/>
      <c r="BN644" s="139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131"/>
      <c r="BZ644" s="15"/>
      <c r="CA644" s="99"/>
      <c r="CB644" s="149"/>
      <c r="CC644" s="134"/>
      <c r="CD644" s="134"/>
      <c r="CE644" s="137"/>
      <c r="CF644" s="150"/>
      <c r="CG644" s="137"/>
      <c r="CH644" s="137"/>
      <c r="CI644" s="3"/>
      <c r="CJ644" s="138"/>
      <c r="CK644" s="2"/>
      <c r="CL644" s="139"/>
      <c r="CM644" s="3"/>
      <c r="CN644" s="3"/>
      <c r="CO644" s="3"/>
      <c r="CP644" s="3"/>
      <c r="CQ644" s="3"/>
      <c r="CR644" s="3"/>
      <c r="CS644" s="3"/>
      <c r="CT644" s="3"/>
      <c r="CU644" s="3"/>
      <c r="CV644" s="3"/>
      <c r="CW644" s="131"/>
      <c r="CX644" s="15"/>
      <c r="CY644" s="99"/>
      <c r="CZ644" s="149"/>
      <c r="DA644" s="134"/>
      <c r="DB644" s="134"/>
      <c r="DC644" s="137"/>
      <c r="DD644" s="150"/>
      <c r="DE644" s="137"/>
      <c r="DF644" s="137"/>
      <c r="DG644" s="3"/>
      <c r="DH644" s="138"/>
      <c r="DI644" s="2"/>
      <c r="DJ644" s="139"/>
      <c r="DK644" s="3"/>
      <c r="DL644" s="3"/>
      <c r="DM644" s="3"/>
      <c r="DN644" s="3"/>
      <c r="DO644" s="3"/>
      <c r="DP644" s="3"/>
      <c r="DQ644" s="3"/>
      <c r="DR644" s="3"/>
      <c r="DS644" s="3"/>
      <c r="DT644" s="3"/>
      <c r="DU644" s="131"/>
      <c r="DV644" s="15"/>
      <c r="DW644" s="99"/>
      <c r="DX644" s="149"/>
      <c r="DY644" s="134"/>
      <c r="DZ644" s="134"/>
      <c r="EA644" s="137"/>
      <c r="EB644" s="150"/>
      <c r="EC644" s="137"/>
      <c r="ED644" s="137"/>
      <c r="EE644" s="3"/>
      <c r="EF644" s="138"/>
      <c r="EG644" s="2"/>
      <c r="EH644" s="139"/>
      <c r="EI644" s="3"/>
      <c r="EJ644" s="3"/>
      <c r="EK644" s="3"/>
      <c r="EL644" s="3"/>
      <c r="EM644" s="3"/>
      <c r="EN644" s="3"/>
      <c r="EO644" s="3"/>
      <c r="EP644" s="3"/>
      <c r="EQ644" s="3"/>
      <c r="ER644" s="3"/>
      <c r="ES644" s="131"/>
      <c r="ET644" s="15"/>
      <c r="EU644" s="99"/>
      <c r="EV644" s="149"/>
      <c r="EW644" s="134"/>
      <c r="EX644" s="134"/>
      <c r="EY644" s="137"/>
      <c r="EZ644" s="150"/>
      <c r="FA644" s="137"/>
      <c r="FB644" s="137"/>
      <c r="FC644" s="3"/>
      <c r="FD644" s="138"/>
      <c r="FE644" s="2"/>
      <c r="FF644" s="139"/>
      <c r="FG644" s="3"/>
      <c r="FH644" s="3"/>
      <c r="FI644" s="3"/>
      <c r="FJ644" s="3"/>
      <c r="FK644" s="3"/>
      <c r="FL644" s="3"/>
      <c r="FM644" s="3"/>
      <c r="FN644" s="3"/>
      <c r="FO644" s="3"/>
      <c r="FP644" s="3"/>
      <c r="FQ644" s="131"/>
      <c r="FR644" s="15"/>
      <c r="FS644" s="99"/>
      <c r="FT644" s="149"/>
      <c r="FU644" s="134"/>
      <c r="FV644" s="134"/>
      <c r="FW644" s="137"/>
      <c r="FX644" s="150"/>
      <c r="FY644" s="137"/>
      <c r="FZ644" s="137"/>
      <c r="GA644" s="3"/>
      <c r="GB644" s="138"/>
      <c r="GC644" s="2"/>
      <c r="GD644" s="139"/>
      <c r="GE644" s="3"/>
      <c r="GF644" s="3"/>
    </row>
    <row r="645" spans="1:188" s="125" customFormat="1">
      <c r="A645" s="86"/>
      <c r="B645" s="56">
        <v>43073</v>
      </c>
      <c r="C645" s="18"/>
      <c r="D645" s="19" t="s">
        <v>1423</v>
      </c>
      <c r="E645" s="20" t="s">
        <v>306</v>
      </c>
      <c r="F645" s="24" t="s">
        <v>307</v>
      </c>
      <c r="G645" s="238">
        <v>1708</v>
      </c>
      <c r="H645" s="121">
        <v>1660000</v>
      </c>
      <c r="I645" s="24">
        <v>1580952</v>
      </c>
      <c r="J645" s="199"/>
      <c r="K645" s="24">
        <v>1580952</v>
      </c>
      <c r="L645" s="24"/>
      <c r="M645" s="24"/>
      <c r="N645" s="129">
        <f t="shared" si="53"/>
        <v>1580952</v>
      </c>
      <c r="O645" s="108" t="s">
        <v>900</v>
      </c>
      <c r="P645" s="3"/>
      <c r="Q645" s="3"/>
      <c r="R645" s="3"/>
      <c r="S645" s="3"/>
      <c r="T645" s="3"/>
      <c r="U645" s="3"/>
      <c r="V645" s="131"/>
      <c r="W645" s="15"/>
      <c r="X645" s="3"/>
      <c r="Y645" s="3"/>
      <c r="Z645" s="3"/>
      <c r="AA645" s="3"/>
      <c r="AB645" s="3"/>
      <c r="AC645" s="131"/>
      <c r="AD645" s="15"/>
      <c r="AE645" s="99"/>
      <c r="AF645" s="149"/>
      <c r="AG645" s="134"/>
      <c r="AH645" s="134"/>
      <c r="AI645" s="137"/>
      <c r="AJ645" s="150"/>
      <c r="AK645" s="137"/>
      <c r="AL645" s="137"/>
      <c r="AM645" s="3"/>
      <c r="AN645" s="138"/>
      <c r="AO645" s="2"/>
      <c r="AP645" s="139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131"/>
      <c r="BB645" s="15"/>
      <c r="BC645" s="99"/>
      <c r="BD645" s="149"/>
      <c r="BE645" s="134"/>
      <c r="BF645" s="134"/>
      <c r="BG645" s="137"/>
      <c r="BH645" s="150"/>
      <c r="BI645" s="137"/>
      <c r="BJ645" s="137"/>
      <c r="BK645" s="3"/>
      <c r="BL645" s="138"/>
      <c r="BM645" s="2"/>
      <c r="BN645" s="139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131"/>
      <c r="BZ645" s="15"/>
      <c r="CA645" s="99"/>
      <c r="CB645" s="149"/>
      <c r="CC645" s="134"/>
      <c r="CD645" s="134"/>
      <c r="CE645" s="137"/>
      <c r="CF645" s="150"/>
      <c r="CG645" s="137"/>
      <c r="CH645" s="137"/>
      <c r="CI645" s="3"/>
      <c r="CJ645" s="138"/>
      <c r="CK645" s="2"/>
      <c r="CL645" s="139"/>
      <c r="CM645" s="3"/>
      <c r="CN645" s="3"/>
      <c r="CO645" s="3"/>
      <c r="CP645" s="3"/>
      <c r="CQ645" s="3"/>
      <c r="CR645" s="3"/>
      <c r="CS645" s="3"/>
      <c r="CT645" s="3"/>
      <c r="CU645" s="3"/>
      <c r="CV645" s="3"/>
      <c r="CW645" s="131"/>
      <c r="CX645" s="15"/>
      <c r="CY645" s="99"/>
      <c r="CZ645" s="149"/>
      <c r="DA645" s="134"/>
      <c r="DB645" s="134"/>
      <c r="DC645" s="137"/>
      <c r="DD645" s="150"/>
      <c r="DE645" s="137"/>
      <c r="DF645" s="137"/>
      <c r="DG645" s="3"/>
      <c r="DH645" s="138"/>
      <c r="DI645" s="2"/>
      <c r="DJ645" s="139"/>
      <c r="DK645" s="3"/>
      <c r="DL645" s="3"/>
      <c r="DM645" s="3"/>
      <c r="DN645" s="3"/>
      <c r="DO645" s="3"/>
      <c r="DP645" s="3"/>
      <c r="DQ645" s="3"/>
      <c r="DR645" s="3"/>
      <c r="DS645" s="3"/>
      <c r="DT645" s="3"/>
      <c r="DU645" s="131"/>
      <c r="DV645" s="15"/>
      <c r="DW645" s="99"/>
      <c r="DX645" s="149"/>
      <c r="DY645" s="134"/>
      <c r="DZ645" s="134"/>
      <c r="EA645" s="137"/>
      <c r="EB645" s="150"/>
      <c r="EC645" s="137"/>
      <c r="ED645" s="137"/>
      <c r="EE645" s="3"/>
      <c r="EF645" s="138"/>
      <c r="EG645" s="2"/>
      <c r="EH645" s="139"/>
      <c r="EI645" s="3"/>
      <c r="EJ645" s="3"/>
      <c r="EK645" s="3"/>
      <c r="EL645" s="3"/>
      <c r="EM645" s="3"/>
      <c r="EN645" s="3"/>
      <c r="EO645" s="3"/>
      <c r="EP645" s="3"/>
      <c r="EQ645" s="3"/>
      <c r="ER645" s="3"/>
      <c r="ES645" s="131"/>
      <c r="ET645" s="15"/>
      <c r="EU645" s="99"/>
      <c r="EV645" s="149"/>
      <c r="EW645" s="134"/>
      <c r="EX645" s="134"/>
      <c r="EY645" s="137"/>
      <c r="EZ645" s="150"/>
      <c r="FA645" s="137"/>
      <c r="FB645" s="137"/>
      <c r="FC645" s="3"/>
      <c r="FD645" s="138"/>
      <c r="FE645" s="2"/>
      <c r="FF645" s="139"/>
      <c r="FG645" s="3"/>
      <c r="FH645" s="3"/>
      <c r="FI645" s="3"/>
      <c r="FJ645" s="3"/>
      <c r="FK645" s="3"/>
      <c r="FL645" s="3"/>
      <c r="FM645" s="3"/>
      <c r="FN645" s="3"/>
      <c r="FO645" s="3"/>
      <c r="FP645" s="3"/>
      <c r="FQ645" s="131"/>
      <c r="FR645" s="15"/>
      <c r="FS645" s="99"/>
      <c r="FT645" s="149"/>
      <c r="FU645" s="134"/>
      <c r="FV645" s="134"/>
      <c r="FW645" s="137"/>
      <c r="FX645" s="150"/>
      <c r="FY645" s="137"/>
      <c r="FZ645" s="137"/>
      <c r="GA645" s="3"/>
      <c r="GB645" s="138"/>
      <c r="GC645" s="2"/>
      <c r="GD645" s="139"/>
      <c r="GE645" s="3"/>
      <c r="GF645" s="3"/>
    </row>
    <row r="646" spans="1:188" s="125" customFormat="1">
      <c r="A646" s="86"/>
      <c r="B646" s="56">
        <v>43084</v>
      </c>
      <c r="C646" s="18"/>
      <c r="D646" s="19" t="s">
        <v>1423</v>
      </c>
      <c r="E646" s="20" t="s">
        <v>314</v>
      </c>
      <c r="F646" s="24" t="s">
        <v>315</v>
      </c>
      <c r="G646" s="238">
        <v>1708</v>
      </c>
      <c r="H646" s="121">
        <v>2098000</v>
      </c>
      <c r="I646" s="24">
        <v>1998095</v>
      </c>
      <c r="J646" s="199"/>
      <c r="K646" s="24">
        <v>1998095</v>
      </c>
      <c r="L646" s="24"/>
      <c r="M646" s="24"/>
      <c r="N646" s="129">
        <f t="shared" si="53"/>
        <v>1998095</v>
      </c>
      <c r="O646" s="108" t="s">
        <v>900</v>
      </c>
      <c r="P646" s="3"/>
      <c r="Q646" s="3"/>
      <c r="R646" s="3"/>
      <c r="S646" s="3"/>
      <c r="T646" s="3"/>
      <c r="U646" s="3"/>
      <c r="V646" s="131"/>
      <c r="W646" s="15"/>
      <c r="X646" s="3"/>
      <c r="Y646" s="3"/>
      <c r="Z646" s="3"/>
      <c r="AA646" s="3"/>
      <c r="AB646" s="3"/>
      <c r="AC646" s="131"/>
      <c r="AD646" s="15"/>
      <c r="AE646" s="99"/>
      <c r="AF646" s="149"/>
      <c r="AG646" s="134"/>
      <c r="AH646" s="134"/>
      <c r="AI646" s="137"/>
      <c r="AJ646" s="150"/>
      <c r="AK646" s="137"/>
      <c r="AL646" s="137"/>
      <c r="AM646" s="3"/>
      <c r="AN646" s="138"/>
      <c r="AO646" s="2"/>
      <c r="AP646" s="139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131"/>
      <c r="BB646" s="15"/>
      <c r="BC646" s="99"/>
      <c r="BD646" s="149"/>
      <c r="BE646" s="134"/>
      <c r="BF646" s="134"/>
      <c r="BG646" s="137"/>
      <c r="BH646" s="150"/>
      <c r="BI646" s="137"/>
      <c r="BJ646" s="137"/>
      <c r="BK646" s="3"/>
      <c r="BL646" s="138"/>
      <c r="BM646" s="2"/>
      <c r="BN646" s="139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131"/>
      <c r="BZ646" s="15"/>
      <c r="CA646" s="99"/>
      <c r="CB646" s="149"/>
      <c r="CC646" s="134"/>
      <c r="CD646" s="134"/>
      <c r="CE646" s="137"/>
      <c r="CF646" s="150"/>
      <c r="CG646" s="137"/>
      <c r="CH646" s="137"/>
      <c r="CI646" s="3"/>
      <c r="CJ646" s="138"/>
      <c r="CK646" s="2"/>
      <c r="CL646" s="139"/>
      <c r="CM646" s="3"/>
      <c r="CN646" s="3"/>
      <c r="CO646" s="3"/>
      <c r="CP646" s="3"/>
      <c r="CQ646" s="3"/>
      <c r="CR646" s="3"/>
      <c r="CS646" s="3"/>
      <c r="CT646" s="3"/>
      <c r="CU646" s="3"/>
      <c r="CV646" s="3"/>
      <c r="CW646" s="131"/>
      <c r="CX646" s="15"/>
      <c r="CY646" s="99"/>
      <c r="CZ646" s="149"/>
      <c r="DA646" s="134"/>
      <c r="DB646" s="134"/>
      <c r="DC646" s="137"/>
      <c r="DD646" s="150"/>
      <c r="DE646" s="137"/>
      <c r="DF646" s="137"/>
      <c r="DG646" s="3"/>
      <c r="DH646" s="138"/>
      <c r="DI646" s="2"/>
      <c r="DJ646" s="139"/>
      <c r="DK646" s="3"/>
      <c r="DL646" s="3"/>
      <c r="DM646" s="3"/>
      <c r="DN646" s="3"/>
      <c r="DO646" s="3"/>
      <c r="DP646" s="3"/>
      <c r="DQ646" s="3"/>
      <c r="DR646" s="3"/>
      <c r="DS646" s="3"/>
      <c r="DT646" s="3"/>
      <c r="DU646" s="131"/>
      <c r="DV646" s="15"/>
      <c r="DW646" s="99"/>
      <c r="DX646" s="149"/>
      <c r="DY646" s="134"/>
      <c r="DZ646" s="134"/>
      <c r="EA646" s="137"/>
      <c r="EB646" s="150"/>
      <c r="EC646" s="137"/>
      <c r="ED646" s="137"/>
      <c r="EE646" s="3"/>
      <c r="EF646" s="138"/>
      <c r="EG646" s="2"/>
      <c r="EH646" s="139"/>
      <c r="EI646" s="3"/>
      <c r="EJ646" s="3"/>
      <c r="EK646" s="3"/>
      <c r="EL646" s="3"/>
      <c r="EM646" s="3"/>
      <c r="EN646" s="3"/>
      <c r="EO646" s="3"/>
      <c r="EP646" s="3"/>
      <c r="EQ646" s="3"/>
      <c r="ER646" s="3"/>
      <c r="ES646" s="131"/>
      <c r="ET646" s="15"/>
      <c r="EU646" s="99"/>
      <c r="EV646" s="149"/>
      <c r="EW646" s="134"/>
      <c r="EX646" s="134"/>
      <c r="EY646" s="137"/>
      <c r="EZ646" s="150"/>
      <c r="FA646" s="137"/>
      <c r="FB646" s="137"/>
      <c r="FC646" s="3"/>
      <c r="FD646" s="138"/>
      <c r="FE646" s="2"/>
      <c r="FF646" s="139"/>
      <c r="FG646" s="3"/>
      <c r="FH646" s="3"/>
      <c r="FI646" s="3"/>
      <c r="FJ646" s="3"/>
      <c r="FK646" s="3"/>
      <c r="FL646" s="3"/>
      <c r="FM646" s="3"/>
      <c r="FN646" s="3"/>
      <c r="FO646" s="3"/>
      <c r="FP646" s="3"/>
      <c r="FQ646" s="131"/>
      <c r="FR646" s="15"/>
      <c r="FS646" s="99"/>
      <c r="FT646" s="149"/>
      <c r="FU646" s="134"/>
      <c r="FV646" s="134"/>
      <c r="FW646" s="137"/>
      <c r="FX646" s="150"/>
      <c r="FY646" s="137"/>
      <c r="FZ646" s="137"/>
      <c r="GA646" s="3"/>
      <c r="GB646" s="138"/>
      <c r="GC646" s="2"/>
      <c r="GD646" s="139"/>
      <c r="GE646" s="3"/>
      <c r="GF646" s="3"/>
    </row>
    <row r="647" spans="1:188" s="125" customFormat="1">
      <c r="A647" s="86"/>
      <c r="B647" s="56">
        <v>43082</v>
      </c>
      <c r="C647" s="18"/>
      <c r="D647" s="19" t="s">
        <v>548</v>
      </c>
      <c r="E647" s="20" t="s">
        <v>407</v>
      </c>
      <c r="F647" s="24" t="s">
        <v>409</v>
      </c>
      <c r="G647" s="238">
        <v>1708</v>
      </c>
      <c r="H647" s="121">
        <v>2000000</v>
      </c>
      <c r="I647" s="24">
        <v>1904762</v>
      </c>
      <c r="J647" s="199"/>
      <c r="K647" s="24">
        <v>1904762</v>
      </c>
      <c r="L647" s="24"/>
      <c r="M647" s="24"/>
      <c r="N647" s="129">
        <f t="shared" si="53"/>
        <v>1904762</v>
      </c>
      <c r="O647" s="108" t="s">
        <v>900</v>
      </c>
      <c r="P647" s="3"/>
      <c r="Q647" s="3"/>
      <c r="R647" s="3"/>
      <c r="S647" s="3"/>
      <c r="T647" s="3"/>
      <c r="U647" s="3"/>
      <c r="V647" s="131"/>
      <c r="W647" s="15"/>
      <c r="X647" s="3"/>
      <c r="Y647" s="3"/>
      <c r="Z647" s="3"/>
      <c r="AA647" s="3"/>
      <c r="AB647" s="3"/>
      <c r="AC647" s="131"/>
      <c r="AD647" s="15"/>
      <c r="AE647" s="99"/>
      <c r="AF647" s="149"/>
      <c r="AG647" s="134"/>
      <c r="AH647" s="134"/>
      <c r="AI647" s="137"/>
      <c r="AJ647" s="150"/>
      <c r="AK647" s="137"/>
      <c r="AL647" s="137"/>
      <c r="AM647" s="3"/>
      <c r="AN647" s="138"/>
      <c r="AO647" s="2"/>
      <c r="AP647" s="139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131"/>
      <c r="BB647" s="15"/>
      <c r="BC647" s="99"/>
      <c r="BD647" s="149"/>
      <c r="BE647" s="134"/>
      <c r="BF647" s="134"/>
      <c r="BG647" s="137"/>
      <c r="BH647" s="150"/>
      <c r="BI647" s="137"/>
      <c r="BJ647" s="137"/>
      <c r="BK647" s="3"/>
      <c r="BL647" s="138"/>
      <c r="BM647" s="2"/>
      <c r="BN647" s="139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131"/>
      <c r="BZ647" s="15"/>
      <c r="CA647" s="99"/>
      <c r="CB647" s="149"/>
      <c r="CC647" s="134"/>
      <c r="CD647" s="134"/>
      <c r="CE647" s="137"/>
      <c r="CF647" s="150"/>
      <c r="CG647" s="137"/>
      <c r="CH647" s="137"/>
      <c r="CI647" s="3"/>
      <c r="CJ647" s="138"/>
      <c r="CK647" s="2"/>
      <c r="CL647" s="139"/>
      <c r="CM647" s="3"/>
      <c r="CN647" s="3"/>
      <c r="CO647" s="3"/>
      <c r="CP647" s="3"/>
      <c r="CQ647" s="3"/>
      <c r="CR647" s="3"/>
      <c r="CS647" s="3"/>
      <c r="CT647" s="3"/>
      <c r="CU647" s="3"/>
      <c r="CV647" s="3"/>
      <c r="CW647" s="131"/>
      <c r="CX647" s="15"/>
      <c r="CY647" s="99"/>
      <c r="CZ647" s="149"/>
      <c r="DA647" s="134"/>
      <c r="DB647" s="134"/>
      <c r="DC647" s="137"/>
      <c r="DD647" s="150"/>
      <c r="DE647" s="137"/>
      <c r="DF647" s="137"/>
      <c r="DG647" s="3"/>
      <c r="DH647" s="138"/>
      <c r="DI647" s="2"/>
      <c r="DJ647" s="139"/>
      <c r="DK647" s="3"/>
      <c r="DL647" s="3"/>
      <c r="DM647" s="3"/>
      <c r="DN647" s="3"/>
      <c r="DO647" s="3"/>
      <c r="DP647" s="3"/>
      <c r="DQ647" s="3"/>
      <c r="DR647" s="3"/>
      <c r="DS647" s="3"/>
      <c r="DT647" s="3"/>
      <c r="DU647" s="131"/>
      <c r="DV647" s="15"/>
      <c r="DW647" s="99"/>
      <c r="DX647" s="149"/>
      <c r="DY647" s="134"/>
      <c r="DZ647" s="134"/>
      <c r="EA647" s="137"/>
      <c r="EB647" s="150"/>
      <c r="EC647" s="137"/>
      <c r="ED647" s="137"/>
      <c r="EE647" s="3"/>
      <c r="EF647" s="138"/>
      <c r="EG647" s="2"/>
      <c r="EH647" s="139"/>
      <c r="EI647" s="3"/>
      <c r="EJ647" s="3"/>
      <c r="EK647" s="3"/>
      <c r="EL647" s="3"/>
      <c r="EM647" s="3"/>
      <c r="EN647" s="3"/>
      <c r="EO647" s="3"/>
      <c r="EP647" s="3"/>
      <c r="EQ647" s="3"/>
      <c r="ER647" s="3"/>
      <c r="ES647" s="131"/>
      <c r="ET647" s="15"/>
      <c r="EU647" s="99"/>
      <c r="EV647" s="149"/>
      <c r="EW647" s="134"/>
      <c r="EX647" s="134"/>
      <c r="EY647" s="137"/>
      <c r="EZ647" s="150"/>
      <c r="FA647" s="137"/>
      <c r="FB647" s="137"/>
      <c r="FC647" s="3"/>
      <c r="FD647" s="138"/>
      <c r="FE647" s="2"/>
      <c r="FF647" s="139"/>
      <c r="FG647" s="3"/>
      <c r="FH647" s="3"/>
      <c r="FI647" s="3"/>
      <c r="FJ647" s="3"/>
      <c r="FK647" s="3"/>
      <c r="FL647" s="3"/>
      <c r="FM647" s="3"/>
      <c r="FN647" s="3"/>
      <c r="FO647" s="3"/>
      <c r="FP647" s="3"/>
      <c r="FQ647" s="131"/>
      <c r="FR647" s="15"/>
      <c r="FS647" s="99"/>
      <c r="FT647" s="149"/>
      <c r="FU647" s="134"/>
      <c r="FV647" s="134"/>
      <c r="FW647" s="137"/>
      <c r="FX647" s="150"/>
      <c r="FY647" s="137"/>
      <c r="FZ647" s="137"/>
      <c r="GA647" s="3"/>
      <c r="GB647" s="138"/>
      <c r="GC647" s="2"/>
      <c r="GD647" s="139"/>
      <c r="GE647" s="3"/>
      <c r="GF647" s="3"/>
    </row>
    <row r="648" spans="1:188" s="125" customFormat="1">
      <c r="A648" s="86"/>
      <c r="B648" s="56">
        <v>43095</v>
      </c>
      <c r="C648" s="18"/>
      <c r="D648" s="19" t="s">
        <v>571</v>
      </c>
      <c r="E648" s="20" t="s">
        <v>330</v>
      </c>
      <c r="F648" s="24" t="s">
        <v>333</v>
      </c>
      <c r="G648" s="238">
        <v>1708</v>
      </c>
      <c r="H648" s="121">
        <v>2440000</v>
      </c>
      <c r="I648" s="24">
        <v>2323810</v>
      </c>
      <c r="J648" s="199"/>
      <c r="K648" s="24">
        <v>2323810</v>
      </c>
      <c r="L648" s="24"/>
      <c r="M648" s="24"/>
      <c r="N648" s="129">
        <f t="shared" si="53"/>
        <v>2323810</v>
      </c>
      <c r="O648" s="108" t="s">
        <v>900</v>
      </c>
      <c r="P648" s="3"/>
      <c r="Q648" s="3"/>
      <c r="R648" s="3"/>
      <c r="S648" s="3"/>
      <c r="T648" s="3"/>
      <c r="U648" s="3"/>
      <c r="V648" s="131"/>
      <c r="W648" s="15"/>
      <c r="X648" s="3"/>
      <c r="Y648" s="3"/>
      <c r="Z648" s="3"/>
      <c r="AA648" s="3"/>
      <c r="AB648" s="3"/>
      <c r="AC648" s="131"/>
      <c r="AD648" s="15"/>
      <c r="AE648" s="99"/>
      <c r="AF648" s="149"/>
      <c r="AG648" s="134"/>
      <c r="AH648" s="134"/>
      <c r="AI648" s="137"/>
      <c r="AJ648" s="150"/>
      <c r="AK648" s="137"/>
      <c r="AL648" s="137"/>
      <c r="AM648" s="3"/>
      <c r="AN648" s="138"/>
      <c r="AO648" s="2"/>
      <c r="AP648" s="139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131"/>
      <c r="BB648" s="15"/>
      <c r="BC648" s="99"/>
      <c r="BD648" s="149"/>
      <c r="BE648" s="134"/>
      <c r="BF648" s="134"/>
      <c r="BG648" s="137"/>
      <c r="BH648" s="150"/>
      <c r="BI648" s="137"/>
      <c r="BJ648" s="137"/>
      <c r="BK648" s="3"/>
      <c r="BL648" s="138"/>
      <c r="BM648" s="2"/>
      <c r="BN648" s="139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131"/>
      <c r="BZ648" s="15"/>
      <c r="CA648" s="99"/>
      <c r="CB648" s="149"/>
      <c r="CC648" s="134"/>
      <c r="CD648" s="134"/>
      <c r="CE648" s="137"/>
      <c r="CF648" s="150"/>
      <c r="CG648" s="137"/>
      <c r="CH648" s="137"/>
      <c r="CI648" s="3"/>
      <c r="CJ648" s="138"/>
      <c r="CK648" s="2"/>
      <c r="CL648" s="139"/>
      <c r="CM648" s="3"/>
      <c r="CN648" s="3"/>
      <c r="CO648" s="3"/>
      <c r="CP648" s="3"/>
      <c r="CQ648" s="3"/>
      <c r="CR648" s="3"/>
      <c r="CS648" s="3"/>
      <c r="CT648" s="3"/>
      <c r="CU648" s="3"/>
      <c r="CV648" s="3"/>
      <c r="CW648" s="131"/>
      <c r="CX648" s="15"/>
      <c r="CY648" s="99"/>
      <c r="CZ648" s="149"/>
      <c r="DA648" s="134"/>
      <c r="DB648" s="134"/>
      <c r="DC648" s="137"/>
      <c r="DD648" s="150"/>
      <c r="DE648" s="137"/>
      <c r="DF648" s="137"/>
      <c r="DG648" s="3"/>
      <c r="DH648" s="138"/>
      <c r="DI648" s="2"/>
      <c r="DJ648" s="139"/>
      <c r="DK648" s="3"/>
      <c r="DL648" s="3"/>
      <c r="DM648" s="3"/>
      <c r="DN648" s="3"/>
      <c r="DO648" s="3"/>
      <c r="DP648" s="3"/>
      <c r="DQ648" s="3"/>
      <c r="DR648" s="3"/>
      <c r="DS648" s="3"/>
      <c r="DT648" s="3"/>
      <c r="DU648" s="131"/>
      <c r="DV648" s="15"/>
      <c r="DW648" s="99"/>
      <c r="DX648" s="149"/>
      <c r="DY648" s="134"/>
      <c r="DZ648" s="134"/>
      <c r="EA648" s="137"/>
      <c r="EB648" s="150"/>
      <c r="EC648" s="137"/>
      <c r="ED648" s="137"/>
      <c r="EE648" s="3"/>
      <c r="EF648" s="138"/>
      <c r="EG648" s="2"/>
      <c r="EH648" s="139"/>
      <c r="EI648" s="3"/>
      <c r="EJ648" s="3"/>
      <c r="EK648" s="3"/>
      <c r="EL648" s="3"/>
      <c r="EM648" s="3"/>
      <c r="EN648" s="3"/>
      <c r="EO648" s="3"/>
      <c r="EP648" s="3"/>
      <c r="EQ648" s="3"/>
      <c r="ER648" s="3"/>
      <c r="ES648" s="131"/>
      <c r="ET648" s="15"/>
      <c r="EU648" s="99"/>
      <c r="EV648" s="149"/>
      <c r="EW648" s="134"/>
      <c r="EX648" s="134"/>
      <c r="EY648" s="137"/>
      <c r="EZ648" s="150"/>
      <c r="FA648" s="137"/>
      <c r="FB648" s="137"/>
      <c r="FC648" s="3"/>
      <c r="FD648" s="138"/>
      <c r="FE648" s="2"/>
      <c r="FF648" s="139"/>
      <c r="FG648" s="3"/>
      <c r="FH648" s="3"/>
      <c r="FI648" s="3"/>
      <c r="FJ648" s="3"/>
      <c r="FK648" s="3"/>
      <c r="FL648" s="3"/>
      <c r="FM648" s="3"/>
      <c r="FN648" s="3"/>
      <c r="FO648" s="3"/>
      <c r="FP648" s="3"/>
      <c r="FQ648" s="131"/>
      <c r="FR648" s="15"/>
      <c r="FS648" s="99"/>
      <c r="FT648" s="149"/>
      <c r="FU648" s="134"/>
      <c r="FV648" s="134"/>
      <c r="FW648" s="137"/>
      <c r="FX648" s="150"/>
      <c r="FY648" s="137"/>
      <c r="FZ648" s="137"/>
      <c r="GA648" s="3"/>
      <c r="GB648" s="138"/>
      <c r="GC648" s="2"/>
      <c r="GD648" s="139"/>
      <c r="GE648" s="3"/>
      <c r="GF648" s="3"/>
    </row>
    <row r="649" spans="1:188" s="125" customFormat="1">
      <c r="A649" s="86"/>
      <c r="B649" s="56">
        <v>43095</v>
      </c>
      <c r="C649" s="18"/>
      <c r="D649" s="19" t="s">
        <v>571</v>
      </c>
      <c r="E649" s="20" t="s">
        <v>330</v>
      </c>
      <c r="F649" s="24" t="s">
        <v>334</v>
      </c>
      <c r="G649" s="238">
        <v>1708</v>
      </c>
      <c r="H649" s="121">
        <v>2440000</v>
      </c>
      <c r="I649" s="24">
        <v>2323810</v>
      </c>
      <c r="J649" s="199"/>
      <c r="K649" s="24">
        <v>2323810</v>
      </c>
      <c r="L649" s="24"/>
      <c r="M649" s="24"/>
      <c r="N649" s="129">
        <f t="shared" si="53"/>
        <v>2323810</v>
      </c>
      <c r="O649" s="108" t="s">
        <v>900</v>
      </c>
      <c r="P649" s="3"/>
      <c r="Q649" s="3"/>
      <c r="R649" s="3"/>
      <c r="S649" s="3"/>
      <c r="T649" s="3"/>
      <c r="U649" s="3"/>
      <c r="V649" s="131"/>
      <c r="W649" s="15"/>
      <c r="X649" s="3"/>
      <c r="Y649" s="3"/>
      <c r="Z649" s="3"/>
      <c r="AA649" s="3"/>
      <c r="AB649" s="3"/>
      <c r="AC649" s="131"/>
      <c r="AD649" s="15"/>
      <c r="AE649" s="99"/>
      <c r="AF649" s="149"/>
      <c r="AG649" s="134"/>
      <c r="AH649" s="134"/>
      <c r="AI649" s="137"/>
      <c r="AJ649" s="150"/>
      <c r="AK649" s="137"/>
      <c r="AL649" s="137"/>
      <c r="AM649" s="3"/>
      <c r="AN649" s="138"/>
      <c r="AO649" s="2"/>
      <c r="AP649" s="139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131"/>
      <c r="BB649" s="15"/>
      <c r="BC649" s="99"/>
      <c r="BD649" s="149"/>
      <c r="BE649" s="134"/>
      <c r="BF649" s="134"/>
      <c r="BG649" s="137"/>
      <c r="BH649" s="150"/>
      <c r="BI649" s="137"/>
      <c r="BJ649" s="137"/>
      <c r="BK649" s="3"/>
      <c r="BL649" s="138"/>
      <c r="BM649" s="2"/>
      <c r="BN649" s="139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131"/>
      <c r="BZ649" s="15"/>
      <c r="CA649" s="99"/>
      <c r="CB649" s="149"/>
      <c r="CC649" s="134"/>
      <c r="CD649" s="134"/>
      <c r="CE649" s="137"/>
      <c r="CF649" s="150"/>
      <c r="CG649" s="137"/>
      <c r="CH649" s="137"/>
      <c r="CI649" s="3"/>
      <c r="CJ649" s="138"/>
      <c r="CK649" s="2"/>
      <c r="CL649" s="139"/>
      <c r="CM649" s="3"/>
      <c r="CN649" s="3"/>
      <c r="CO649" s="3"/>
      <c r="CP649" s="3"/>
      <c r="CQ649" s="3"/>
      <c r="CR649" s="3"/>
      <c r="CS649" s="3"/>
      <c r="CT649" s="3"/>
      <c r="CU649" s="3"/>
      <c r="CV649" s="3"/>
      <c r="CW649" s="131"/>
      <c r="CX649" s="15"/>
      <c r="CY649" s="99"/>
      <c r="CZ649" s="149"/>
      <c r="DA649" s="134"/>
      <c r="DB649" s="134"/>
      <c r="DC649" s="137"/>
      <c r="DD649" s="150"/>
      <c r="DE649" s="137"/>
      <c r="DF649" s="137"/>
      <c r="DG649" s="3"/>
      <c r="DH649" s="138"/>
      <c r="DI649" s="2"/>
      <c r="DJ649" s="139"/>
      <c r="DK649" s="3"/>
      <c r="DL649" s="3"/>
      <c r="DM649" s="3"/>
      <c r="DN649" s="3"/>
      <c r="DO649" s="3"/>
      <c r="DP649" s="3"/>
      <c r="DQ649" s="3"/>
      <c r="DR649" s="3"/>
      <c r="DS649" s="3"/>
      <c r="DT649" s="3"/>
      <c r="DU649" s="131"/>
      <c r="DV649" s="15"/>
      <c r="DW649" s="99"/>
      <c r="DX649" s="149"/>
      <c r="DY649" s="134"/>
      <c r="DZ649" s="134"/>
      <c r="EA649" s="137"/>
      <c r="EB649" s="150"/>
      <c r="EC649" s="137"/>
      <c r="ED649" s="137"/>
      <c r="EE649" s="3"/>
      <c r="EF649" s="138"/>
      <c r="EG649" s="2"/>
      <c r="EH649" s="139"/>
      <c r="EI649" s="3"/>
      <c r="EJ649" s="3"/>
      <c r="EK649" s="3"/>
      <c r="EL649" s="3"/>
      <c r="EM649" s="3"/>
      <c r="EN649" s="3"/>
      <c r="EO649" s="3"/>
      <c r="EP649" s="3"/>
      <c r="EQ649" s="3"/>
      <c r="ER649" s="3"/>
      <c r="ES649" s="131"/>
      <c r="ET649" s="15"/>
      <c r="EU649" s="99"/>
      <c r="EV649" s="149"/>
      <c r="EW649" s="134"/>
      <c r="EX649" s="134"/>
      <c r="EY649" s="137"/>
      <c r="EZ649" s="150"/>
      <c r="FA649" s="137"/>
      <c r="FB649" s="137"/>
      <c r="FC649" s="3"/>
      <c r="FD649" s="138"/>
      <c r="FE649" s="2"/>
      <c r="FF649" s="139"/>
      <c r="FG649" s="3"/>
      <c r="FH649" s="3"/>
      <c r="FI649" s="3"/>
      <c r="FJ649" s="3"/>
      <c r="FK649" s="3"/>
      <c r="FL649" s="3"/>
      <c r="FM649" s="3"/>
      <c r="FN649" s="3"/>
      <c r="FO649" s="3"/>
      <c r="FP649" s="3"/>
      <c r="FQ649" s="131"/>
      <c r="FR649" s="15"/>
      <c r="FS649" s="99"/>
      <c r="FT649" s="149"/>
      <c r="FU649" s="134"/>
      <c r="FV649" s="134"/>
      <c r="FW649" s="137"/>
      <c r="FX649" s="150"/>
      <c r="FY649" s="137"/>
      <c r="FZ649" s="137"/>
      <c r="GA649" s="3"/>
      <c r="GB649" s="138"/>
      <c r="GC649" s="2"/>
      <c r="GD649" s="139"/>
      <c r="GE649" s="3"/>
      <c r="GF649" s="3"/>
    </row>
    <row r="650" spans="1:188" s="125" customFormat="1">
      <c r="A650" s="86"/>
      <c r="B650" s="56">
        <v>43088</v>
      </c>
      <c r="C650" s="18"/>
      <c r="D650" s="19" t="s">
        <v>571</v>
      </c>
      <c r="E650" s="20" t="s">
        <v>330</v>
      </c>
      <c r="F650" s="24" t="s">
        <v>336</v>
      </c>
      <c r="G650" s="238">
        <v>1708</v>
      </c>
      <c r="H650" s="121">
        <v>2440000</v>
      </c>
      <c r="I650" s="24">
        <v>2323810</v>
      </c>
      <c r="J650" s="199"/>
      <c r="K650" s="24">
        <v>2323810</v>
      </c>
      <c r="L650" s="24"/>
      <c r="M650" s="24"/>
      <c r="N650" s="129">
        <f t="shared" si="53"/>
        <v>2323810</v>
      </c>
      <c r="O650" s="108" t="s">
        <v>900</v>
      </c>
      <c r="P650" s="3"/>
      <c r="Q650" s="3"/>
      <c r="R650" s="3"/>
      <c r="S650" s="3"/>
      <c r="T650" s="3"/>
      <c r="U650" s="3"/>
      <c r="V650" s="131"/>
      <c r="W650" s="15"/>
      <c r="X650" s="3"/>
      <c r="Y650" s="3"/>
      <c r="Z650" s="3"/>
      <c r="AA650" s="3"/>
      <c r="AB650" s="3"/>
      <c r="AC650" s="131"/>
      <c r="AD650" s="15"/>
      <c r="AE650" s="99"/>
      <c r="AF650" s="149"/>
      <c r="AG650" s="134"/>
      <c r="AH650" s="134"/>
      <c r="AI650" s="137"/>
      <c r="AJ650" s="150"/>
      <c r="AK650" s="137"/>
      <c r="AL650" s="137"/>
      <c r="AM650" s="3"/>
      <c r="AN650" s="138"/>
      <c r="AO650" s="2"/>
      <c r="AP650" s="139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131"/>
      <c r="BB650" s="15"/>
      <c r="BC650" s="99"/>
      <c r="BD650" s="149"/>
      <c r="BE650" s="134"/>
      <c r="BF650" s="134"/>
      <c r="BG650" s="137"/>
      <c r="BH650" s="150"/>
      <c r="BI650" s="137"/>
      <c r="BJ650" s="137"/>
      <c r="BK650" s="3"/>
      <c r="BL650" s="138"/>
      <c r="BM650" s="2"/>
      <c r="BN650" s="139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131"/>
      <c r="BZ650" s="15"/>
      <c r="CA650" s="99"/>
      <c r="CB650" s="149"/>
      <c r="CC650" s="134"/>
      <c r="CD650" s="134"/>
      <c r="CE650" s="137"/>
      <c r="CF650" s="150"/>
      <c r="CG650" s="137"/>
      <c r="CH650" s="137"/>
      <c r="CI650" s="3"/>
      <c r="CJ650" s="138"/>
      <c r="CK650" s="2"/>
      <c r="CL650" s="139"/>
      <c r="CM650" s="3"/>
      <c r="CN650" s="3"/>
      <c r="CO650" s="3"/>
      <c r="CP650" s="3"/>
      <c r="CQ650" s="3"/>
      <c r="CR650" s="3"/>
      <c r="CS650" s="3"/>
      <c r="CT650" s="3"/>
      <c r="CU650" s="3"/>
      <c r="CV650" s="3"/>
      <c r="CW650" s="131"/>
      <c r="CX650" s="15"/>
      <c r="CY650" s="99"/>
      <c r="CZ650" s="149"/>
      <c r="DA650" s="134"/>
      <c r="DB650" s="134"/>
      <c r="DC650" s="137"/>
      <c r="DD650" s="150"/>
      <c r="DE650" s="137"/>
      <c r="DF650" s="137"/>
      <c r="DG650" s="3"/>
      <c r="DH650" s="138"/>
      <c r="DI650" s="2"/>
      <c r="DJ650" s="139"/>
      <c r="DK650" s="3"/>
      <c r="DL650" s="3"/>
      <c r="DM650" s="3"/>
      <c r="DN650" s="3"/>
      <c r="DO650" s="3"/>
      <c r="DP650" s="3"/>
      <c r="DQ650" s="3"/>
      <c r="DR650" s="3"/>
      <c r="DS650" s="3"/>
      <c r="DT650" s="3"/>
      <c r="DU650" s="131"/>
      <c r="DV650" s="15"/>
      <c r="DW650" s="99"/>
      <c r="DX650" s="149"/>
      <c r="DY650" s="134"/>
      <c r="DZ650" s="134"/>
      <c r="EA650" s="137"/>
      <c r="EB650" s="150"/>
      <c r="EC650" s="137"/>
      <c r="ED650" s="137"/>
      <c r="EE650" s="3"/>
      <c r="EF650" s="138"/>
      <c r="EG650" s="2"/>
      <c r="EH650" s="139"/>
      <c r="EI650" s="3"/>
      <c r="EJ650" s="3"/>
      <c r="EK650" s="3"/>
      <c r="EL650" s="3"/>
      <c r="EM650" s="3"/>
      <c r="EN650" s="3"/>
      <c r="EO650" s="3"/>
      <c r="EP650" s="3"/>
      <c r="EQ650" s="3"/>
      <c r="ER650" s="3"/>
      <c r="ES650" s="131"/>
      <c r="ET650" s="15"/>
      <c r="EU650" s="99"/>
      <c r="EV650" s="149"/>
      <c r="EW650" s="134"/>
      <c r="EX650" s="134"/>
      <c r="EY650" s="137"/>
      <c r="EZ650" s="150"/>
      <c r="FA650" s="137"/>
      <c r="FB650" s="137"/>
      <c r="FC650" s="3"/>
      <c r="FD650" s="138"/>
      <c r="FE650" s="2"/>
      <c r="FF650" s="139"/>
      <c r="FG650" s="3"/>
      <c r="FH650" s="3"/>
      <c r="FI650" s="3"/>
      <c r="FJ650" s="3"/>
      <c r="FK650" s="3"/>
      <c r="FL650" s="3"/>
      <c r="FM650" s="3"/>
      <c r="FN650" s="3"/>
      <c r="FO650" s="3"/>
      <c r="FP650" s="3"/>
      <c r="FQ650" s="131"/>
      <c r="FR650" s="15"/>
      <c r="FS650" s="99"/>
      <c r="FT650" s="149"/>
      <c r="FU650" s="134"/>
      <c r="FV650" s="134"/>
      <c r="FW650" s="137"/>
      <c r="FX650" s="150"/>
      <c r="FY650" s="137"/>
      <c r="FZ650" s="137"/>
      <c r="GA650" s="3"/>
      <c r="GB650" s="138"/>
      <c r="GC650" s="2"/>
      <c r="GD650" s="139"/>
      <c r="GE650" s="3"/>
      <c r="GF650" s="3"/>
    </row>
    <row r="651" spans="1:188" s="125" customFormat="1">
      <c r="A651" s="86"/>
      <c r="B651" s="56">
        <v>43075</v>
      </c>
      <c r="C651" s="18"/>
      <c r="D651" s="19" t="s">
        <v>571</v>
      </c>
      <c r="E651" s="20" t="s">
        <v>341</v>
      </c>
      <c r="F651" s="24" t="s">
        <v>342</v>
      </c>
      <c r="G651" s="238">
        <v>1707</v>
      </c>
      <c r="H651" s="121">
        <v>2556800</v>
      </c>
      <c r="I651" s="24">
        <v>2435048</v>
      </c>
      <c r="J651" s="199"/>
      <c r="K651" s="24">
        <v>2435048</v>
      </c>
      <c r="L651" s="24"/>
      <c r="M651" s="24"/>
      <c r="N651" s="129">
        <f t="shared" si="53"/>
        <v>2435048</v>
      </c>
      <c r="O651" s="108" t="s">
        <v>900</v>
      </c>
      <c r="P651" s="3"/>
      <c r="Q651" s="3"/>
      <c r="R651" s="3"/>
      <c r="S651" s="3"/>
      <c r="T651" s="3"/>
      <c r="U651" s="3"/>
      <c r="V651" s="131"/>
      <c r="W651" s="15"/>
      <c r="X651" s="3"/>
      <c r="Y651" s="3"/>
      <c r="Z651" s="3"/>
      <c r="AA651" s="3"/>
      <c r="AB651" s="3"/>
      <c r="AC651" s="131"/>
      <c r="AD651" s="15"/>
      <c r="AE651" s="99"/>
      <c r="AF651" s="149"/>
      <c r="AG651" s="134"/>
      <c r="AH651" s="134"/>
      <c r="AI651" s="137"/>
      <c r="AJ651" s="150"/>
      <c r="AK651" s="137"/>
      <c r="AL651" s="137"/>
      <c r="AM651" s="3"/>
      <c r="AN651" s="138"/>
      <c r="AO651" s="2"/>
      <c r="AP651" s="139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131"/>
      <c r="BB651" s="15"/>
      <c r="BC651" s="99"/>
      <c r="BD651" s="149"/>
      <c r="BE651" s="134"/>
      <c r="BF651" s="134"/>
      <c r="BG651" s="137"/>
      <c r="BH651" s="150"/>
      <c r="BI651" s="137"/>
      <c r="BJ651" s="137"/>
      <c r="BK651" s="3"/>
      <c r="BL651" s="138"/>
      <c r="BM651" s="2"/>
      <c r="BN651" s="139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131"/>
      <c r="BZ651" s="15"/>
      <c r="CA651" s="99"/>
      <c r="CB651" s="149"/>
      <c r="CC651" s="134"/>
      <c r="CD651" s="134"/>
      <c r="CE651" s="137"/>
      <c r="CF651" s="150"/>
      <c r="CG651" s="137"/>
      <c r="CH651" s="137"/>
      <c r="CI651" s="3"/>
      <c r="CJ651" s="138"/>
      <c r="CK651" s="2"/>
      <c r="CL651" s="139"/>
      <c r="CM651" s="3"/>
      <c r="CN651" s="3"/>
      <c r="CO651" s="3"/>
      <c r="CP651" s="3"/>
      <c r="CQ651" s="3"/>
      <c r="CR651" s="3"/>
      <c r="CS651" s="3"/>
      <c r="CT651" s="3"/>
      <c r="CU651" s="3"/>
      <c r="CV651" s="3"/>
      <c r="CW651" s="131"/>
      <c r="CX651" s="15"/>
      <c r="CY651" s="99"/>
      <c r="CZ651" s="149"/>
      <c r="DA651" s="134"/>
      <c r="DB651" s="134"/>
      <c r="DC651" s="137"/>
      <c r="DD651" s="150"/>
      <c r="DE651" s="137"/>
      <c r="DF651" s="137"/>
      <c r="DG651" s="3"/>
      <c r="DH651" s="138"/>
      <c r="DI651" s="2"/>
      <c r="DJ651" s="139"/>
      <c r="DK651" s="3"/>
      <c r="DL651" s="3"/>
      <c r="DM651" s="3"/>
      <c r="DN651" s="3"/>
      <c r="DO651" s="3"/>
      <c r="DP651" s="3"/>
      <c r="DQ651" s="3"/>
      <c r="DR651" s="3"/>
      <c r="DS651" s="3"/>
      <c r="DT651" s="3"/>
      <c r="DU651" s="131"/>
      <c r="DV651" s="15"/>
      <c r="DW651" s="99"/>
      <c r="DX651" s="149"/>
      <c r="DY651" s="134"/>
      <c r="DZ651" s="134"/>
      <c r="EA651" s="137"/>
      <c r="EB651" s="150"/>
      <c r="EC651" s="137"/>
      <c r="ED651" s="137"/>
      <c r="EE651" s="3"/>
      <c r="EF651" s="138"/>
      <c r="EG651" s="2"/>
      <c r="EH651" s="139"/>
      <c r="EI651" s="3"/>
      <c r="EJ651" s="3"/>
      <c r="EK651" s="3"/>
      <c r="EL651" s="3"/>
      <c r="EM651" s="3"/>
      <c r="EN651" s="3"/>
      <c r="EO651" s="3"/>
      <c r="EP651" s="3"/>
      <c r="EQ651" s="3"/>
      <c r="ER651" s="3"/>
      <c r="ES651" s="131"/>
      <c r="ET651" s="15"/>
      <c r="EU651" s="99"/>
      <c r="EV651" s="149"/>
      <c r="EW651" s="134"/>
      <c r="EX651" s="134"/>
      <c r="EY651" s="137"/>
      <c r="EZ651" s="150"/>
      <c r="FA651" s="137"/>
      <c r="FB651" s="137"/>
      <c r="FC651" s="3"/>
      <c r="FD651" s="138"/>
      <c r="FE651" s="2"/>
      <c r="FF651" s="139"/>
      <c r="FG651" s="3"/>
      <c r="FH651" s="3"/>
      <c r="FI651" s="3"/>
      <c r="FJ651" s="3"/>
      <c r="FK651" s="3"/>
      <c r="FL651" s="3"/>
      <c r="FM651" s="3"/>
      <c r="FN651" s="3"/>
      <c r="FO651" s="3"/>
      <c r="FP651" s="3"/>
      <c r="FQ651" s="131"/>
      <c r="FR651" s="15"/>
      <c r="FS651" s="99"/>
      <c r="FT651" s="149"/>
      <c r="FU651" s="134"/>
      <c r="FV651" s="134"/>
      <c r="FW651" s="137"/>
      <c r="FX651" s="150"/>
      <c r="FY651" s="137"/>
      <c r="FZ651" s="137"/>
      <c r="GA651" s="3"/>
      <c r="GB651" s="138"/>
      <c r="GC651" s="2"/>
      <c r="GD651" s="139"/>
      <c r="GE651" s="3"/>
      <c r="GF651" s="3"/>
    </row>
    <row r="652" spans="1:188" s="125" customFormat="1">
      <c r="A652" s="86"/>
      <c r="B652" s="56">
        <v>43077</v>
      </c>
      <c r="C652" s="18"/>
      <c r="D652" s="19" t="s">
        <v>571</v>
      </c>
      <c r="E652" s="20" t="s">
        <v>348</v>
      </c>
      <c r="F652" s="24" t="s">
        <v>350</v>
      </c>
      <c r="G652" s="238">
        <v>1708</v>
      </c>
      <c r="H652" s="121">
        <v>2876400</v>
      </c>
      <c r="I652" s="24">
        <v>2739429</v>
      </c>
      <c r="J652" s="199"/>
      <c r="K652" s="24">
        <v>2739429</v>
      </c>
      <c r="L652" s="24"/>
      <c r="M652" s="24"/>
      <c r="N652" s="129">
        <f t="shared" si="53"/>
        <v>2739429</v>
      </c>
      <c r="O652" s="108" t="s">
        <v>900</v>
      </c>
      <c r="P652" s="3"/>
      <c r="Q652" s="3"/>
      <c r="R652" s="3"/>
      <c r="S652" s="3"/>
      <c r="T652" s="3"/>
      <c r="U652" s="3"/>
      <c r="V652" s="131"/>
      <c r="W652" s="15"/>
      <c r="X652" s="3"/>
      <c r="Y652" s="3"/>
      <c r="Z652" s="3"/>
      <c r="AA652" s="3"/>
      <c r="AB652" s="3"/>
      <c r="AC652" s="131"/>
      <c r="AD652" s="15"/>
      <c r="AE652" s="99"/>
      <c r="AF652" s="149"/>
      <c r="AG652" s="134"/>
      <c r="AH652" s="134"/>
      <c r="AI652" s="137"/>
      <c r="AJ652" s="150"/>
      <c r="AK652" s="137"/>
      <c r="AL652" s="137"/>
      <c r="AM652" s="3"/>
      <c r="AN652" s="138"/>
      <c r="AO652" s="2"/>
      <c r="AP652" s="139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131"/>
      <c r="BB652" s="15"/>
      <c r="BC652" s="99"/>
      <c r="BD652" s="149"/>
      <c r="BE652" s="134"/>
      <c r="BF652" s="134"/>
      <c r="BG652" s="137"/>
      <c r="BH652" s="150"/>
      <c r="BI652" s="137"/>
      <c r="BJ652" s="137"/>
      <c r="BK652" s="3"/>
      <c r="BL652" s="138"/>
      <c r="BM652" s="2"/>
      <c r="BN652" s="139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131"/>
      <c r="BZ652" s="15"/>
      <c r="CA652" s="99"/>
      <c r="CB652" s="149"/>
      <c r="CC652" s="134"/>
      <c r="CD652" s="134"/>
      <c r="CE652" s="137"/>
      <c r="CF652" s="150"/>
      <c r="CG652" s="137"/>
      <c r="CH652" s="137"/>
      <c r="CI652" s="3"/>
      <c r="CJ652" s="138"/>
      <c r="CK652" s="2"/>
      <c r="CL652" s="139"/>
      <c r="CM652" s="3"/>
      <c r="CN652" s="3"/>
      <c r="CO652" s="3"/>
      <c r="CP652" s="3"/>
      <c r="CQ652" s="3"/>
      <c r="CR652" s="3"/>
      <c r="CS652" s="3"/>
      <c r="CT652" s="3"/>
      <c r="CU652" s="3"/>
      <c r="CV652" s="3"/>
      <c r="CW652" s="131"/>
      <c r="CX652" s="15"/>
      <c r="CY652" s="99"/>
      <c r="CZ652" s="149"/>
      <c r="DA652" s="134"/>
      <c r="DB652" s="134"/>
      <c r="DC652" s="137"/>
      <c r="DD652" s="150"/>
      <c r="DE652" s="137"/>
      <c r="DF652" s="137"/>
      <c r="DG652" s="3"/>
      <c r="DH652" s="138"/>
      <c r="DI652" s="2"/>
      <c r="DJ652" s="139"/>
      <c r="DK652" s="3"/>
      <c r="DL652" s="3"/>
      <c r="DM652" s="3"/>
      <c r="DN652" s="3"/>
      <c r="DO652" s="3"/>
      <c r="DP652" s="3"/>
      <c r="DQ652" s="3"/>
      <c r="DR652" s="3"/>
      <c r="DS652" s="3"/>
      <c r="DT652" s="3"/>
      <c r="DU652" s="131"/>
      <c r="DV652" s="15"/>
      <c r="DW652" s="99"/>
      <c r="DX652" s="149"/>
      <c r="DY652" s="134"/>
      <c r="DZ652" s="134"/>
      <c r="EA652" s="137"/>
      <c r="EB652" s="150"/>
      <c r="EC652" s="137"/>
      <c r="ED652" s="137"/>
      <c r="EE652" s="3"/>
      <c r="EF652" s="138"/>
      <c r="EG652" s="2"/>
      <c r="EH652" s="139"/>
      <c r="EI652" s="3"/>
      <c r="EJ652" s="3"/>
      <c r="EK652" s="3"/>
      <c r="EL652" s="3"/>
      <c r="EM652" s="3"/>
      <c r="EN652" s="3"/>
      <c r="EO652" s="3"/>
      <c r="EP652" s="3"/>
      <c r="EQ652" s="3"/>
      <c r="ER652" s="3"/>
      <c r="ES652" s="131"/>
      <c r="ET652" s="15"/>
      <c r="EU652" s="99"/>
      <c r="EV652" s="149"/>
      <c r="EW652" s="134"/>
      <c r="EX652" s="134"/>
      <c r="EY652" s="137"/>
      <c r="EZ652" s="150"/>
      <c r="FA652" s="137"/>
      <c r="FB652" s="137"/>
      <c r="FC652" s="3"/>
      <c r="FD652" s="138"/>
      <c r="FE652" s="2"/>
      <c r="FF652" s="139"/>
      <c r="FG652" s="3"/>
      <c r="FH652" s="3"/>
      <c r="FI652" s="3"/>
      <c r="FJ652" s="3"/>
      <c r="FK652" s="3"/>
      <c r="FL652" s="3"/>
      <c r="FM652" s="3"/>
      <c r="FN652" s="3"/>
      <c r="FO652" s="3"/>
      <c r="FP652" s="3"/>
      <c r="FQ652" s="131"/>
      <c r="FR652" s="15"/>
      <c r="FS652" s="99"/>
      <c r="FT652" s="149"/>
      <c r="FU652" s="134"/>
      <c r="FV652" s="134"/>
      <c r="FW652" s="137"/>
      <c r="FX652" s="150"/>
      <c r="FY652" s="137"/>
      <c r="FZ652" s="137"/>
      <c r="GA652" s="3"/>
      <c r="GB652" s="138"/>
      <c r="GC652" s="2"/>
      <c r="GD652" s="139"/>
      <c r="GE652" s="3"/>
      <c r="GF652" s="3"/>
    </row>
    <row r="653" spans="1:188" s="125" customFormat="1">
      <c r="A653" s="86"/>
      <c r="B653" s="56">
        <v>43073</v>
      </c>
      <c r="C653" s="18"/>
      <c r="D653" s="19" t="s">
        <v>954</v>
      </c>
      <c r="E653" s="20" t="s">
        <v>442</v>
      </c>
      <c r="F653" s="24" t="s">
        <v>443</v>
      </c>
      <c r="G653" s="238">
        <v>1708</v>
      </c>
      <c r="H653" s="121">
        <v>1710800</v>
      </c>
      <c r="I653" s="24">
        <v>1629333</v>
      </c>
      <c r="J653" s="199"/>
      <c r="K653" s="24">
        <v>1629333</v>
      </c>
      <c r="L653" s="24"/>
      <c r="M653" s="24"/>
      <c r="N653" s="129">
        <f t="shared" si="53"/>
        <v>1629333</v>
      </c>
      <c r="O653" s="108" t="s">
        <v>900</v>
      </c>
      <c r="P653" s="3"/>
      <c r="Q653" s="3"/>
      <c r="R653" s="3"/>
      <c r="S653" s="3"/>
      <c r="T653" s="3"/>
      <c r="U653" s="3"/>
      <c r="V653" s="131"/>
      <c r="W653" s="15"/>
      <c r="X653" s="3"/>
      <c r="Y653" s="3"/>
      <c r="Z653" s="3"/>
      <c r="AA653" s="3"/>
      <c r="AB653" s="3"/>
      <c r="AC653" s="131"/>
      <c r="AD653" s="15"/>
      <c r="AE653" s="99"/>
      <c r="AF653" s="149"/>
      <c r="AG653" s="134"/>
      <c r="AH653" s="134"/>
      <c r="AI653" s="137"/>
      <c r="AJ653" s="150"/>
      <c r="AK653" s="137"/>
      <c r="AL653" s="137"/>
      <c r="AM653" s="3"/>
      <c r="AN653" s="138"/>
      <c r="AO653" s="2"/>
      <c r="AP653" s="139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131"/>
      <c r="BB653" s="15"/>
      <c r="BC653" s="99"/>
      <c r="BD653" s="149"/>
      <c r="BE653" s="134"/>
      <c r="BF653" s="134"/>
      <c r="BG653" s="137"/>
      <c r="BH653" s="150"/>
      <c r="BI653" s="137"/>
      <c r="BJ653" s="137"/>
      <c r="BK653" s="3"/>
      <c r="BL653" s="138"/>
      <c r="BM653" s="2"/>
      <c r="BN653" s="139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131"/>
      <c r="BZ653" s="15"/>
      <c r="CA653" s="99"/>
      <c r="CB653" s="149"/>
      <c r="CC653" s="134"/>
      <c r="CD653" s="134"/>
      <c r="CE653" s="137"/>
      <c r="CF653" s="150"/>
      <c r="CG653" s="137"/>
      <c r="CH653" s="137"/>
      <c r="CI653" s="3"/>
      <c r="CJ653" s="138"/>
      <c r="CK653" s="2"/>
      <c r="CL653" s="139"/>
      <c r="CM653" s="3"/>
      <c r="CN653" s="3"/>
      <c r="CO653" s="3"/>
      <c r="CP653" s="3"/>
      <c r="CQ653" s="3"/>
      <c r="CR653" s="3"/>
      <c r="CS653" s="3"/>
      <c r="CT653" s="3"/>
      <c r="CU653" s="3"/>
      <c r="CV653" s="3"/>
      <c r="CW653" s="131"/>
      <c r="CX653" s="15"/>
      <c r="CY653" s="99"/>
      <c r="CZ653" s="149"/>
      <c r="DA653" s="134"/>
      <c r="DB653" s="134"/>
      <c r="DC653" s="137"/>
      <c r="DD653" s="150"/>
      <c r="DE653" s="137"/>
      <c r="DF653" s="137"/>
      <c r="DG653" s="3"/>
      <c r="DH653" s="138"/>
      <c r="DI653" s="2"/>
      <c r="DJ653" s="139"/>
      <c r="DK653" s="3"/>
      <c r="DL653" s="3"/>
      <c r="DM653" s="3"/>
      <c r="DN653" s="3"/>
      <c r="DO653" s="3"/>
      <c r="DP653" s="3"/>
      <c r="DQ653" s="3"/>
      <c r="DR653" s="3"/>
      <c r="DS653" s="3"/>
      <c r="DT653" s="3"/>
      <c r="DU653" s="131"/>
      <c r="DV653" s="15"/>
      <c r="DW653" s="99"/>
      <c r="DX653" s="149"/>
      <c r="DY653" s="134"/>
      <c r="DZ653" s="134"/>
      <c r="EA653" s="137"/>
      <c r="EB653" s="150"/>
      <c r="EC653" s="137"/>
      <c r="ED653" s="137"/>
      <c r="EE653" s="3"/>
      <c r="EF653" s="138"/>
      <c r="EG653" s="2"/>
      <c r="EH653" s="139"/>
      <c r="EI653" s="3"/>
      <c r="EJ653" s="3"/>
      <c r="EK653" s="3"/>
      <c r="EL653" s="3"/>
      <c r="EM653" s="3"/>
      <c r="EN653" s="3"/>
      <c r="EO653" s="3"/>
      <c r="EP653" s="3"/>
      <c r="EQ653" s="3"/>
      <c r="ER653" s="3"/>
      <c r="ES653" s="131"/>
      <c r="ET653" s="15"/>
      <c r="EU653" s="99"/>
      <c r="EV653" s="149"/>
      <c r="EW653" s="134"/>
      <c r="EX653" s="134"/>
      <c r="EY653" s="137"/>
      <c r="EZ653" s="150"/>
      <c r="FA653" s="137"/>
      <c r="FB653" s="137"/>
      <c r="FC653" s="3"/>
      <c r="FD653" s="138"/>
      <c r="FE653" s="2"/>
      <c r="FF653" s="139"/>
      <c r="FG653" s="3"/>
      <c r="FH653" s="3"/>
      <c r="FI653" s="3"/>
      <c r="FJ653" s="3"/>
      <c r="FK653" s="3"/>
      <c r="FL653" s="3"/>
      <c r="FM653" s="3"/>
      <c r="FN653" s="3"/>
      <c r="FO653" s="3"/>
      <c r="FP653" s="3"/>
      <c r="FQ653" s="131"/>
      <c r="FR653" s="15"/>
      <c r="FS653" s="99"/>
      <c r="FT653" s="149"/>
      <c r="FU653" s="134"/>
      <c r="FV653" s="134"/>
      <c r="FW653" s="137"/>
      <c r="FX653" s="150"/>
      <c r="FY653" s="137"/>
      <c r="FZ653" s="137"/>
      <c r="GA653" s="3"/>
      <c r="GB653" s="138"/>
      <c r="GC653" s="2"/>
      <c r="GD653" s="139"/>
      <c r="GE653" s="3"/>
      <c r="GF653" s="3"/>
    </row>
    <row r="654" spans="1:188" s="125" customFormat="1">
      <c r="A654" s="86"/>
      <c r="B654" s="56">
        <v>43091</v>
      </c>
      <c r="C654" s="18"/>
      <c r="D654" s="19" t="s">
        <v>954</v>
      </c>
      <c r="E654" s="20" t="s">
        <v>447</v>
      </c>
      <c r="F654" s="24" t="s">
        <v>450</v>
      </c>
      <c r="G654" s="238">
        <v>1710</v>
      </c>
      <c r="H654" s="121">
        <v>1626200</v>
      </c>
      <c r="I654" s="24">
        <v>1548762</v>
      </c>
      <c r="J654" s="199"/>
      <c r="K654" s="24">
        <v>1548762</v>
      </c>
      <c r="L654" s="24"/>
      <c r="M654" s="24"/>
      <c r="N654" s="129">
        <f t="shared" si="53"/>
        <v>1548762</v>
      </c>
      <c r="O654" s="108" t="s">
        <v>900</v>
      </c>
      <c r="P654" s="3"/>
      <c r="Q654" s="3"/>
      <c r="R654" s="3"/>
      <c r="S654" s="3"/>
      <c r="T654" s="3"/>
      <c r="U654" s="3"/>
      <c r="V654" s="131"/>
      <c r="W654" s="15"/>
      <c r="X654" s="3"/>
      <c r="Y654" s="3"/>
      <c r="Z654" s="3"/>
      <c r="AA654" s="3"/>
      <c r="AB654" s="3"/>
      <c r="AC654" s="131"/>
      <c r="AD654" s="15"/>
      <c r="AE654" s="99"/>
      <c r="AF654" s="149"/>
      <c r="AG654" s="134"/>
      <c r="AH654" s="134"/>
      <c r="AI654" s="137"/>
      <c r="AJ654" s="150"/>
      <c r="AK654" s="137"/>
      <c r="AL654" s="137"/>
      <c r="AM654" s="3"/>
      <c r="AN654" s="138"/>
      <c r="AO654" s="2"/>
      <c r="AP654" s="139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131"/>
      <c r="BB654" s="15"/>
      <c r="BC654" s="99"/>
      <c r="BD654" s="149"/>
      <c r="BE654" s="134"/>
      <c r="BF654" s="134"/>
      <c r="BG654" s="137"/>
      <c r="BH654" s="150"/>
      <c r="BI654" s="137"/>
      <c r="BJ654" s="137"/>
      <c r="BK654" s="3"/>
      <c r="BL654" s="138"/>
      <c r="BM654" s="2"/>
      <c r="BN654" s="139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131"/>
      <c r="BZ654" s="15"/>
      <c r="CA654" s="99"/>
      <c r="CB654" s="149"/>
      <c r="CC654" s="134"/>
      <c r="CD654" s="134"/>
      <c r="CE654" s="137"/>
      <c r="CF654" s="150"/>
      <c r="CG654" s="137"/>
      <c r="CH654" s="137"/>
      <c r="CI654" s="3"/>
      <c r="CJ654" s="138"/>
      <c r="CK654" s="2"/>
      <c r="CL654" s="139"/>
      <c r="CM654" s="3"/>
      <c r="CN654" s="3"/>
      <c r="CO654" s="3"/>
      <c r="CP654" s="3"/>
      <c r="CQ654" s="3"/>
      <c r="CR654" s="3"/>
      <c r="CS654" s="3"/>
      <c r="CT654" s="3"/>
      <c r="CU654" s="3"/>
      <c r="CV654" s="3"/>
      <c r="CW654" s="131"/>
      <c r="CX654" s="15"/>
      <c r="CY654" s="99"/>
      <c r="CZ654" s="149"/>
      <c r="DA654" s="134"/>
      <c r="DB654" s="134"/>
      <c r="DC654" s="137"/>
      <c r="DD654" s="150"/>
      <c r="DE654" s="137"/>
      <c r="DF654" s="137"/>
      <c r="DG654" s="3"/>
      <c r="DH654" s="138"/>
      <c r="DI654" s="2"/>
      <c r="DJ654" s="139"/>
      <c r="DK654" s="3"/>
      <c r="DL654" s="3"/>
      <c r="DM654" s="3"/>
      <c r="DN654" s="3"/>
      <c r="DO654" s="3"/>
      <c r="DP654" s="3"/>
      <c r="DQ654" s="3"/>
      <c r="DR654" s="3"/>
      <c r="DS654" s="3"/>
      <c r="DT654" s="3"/>
      <c r="DU654" s="131"/>
      <c r="DV654" s="15"/>
      <c r="DW654" s="99"/>
      <c r="DX654" s="149"/>
      <c r="DY654" s="134"/>
      <c r="DZ654" s="134"/>
      <c r="EA654" s="137"/>
      <c r="EB654" s="150"/>
      <c r="EC654" s="137"/>
      <c r="ED654" s="137"/>
      <c r="EE654" s="3"/>
      <c r="EF654" s="138"/>
      <c r="EG654" s="2"/>
      <c r="EH654" s="139"/>
      <c r="EI654" s="3"/>
      <c r="EJ654" s="3"/>
      <c r="EK654" s="3"/>
      <c r="EL654" s="3"/>
      <c r="EM654" s="3"/>
      <c r="EN654" s="3"/>
      <c r="EO654" s="3"/>
      <c r="EP654" s="3"/>
      <c r="EQ654" s="3"/>
      <c r="ER654" s="3"/>
      <c r="ES654" s="131"/>
      <c r="ET654" s="15"/>
      <c r="EU654" s="99"/>
      <c r="EV654" s="149"/>
      <c r="EW654" s="134"/>
      <c r="EX654" s="134"/>
      <c r="EY654" s="137"/>
      <c r="EZ654" s="150"/>
      <c r="FA654" s="137"/>
      <c r="FB654" s="137"/>
      <c r="FC654" s="3"/>
      <c r="FD654" s="138"/>
      <c r="FE654" s="2"/>
      <c r="FF654" s="139"/>
      <c r="FG654" s="3"/>
      <c r="FH654" s="3"/>
      <c r="FI654" s="3"/>
      <c r="FJ654" s="3"/>
      <c r="FK654" s="3"/>
      <c r="FL654" s="3"/>
      <c r="FM654" s="3"/>
      <c r="FN654" s="3"/>
      <c r="FO654" s="3"/>
      <c r="FP654" s="3"/>
      <c r="FQ654" s="131"/>
      <c r="FR654" s="15"/>
      <c r="FS654" s="99"/>
      <c r="FT654" s="149"/>
      <c r="FU654" s="134"/>
      <c r="FV654" s="134"/>
      <c r="FW654" s="137"/>
      <c r="FX654" s="150"/>
      <c r="FY654" s="137"/>
      <c r="FZ654" s="137"/>
      <c r="GA654" s="3"/>
      <c r="GB654" s="138"/>
      <c r="GC654" s="2"/>
      <c r="GD654" s="139"/>
      <c r="GE654" s="3"/>
      <c r="GF654" s="3"/>
    </row>
    <row r="655" spans="1:188" s="125" customFormat="1">
      <c r="A655" s="86"/>
      <c r="B655" s="56">
        <v>43069</v>
      </c>
      <c r="C655" s="18"/>
      <c r="D655" s="19" t="s">
        <v>960</v>
      </c>
      <c r="E655" s="20" t="s">
        <v>462</v>
      </c>
      <c r="F655" s="24" t="s">
        <v>466</v>
      </c>
      <c r="G655" s="238">
        <v>1709</v>
      </c>
      <c r="H655" s="121">
        <v>2419200</v>
      </c>
      <c r="I655" s="24">
        <v>2304000</v>
      </c>
      <c r="J655" s="199"/>
      <c r="K655" s="24">
        <v>2304000</v>
      </c>
      <c r="L655" s="24"/>
      <c r="M655" s="24"/>
      <c r="N655" s="129">
        <f t="shared" si="53"/>
        <v>2304000</v>
      </c>
      <c r="O655" s="108" t="s">
        <v>900</v>
      </c>
      <c r="P655" s="3"/>
      <c r="Q655" s="3"/>
      <c r="R655" s="3"/>
      <c r="S655" s="3"/>
      <c r="T655" s="3"/>
      <c r="U655" s="3"/>
      <c r="V655" s="131"/>
      <c r="W655" s="15"/>
      <c r="X655" s="3"/>
      <c r="Y655" s="3"/>
      <c r="Z655" s="3"/>
      <c r="AA655" s="3"/>
      <c r="AB655" s="3"/>
      <c r="AC655" s="131"/>
      <c r="AD655" s="15"/>
      <c r="AE655" s="99"/>
      <c r="AF655" s="149"/>
      <c r="AG655" s="134"/>
      <c r="AH655" s="134"/>
      <c r="AI655" s="137"/>
      <c r="AJ655" s="150"/>
      <c r="AK655" s="137"/>
      <c r="AL655" s="137"/>
      <c r="AM655" s="3"/>
      <c r="AN655" s="138"/>
      <c r="AO655" s="2"/>
      <c r="AP655" s="139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131"/>
      <c r="BB655" s="15"/>
      <c r="BC655" s="99"/>
      <c r="BD655" s="149"/>
      <c r="BE655" s="134"/>
      <c r="BF655" s="134"/>
      <c r="BG655" s="137"/>
      <c r="BH655" s="150"/>
      <c r="BI655" s="137"/>
      <c r="BJ655" s="137"/>
      <c r="BK655" s="3"/>
      <c r="BL655" s="138"/>
      <c r="BM655" s="2"/>
      <c r="BN655" s="139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131"/>
      <c r="BZ655" s="15"/>
      <c r="CA655" s="99"/>
      <c r="CB655" s="149"/>
      <c r="CC655" s="134"/>
      <c r="CD655" s="134"/>
      <c r="CE655" s="137"/>
      <c r="CF655" s="150"/>
      <c r="CG655" s="137"/>
      <c r="CH655" s="137"/>
      <c r="CI655" s="3"/>
      <c r="CJ655" s="138"/>
      <c r="CK655" s="2"/>
      <c r="CL655" s="139"/>
      <c r="CM655" s="3"/>
      <c r="CN655" s="3"/>
      <c r="CO655" s="3"/>
      <c r="CP655" s="3"/>
      <c r="CQ655" s="3"/>
      <c r="CR655" s="3"/>
      <c r="CS655" s="3"/>
      <c r="CT655" s="3"/>
      <c r="CU655" s="3"/>
      <c r="CV655" s="3"/>
      <c r="CW655" s="131"/>
      <c r="CX655" s="15"/>
      <c r="CY655" s="99"/>
      <c r="CZ655" s="149"/>
      <c r="DA655" s="134"/>
      <c r="DB655" s="134"/>
      <c r="DC655" s="137"/>
      <c r="DD655" s="150"/>
      <c r="DE655" s="137"/>
      <c r="DF655" s="137"/>
      <c r="DG655" s="3"/>
      <c r="DH655" s="138"/>
      <c r="DI655" s="2"/>
      <c r="DJ655" s="139"/>
      <c r="DK655" s="3"/>
      <c r="DL655" s="3"/>
      <c r="DM655" s="3"/>
      <c r="DN655" s="3"/>
      <c r="DO655" s="3"/>
      <c r="DP655" s="3"/>
      <c r="DQ655" s="3"/>
      <c r="DR655" s="3"/>
      <c r="DS655" s="3"/>
      <c r="DT655" s="3"/>
      <c r="DU655" s="131"/>
      <c r="DV655" s="15"/>
      <c r="DW655" s="99"/>
      <c r="DX655" s="149"/>
      <c r="DY655" s="134"/>
      <c r="DZ655" s="134"/>
      <c r="EA655" s="137"/>
      <c r="EB655" s="150"/>
      <c r="EC655" s="137"/>
      <c r="ED655" s="137"/>
      <c r="EE655" s="3"/>
      <c r="EF655" s="138"/>
      <c r="EG655" s="2"/>
      <c r="EH655" s="139"/>
      <c r="EI655" s="3"/>
      <c r="EJ655" s="3"/>
      <c r="EK655" s="3"/>
      <c r="EL655" s="3"/>
      <c r="EM655" s="3"/>
      <c r="EN655" s="3"/>
      <c r="EO655" s="3"/>
      <c r="EP655" s="3"/>
      <c r="EQ655" s="3"/>
      <c r="ER655" s="3"/>
      <c r="ES655" s="131"/>
      <c r="ET655" s="15"/>
      <c r="EU655" s="99"/>
      <c r="EV655" s="149"/>
      <c r="EW655" s="134"/>
      <c r="EX655" s="134"/>
      <c r="EY655" s="137"/>
      <c r="EZ655" s="150"/>
      <c r="FA655" s="137"/>
      <c r="FB655" s="137"/>
      <c r="FC655" s="3"/>
      <c r="FD655" s="138"/>
      <c r="FE655" s="2"/>
      <c r="FF655" s="139"/>
      <c r="FG655" s="3"/>
      <c r="FH655" s="3"/>
      <c r="FI655" s="3"/>
      <c r="FJ655" s="3"/>
      <c r="FK655" s="3"/>
      <c r="FL655" s="3"/>
      <c r="FM655" s="3"/>
      <c r="FN655" s="3"/>
      <c r="FO655" s="3"/>
      <c r="FP655" s="3"/>
      <c r="FQ655" s="131"/>
      <c r="FR655" s="15"/>
      <c r="FS655" s="99"/>
      <c r="FT655" s="149"/>
      <c r="FU655" s="134"/>
      <c r="FV655" s="134"/>
      <c r="FW655" s="137"/>
      <c r="FX655" s="150"/>
      <c r="FY655" s="137"/>
      <c r="FZ655" s="137"/>
      <c r="GA655" s="3"/>
      <c r="GB655" s="138"/>
      <c r="GC655" s="2"/>
      <c r="GD655" s="139"/>
      <c r="GE655" s="3"/>
      <c r="GF655" s="3"/>
    </row>
    <row r="656" spans="1:188" s="125" customFormat="1">
      <c r="A656" s="86"/>
      <c r="B656" s="56">
        <v>43069</v>
      </c>
      <c r="C656" s="18"/>
      <c r="D656" s="19" t="s">
        <v>960</v>
      </c>
      <c r="E656" s="20" t="s">
        <v>467</v>
      </c>
      <c r="F656" s="24" t="s">
        <v>468</v>
      </c>
      <c r="G656" s="238">
        <v>1709</v>
      </c>
      <c r="H656" s="121">
        <v>2648100</v>
      </c>
      <c r="I656" s="24">
        <v>2522000</v>
      </c>
      <c r="J656" s="199"/>
      <c r="K656" s="24">
        <v>2522000</v>
      </c>
      <c r="L656" s="24"/>
      <c r="M656" s="24"/>
      <c r="N656" s="129">
        <f t="shared" si="53"/>
        <v>2522000</v>
      </c>
      <c r="O656" s="108" t="s">
        <v>900</v>
      </c>
      <c r="P656" s="3"/>
      <c r="Q656" s="3"/>
      <c r="R656" s="3"/>
      <c r="S656" s="3"/>
      <c r="T656" s="3"/>
      <c r="U656" s="3"/>
      <c r="V656" s="131"/>
      <c r="W656" s="15"/>
      <c r="X656" s="3"/>
      <c r="Y656" s="3"/>
      <c r="Z656" s="3"/>
      <c r="AA656" s="3"/>
      <c r="AB656" s="3"/>
      <c r="AC656" s="131"/>
      <c r="AD656" s="15"/>
      <c r="AE656" s="99"/>
      <c r="AF656" s="149"/>
      <c r="AG656" s="134"/>
      <c r="AH656" s="134"/>
      <c r="AI656" s="137"/>
      <c r="AJ656" s="150"/>
      <c r="AK656" s="137"/>
      <c r="AL656" s="137"/>
      <c r="AM656" s="3"/>
      <c r="AN656" s="138"/>
      <c r="AO656" s="2"/>
      <c r="AP656" s="139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131"/>
      <c r="BB656" s="15"/>
      <c r="BC656" s="99"/>
      <c r="BD656" s="149"/>
      <c r="BE656" s="134"/>
      <c r="BF656" s="134"/>
      <c r="BG656" s="137"/>
      <c r="BH656" s="150"/>
      <c r="BI656" s="137"/>
      <c r="BJ656" s="137"/>
      <c r="BK656" s="3"/>
      <c r="BL656" s="138"/>
      <c r="BM656" s="2"/>
      <c r="BN656" s="139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131"/>
      <c r="BZ656" s="15"/>
      <c r="CA656" s="99"/>
      <c r="CB656" s="149"/>
      <c r="CC656" s="134"/>
      <c r="CD656" s="134"/>
      <c r="CE656" s="137"/>
      <c r="CF656" s="150"/>
      <c r="CG656" s="137"/>
      <c r="CH656" s="137"/>
      <c r="CI656" s="3"/>
      <c r="CJ656" s="138"/>
      <c r="CK656" s="2"/>
      <c r="CL656" s="139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131"/>
      <c r="CX656" s="15"/>
      <c r="CY656" s="99"/>
      <c r="CZ656" s="149"/>
      <c r="DA656" s="134"/>
      <c r="DB656" s="134"/>
      <c r="DC656" s="137"/>
      <c r="DD656" s="150"/>
      <c r="DE656" s="137"/>
      <c r="DF656" s="137"/>
      <c r="DG656" s="3"/>
      <c r="DH656" s="138"/>
      <c r="DI656" s="2"/>
      <c r="DJ656" s="139"/>
      <c r="DK656" s="3"/>
      <c r="DL656" s="3"/>
      <c r="DM656" s="3"/>
      <c r="DN656" s="3"/>
      <c r="DO656" s="3"/>
      <c r="DP656" s="3"/>
      <c r="DQ656" s="3"/>
      <c r="DR656" s="3"/>
      <c r="DS656" s="3"/>
      <c r="DT656" s="3"/>
      <c r="DU656" s="131"/>
      <c r="DV656" s="15"/>
      <c r="DW656" s="99"/>
      <c r="DX656" s="149"/>
      <c r="DY656" s="134"/>
      <c r="DZ656" s="134"/>
      <c r="EA656" s="137"/>
      <c r="EB656" s="150"/>
      <c r="EC656" s="137"/>
      <c r="ED656" s="137"/>
      <c r="EE656" s="3"/>
      <c r="EF656" s="138"/>
      <c r="EG656" s="2"/>
      <c r="EH656" s="139"/>
      <c r="EI656" s="3"/>
      <c r="EJ656" s="3"/>
      <c r="EK656" s="3"/>
      <c r="EL656" s="3"/>
      <c r="EM656" s="3"/>
      <c r="EN656" s="3"/>
      <c r="EO656" s="3"/>
      <c r="EP656" s="3"/>
      <c r="EQ656" s="3"/>
      <c r="ER656" s="3"/>
      <c r="ES656" s="131"/>
      <c r="ET656" s="15"/>
      <c r="EU656" s="99"/>
      <c r="EV656" s="149"/>
      <c r="EW656" s="134"/>
      <c r="EX656" s="134"/>
      <c r="EY656" s="137"/>
      <c r="EZ656" s="150"/>
      <c r="FA656" s="137"/>
      <c r="FB656" s="137"/>
      <c r="FC656" s="3"/>
      <c r="FD656" s="138"/>
      <c r="FE656" s="2"/>
      <c r="FF656" s="139"/>
      <c r="FG656" s="3"/>
      <c r="FH656" s="3"/>
      <c r="FI656" s="3"/>
      <c r="FJ656" s="3"/>
      <c r="FK656" s="3"/>
      <c r="FL656" s="3"/>
      <c r="FM656" s="3"/>
      <c r="FN656" s="3"/>
      <c r="FO656" s="3"/>
      <c r="FP656" s="3"/>
      <c r="FQ656" s="131"/>
      <c r="FR656" s="15"/>
      <c r="FS656" s="99"/>
      <c r="FT656" s="149"/>
      <c r="FU656" s="134"/>
      <c r="FV656" s="134"/>
      <c r="FW656" s="137"/>
      <c r="FX656" s="150"/>
      <c r="FY656" s="137"/>
      <c r="FZ656" s="137"/>
      <c r="GA656" s="3"/>
      <c r="GB656" s="138"/>
      <c r="GC656" s="2"/>
      <c r="GD656" s="139"/>
      <c r="GE656" s="3"/>
      <c r="GF656" s="3"/>
    </row>
    <row r="657" spans="1:188" s="125" customFormat="1">
      <c r="A657" s="86">
        <v>1</v>
      </c>
      <c r="B657" s="56">
        <v>42997</v>
      </c>
      <c r="C657" s="18" t="s">
        <v>192</v>
      </c>
      <c r="D657" s="19" t="s">
        <v>178</v>
      </c>
      <c r="E657" s="20" t="s">
        <v>193</v>
      </c>
      <c r="F657" s="24" t="s">
        <v>194</v>
      </c>
      <c r="G657" s="238" t="s">
        <v>195</v>
      </c>
      <c r="H657" s="121">
        <v>1488000</v>
      </c>
      <c r="I657" s="24">
        <v>1417143</v>
      </c>
      <c r="J657" s="199"/>
      <c r="K657" s="24">
        <f>I657+J657</f>
        <v>1417143</v>
      </c>
      <c r="L657" s="24"/>
      <c r="M657" s="24">
        <f>K657*L657</f>
        <v>0</v>
      </c>
      <c r="N657" s="129">
        <f>K657-M657</f>
        <v>1417143</v>
      </c>
      <c r="O657" s="108" t="s">
        <v>900</v>
      </c>
      <c r="P657" s="3"/>
      <c r="Q657" s="3"/>
      <c r="R657" s="3"/>
      <c r="S657" s="3"/>
      <c r="T657" s="3"/>
      <c r="U657" s="3"/>
      <c r="V657" s="131"/>
      <c r="W657" s="15"/>
      <c r="X657" s="3"/>
      <c r="Y657" s="3"/>
      <c r="Z657" s="3"/>
      <c r="AA657" s="3"/>
      <c r="AB657" s="3"/>
      <c r="AC657" s="131"/>
      <c r="AD657" s="15"/>
      <c r="AE657" s="99"/>
      <c r="AF657" s="149"/>
      <c r="AG657" s="134"/>
      <c r="AH657" s="134"/>
      <c r="AI657" s="137"/>
      <c r="AJ657" s="150"/>
      <c r="AK657" s="137"/>
      <c r="AL657" s="137"/>
      <c r="AM657" s="3"/>
      <c r="AN657" s="138"/>
      <c r="AO657" s="2"/>
      <c r="AP657" s="139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131"/>
      <c r="BB657" s="15"/>
      <c r="BC657" s="99"/>
      <c r="BD657" s="149"/>
      <c r="BE657" s="134"/>
      <c r="BF657" s="134"/>
      <c r="BG657" s="137"/>
      <c r="BH657" s="150"/>
      <c r="BI657" s="137"/>
      <c r="BJ657" s="137"/>
      <c r="BK657" s="3"/>
      <c r="BL657" s="138"/>
      <c r="BM657" s="2"/>
      <c r="BN657" s="139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131"/>
      <c r="BZ657" s="15"/>
      <c r="CA657" s="99"/>
      <c r="CB657" s="149"/>
      <c r="CC657" s="134"/>
      <c r="CD657" s="134"/>
      <c r="CE657" s="137"/>
      <c r="CF657" s="150"/>
      <c r="CG657" s="137"/>
      <c r="CH657" s="137"/>
      <c r="CI657" s="3"/>
      <c r="CJ657" s="138"/>
      <c r="CK657" s="2"/>
      <c r="CL657" s="139"/>
      <c r="CM657" s="3"/>
      <c r="CN657" s="3"/>
      <c r="CO657" s="3"/>
      <c r="CP657" s="3"/>
      <c r="CQ657" s="3"/>
      <c r="CR657" s="3"/>
      <c r="CS657" s="3"/>
      <c r="CT657" s="3"/>
      <c r="CU657" s="3"/>
      <c r="CV657" s="3"/>
      <c r="CW657" s="131"/>
      <c r="CX657" s="15"/>
      <c r="CY657" s="99"/>
      <c r="CZ657" s="149"/>
      <c r="DA657" s="134"/>
      <c r="DB657" s="134"/>
      <c r="DC657" s="137"/>
      <c r="DD657" s="150"/>
      <c r="DE657" s="137"/>
      <c r="DF657" s="137"/>
      <c r="DG657" s="3"/>
      <c r="DH657" s="138"/>
      <c r="DI657" s="2"/>
      <c r="DJ657" s="139"/>
      <c r="DK657" s="3"/>
      <c r="DL657" s="3"/>
      <c r="DM657" s="3"/>
      <c r="DN657" s="3"/>
      <c r="DO657" s="3"/>
      <c r="DP657" s="3"/>
      <c r="DQ657" s="3"/>
      <c r="DR657" s="3"/>
      <c r="DS657" s="3"/>
      <c r="DT657" s="3"/>
      <c r="DU657" s="131"/>
      <c r="DV657" s="15"/>
      <c r="DW657" s="99"/>
      <c r="DX657" s="149"/>
      <c r="DY657" s="134"/>
      <c r="DZ657" s="134"/>
      <c r="EA657" s="137"/>
      <c r="EB657" s="150"/>
      <c r="EC657" s="137"/>
      <c r="ED657" s="137"/>
      <c r="EE657" s="3"/>
      <c r="EF657" s="138"/>
      <c r="EG657" s="2"/>
      <c r="EH657" s="139"/>
      <c r="EI657" s="3"/>
      <c r="EJ657" s="3"/>
      <c r="EK657" s="3"/>
      <c r="EL657" s="3"/>
      <c r="EM657" s="3"/>
      <c r="EN657" s="3"/>
      <c r="EO657" s="3"/>
      <c r="EP657" s="3"/>
      <c r="EQ657" s="3"/>
      <c r="ER657" s="3"/>
      <c r="ES657" s="131"/>
      <c r="ET657" s="15"/>
      <c r="EU657" s="99"/>
      <c r="EV657" s="149"/>
      <c r="EW657" s="134"/>
      <c r="EX657" s="134"/>
      <c r="EY657" s="137"/>
      <c r="EZ657" s="150"/>
      <c r="FA657" s="137"/>
      <c r="FB657" s="137"/>
      <c r="FC657" s="3"/>
      <c r="FD657" s="138"/>
      <c r="FE657" s="2"/>
      <c r="FF657" s="139"/>
      <c r="FG657" s="3"/>
      <c r="FH657" s="3"/>
      <c r="FI657" s="3"/>
      <c r="FJ657" s="3"/>
      <c r="FK657" s="3"/>
      <c r="FL657" s="3"/>
      <c r="FM657" s="3"/>
      <c r="FN657" s="3"/>
      <c r="FO657" s="3"/>
      <c r="FP657" s="3"/>
      <c r="FQ657" s="131"/>
      <c r="FR657" s="15"/>
      <c r="FS657" s="99"/>
      <c r="FT657" s="149"/>
      <c r="FU657" s="134"/>
      <c r="FV657" s="134"/>
      <c r="FW657" s="137"/>
      <c r="FX657" s="150"/>
      <c r="FY657" s="137"/>
      <c r="FZ657" s="137"/>
      <c r="GA657" s="3"/>
      <c r="GB657" s="138"/>
      <c r="GC657" s="2"/>
      <c r="GD657" s="139"/>
      <c r="GE657" s="3"/>
      <c r="GF657" s="3"/>
    </row>
    <row r="658" spans="1:188" s="125" customFormat="1">
      <c r="A658" s="86"/>
      <c r="B658" s="56"/>
      <c r="C658" s="18"/>
      <c r="D658" s="19"/>
      <c r="E658" s="20"/>
      <c r="F658" s="24"/>
      <c r="G658" s="238"/>
      <c r="H658" s="121"/>
      <c r="I658" s="24"/>
      <c r="J658" s="199"/>
      <c r="K658" s="24"/>
      <c r="L658" s="24"/>
      <c r="M658" s="24"/>
      <c r="N658" s="129"/>
      <c r="O658" s="108"/>
      <c r="P658" s="3"/>
      <c r="Q658" s="3"/>
      <c r="R658" s="3"/>
      <c r="S658" s="3"/>
      <c r="T658" s="3"/>
      <c r="U658" s="3"/>
      <c r="V658" s="131"/>
      <c r="W658" s="15"/>
      <c r="X658" s="3"/>
      <c r="Y658" s="3"/>
      <c r="Z658" s="3"/>
      <c r="AA658" s="3"/>
      <c r="AB658" s="3"/>
      <c r="AC658" s="131"/>
      <c r="AD658" s="15"/>
      <c r="AE658" s="99"/>
      <c r="AF658" s="149"/>
      <c r="AG658" s="134"/>
      <c r="AH658" s="134"/>
      <c r="AI658" s="137"/>
      <c r="AJ658" s="150"/>
      <c r="AK658" s="137"/>
      <c r="AL658" s="137"/>
      <c r="AM658" s="3"/>
      <c r="AN658" s="138"/>
      <c r="AO658" s="2"/>
      <c r="AP658" s="139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131"/>
      <c r="BB658" s="15"/>
      <c r="BC658" s="99"/>
      <c r="BD658" s="149"/>
      <c r="BE658" s="134"/>
      <c r="BF658" s="134"/>
      <c r="BG658" s="137"/>
      <c r="BH658" s="150"/>
      <c r="BI658" s="137"/>
      <c r="BJ658" s="137"/>
      <c r="BK658" s="3"/>
      <c r="BL658" s="138"/>
      <c r="BM658" s="2"/>
      <c r="BN658" s="139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131"/>
      <c r="BZ658" s="15"/>
      <c r="CA658" s="99"/>
      <c r="CB658" s="149"/>
      <c r="CC658" s="134"/>
      <c r="CD658" s="134"/>
      <c r="CE658" s="137"/>
      <c r="CF658" s="150"/>
      <c r="CG658" s="137"/>
      <c r="CH658" s="137"/>
      <c r="CI658" s="3"/>
      <c r="CJ658" s="138"/>
      <c r="CK658" s="2"/>
      <c r="CL658" s="139"/>
      <c r="CM658" s="3"/>
      <c r="CN658" s="3"/>
      <c r="CO658" s="3"/>
      <c r="CP658" s="3"/>
      <c r="CQ658" s="3"/>
      <c r="CR658" s="3"/>
      <c r="CS658" s="3"/>
      <c r="CT658" s="3"/>
      <c r="CU658" s="3"/>
      <c r="CV658" s="3"/>
      <c r="CW658" s="131"/>
      <c r="CX658" s="15"/>
      <c r="CY658" s="99"/>
      <c r="CZ658" s="149"/>
      <c r="DA658" s="134"/>
      <c r="DB658" s="134"/>
      <c r="DC658" s="137"/>
      <c r="DD658" s="150"/>
      <c r="DE658" s="137"/>
      <c r="DF658" s="137"/>
      <c r="DG658" s="3"/>
      <c r="DH658" s="138"/>
      <c r="DI658" s="2"/>
      <c r="DJ658" s="139"/>
      <c r="DK658" s="3"/>
      <c r="DL658" s="3"/>
      <c r="DM658" s="3"/>
      <c r="DN658" s="3"/>
      <c r="DO658" s="3"/>
      <c r="DP658" s="3"/>
      <c r="DQ658" s="3"/>
      <c r="DR658" s="3"/>
      <c r="DS658" s="3"/>
      <c r="DT658" s="3"/>
      <c r="DU658" s="131"/>
      <c r="DV658" s="15"/>
      <c r="DW658" s="99"/>
      <c r="DX658" s="149"/>
      <c r="DY658" s="134"/>
      <c r="DZ658" s="134"/>
      <c r="EA658" s="137"/>
      <c r="EB658" s="150"/>
      <c r="EC658" s="137"/>
      <c r="ED658" s="137"/>
      <c r="EE658" s="3"/>
      <c r="EF658" s="138"/>
      <c r="EG658" s="2"/>
      <c r="EH658" s="139"/>
      <c r="EI658" s="3"/>
      <c r="EJ658" s="3"/>
      <c r="EK658" s="3"/>
      <c r="EL658" s="3"/>
      <c r="EM658" s="3"/>
      <c r="EN658" s="3"/>
      <c r="EO658" s="3"/>
      <c r="EP658" s="3"/>
      <c r="EQ658" s="3"/>
      <c r="ER658" s="3"/>
      <c r="ES658" s="131"/>
      <c r="ET658" s="15"/>
      <c r="EU658" s="99"/>
      <c r="EV658" s="149"/>
      <c r="EW658" s="134"/>
      <c r="EX658" s="134"/>
      <c r="EY658" s="137"/>
      <c r="EZ658" s="150"/>
      <c r="FA658" s="137"/>
      <c r="FB658" s="137"/>
      <c r="FC658" s="3"/>
      <c r="FD658" s="138"/>
      <c r="FE658" s="2"/>
      <c r="FF658" s="139"/>
      <c r="FG658" s="3"/>
      <c r="FH658" s="3"/>
      <c r="FI658" s="3"/>
      <c r="FJ658" s="3"/>
      <c r="FK658" s="3"/>
      <c r="FL658" s="3"/>
      <c r="FM658" s="3"/>
      <c r="FN658" s="3"/>
      <c r="FO658" s="3"/>
      <c r="FP658" s="3"/>
      <c r="FQ658" s="131"/>
      <c r="FR658" s="15"/>
      <c r="FS658" s="99"/>
      <c r="FT658" s="149"/>
      <c r="FU658" s="134"/>
      <c r="FV658" s="134"/>
      <c r="FW658" s="137"/>
      <c r="FX658" s="150"/>
      <c r="FY658" s="137"/>
      <c r="FZ658" s="137"/>
      <c r="GA658" s="3"/>
      <c r="GB658" s="138"/>
      <c r="GC658" s="2"/>
      <c r="GD658" s="139"/>
      <c r="GE658" s="3"/>
      <c r="GF658" s="3"/>
    </row>
    <row r="659" spans="1:188" s="125" customFormat="1">
      <c r="A659" s="86"/>
      <c r="B659" s="56"/>
      <c r="C659" s="18"/>
      <c r="D659" s="19"/>
      <c r="E659" s="20"/>
      <c r="F659" s="24"/>
      <c r="G659" s="238"/>
      <c r="H659" s="121"/>
      <c r="I659" s="24"/>
      <c r="J659" s="199"/>
      <c r="K659" s="24"/>
      <c r="L659" s="24"/>
      <c r="M659" s="24"/>
      <c r="N659" s="129"/>
      <c r="O659" s="108"/>
      <c r="P659" s="3"/>
      <c r="Q659" s="3"/>
      <c r="R659" s="3"/>
      <c r="S659" s="3"/>
      <c r="T659" s="3"/>
      <c r="U659" s="3"/>
      <c r="V659" s="131"/>
      <c r="W659" s="15"/>
      <c r="X659" s="3"/>
      <c r="Y659" s="3"/>
      <c r="Z659" s="3"/>
      <c r="AA659" s="3"/>
      <c r="AB659" s="3"/>
      <c r="AC659" s="131"/>
      <c r="AD659" s="15"/>
      <c r="AE659" s="99"/>
      <c r="AF659" s="149"/>
      <c r="AG659" s="134"/>
      <c r="AH659" s="134"/>
      <c r="AI659" s="137"/>
      <c r="AJ659" s="150"/>
      <c r="AK659" s="137"/>
      <c r="AL659" s="137"/>
      <c r="AM659" s="3"/>
      <c r="AN659" s="138"/>
      <c r="AO659" s="2"/>
      <c r="AP659" s="139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131"/>
      <c r="BB659" s="15"/>
      <c r="BC659" s="99"/>
      <c r="BD659" s="149"/>
      <c r="BE659" s="134"/>
      <c r="BF659" s="134"/>
      <c r="BG659" s="137"/>
      <c r="BH659" s="150"/>
      <c r="BI659" s="137"/>
      <c r="BJ659" s="137"/>
      <c r="BK659" s="3"/>
      <c r="BL659" s="138"/>
      <c r="BM659" s="2"/>
      <c r="BN659" s="139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131"/>
      <c r="BZ659" s="15"/>
      <c r="CA659" s="99"/>
      <c r="CB659" s="149"/>
      <c r="CC659" s="134"/>
      <c r="CD659" s="134"/>
      <c r="CE659" s="137"/>
      <c r="CF659" s="150"/>
      <c r="CG659" s="137"/>
      <c r="CH659" s="137"/>
      <c r="CI659" s="3"/>
      <c r="CJ659" s="138"/>
      <c r="CK659" s="2"/>
      <c r="CL659" s="139"/>
      <c r="CM659" s="3"/>
      <c r="CN659" s="3"/>
      <c r="CO659" s="3"/>
      <c r="CP659" s="3"/>
      <c r="CQ659" s="3"/>
      <c r="CR659" s="3"/>
      <c r="CS659" s="3"/>
      <c r="CT659" s="3"/>
      <c r="CU659" s="3"/>
      <c r="CV659" s="3"/>
      <c r="CW659" s="131"/>
      <c r="CX659" s="15"/>
      <c r="CY659" s="99"/>
      <c r="CZ659" s="149"/>
      <c r="DA659" s="134"/>
      <c r="DB659" s="134"/>
      <c r="DC659" s="137"/>
      <c r="DD659" s="150"/>
      <c r="DE659" s="137"/>
      <c r="DF659" s="137"/>
      <c r="DG659" s="3"/>
      <c r="DH659" s="138"/>
      <c r="DI659" s="2"/>
      <c r="DJ659" s="139"/>
      <c r="DK659" s="3"/>
      <c r="DL659" s="3"/>
      <c r="DM659" s="3"/>
      <c r="DN659" s="3"/>
      <c r="DO659" s="3"/>
      <c r="DP659" s="3"/>
      <c r="DQ659" s="3"/>
      <c r="DR659" s="3"/>
      <c r="DS659" s="3"/>
      <c r="DT659" s="3"/>
      <c r="DU659" s="131"/>
      <c r="DV659" s="15"/>
      <c r="DW659" s="99"/>
      <c r="DX659" s="149"/>
      <c r="DY659" s="134"/>
      <c r="DZ659" s="134"/>
      <c r="EA659" s="137"/>
      <c r="EB659" s="150"/>
      <c r="EC659" s="137"/>
      <c r="ED659" s="137"/>
      <c r="EE659" s="3"/>
      <c r="EF659" s="138"/>
      <c r="EG659" s="2"/>
      <c r="EH659" s="139"/>
      <c r="EI659" s="3"/>
      <c r="EJ659" s="3"/>
      <c r="EK659" s="3"/>
      <c r="EL659" s="3"/>
      <c r="EM659" s="3"/>
      <c r="EN659" s="3"/>
      <c r="EO659" s="3"/>
      <c r="EP659" s="3"/>
      <c r="EQ659" s="3"/>
      <c r="ER659" s="3"/>
      <c r="ES659" s="131"/>
      <c r="ET659" s="15"/>
      <c r="EU659" s="99"/>
      <c r="EV659" s="149"/>
      <c r="EW659" s="134"/>
      <c r="EX659" s="134"/>
      <c r="EY659" s="137"/>
      <c r="EZ659" s="150"/>
      <c r="FA659" s="137"/>
      <c r="FB659" s="137"/>
      <c r="FC659" s="3"/>
      <c r="FD659" s="138"/>
      <c r="FE659" s="2"/>
      <c r="FF659" s="139"/>
      <c r="FG659" s="3"/>
      <c r="FH659" s="3"/>
      <c r="FI659" s="3"/>
      <c r="FJ659" s="3"/>
      <c r="FK659" s="3"/>
      <c r="FL659" s="3"/>
      <c r="FM659" s="3"/>
      <c r="FN659" s="3"/>
      <c r="FO659" s="3"/>
      <c r="FP659" s="3"/>
      <c r="FQ659" s="131"/>
      <c r="FR659" s="15"/>
      <c r="FS659" s="99"/>
      <c r="FT659" s="149"/>
      <c r="FU659" s="134"/>
      <c r="FV659" s="134"/>
      <c r="FW659" s="137"/>
      <c r="FX659" s="150"/>
      <c r="FY659" s="137"/>
      <c r="FZ659" s="137"/>
      <c r="GA659" s="3"/>
      <c r="GB659" s="138"/>
      <c r="GC659" s="2"/>
      <c r="GD659" s="139"/>
      <c r="GE659" s="3"/>
      <c r="GF659" s="3"/>
    </row>
    <row r="660" spans="1:188" s="125" customFormat="1">
      <c r="A660" s="86"/>
      <c r="B660" s="56"/>
      <c r="C660" s="18"/>
      <c r="D660" s="19"/>
      <c r="E660" s="20"/>
      <c r="F660" s="24"/>
      <c r="G660" s="238"/>
      <c r="H660" s="121"/>
      <c r="I660" s="24"/>
      <c r="J660" s="199"/>
      <c r="K660" s="24"/>
      <c r="L660" s="24"/>
      <c r="M660" s="24"/>
      <c r="N660" s="129"/>
      <c r="O660" s="108"/>
      <c r="P660" s="3"/>
      <c r="Q660" s="3"/>
      <c r="R660" s="3"/>
      <c r="S660" s="3"/>
      <c r="T660" s="3"/>
      <c r="U660" s="3"/>
      <c r="V660" s="131"/>
      <c r="W660" s="15"/>
      <c r="X660" s="3"/>
      <c r="Y660" s="3"/>
      <c r="Z660" s="3"/>
      <c r="AA660" s="3"/>
      <c r="AB660" s="3"/>
      <c r="AC660" s="131"/>
      <c r="AD660" s="15"/>
      <c r="AE660" s="99"/>
      <c r="AF660" s="149"/>
      <c r="AG660" s="134"/>
      <c r="AH660" s="134"/>
      <c r="AI660" s="137"/>
      <c r="AJ660" s="150"/>
      <c r="AK660" s="137"/>
      <c r="AL660" s="137"/>
      <c r="AM660" s="3"/>
      <c r="AN660" s="138"/>
      <c r="AO660" s="2"/>
      <c r="AP660" s="139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131"/>
      <c r="BB660" s="15"/>
      <c r="BC660" s="99"/>
      <c r="BD660" s="149"/>
      <c r="BE660" s="134"/>
      <c r="BF660" s="134"/>
      <c r="BG660" s="137"/>
      <c r="BH660" s="150"/>
      <c r="BI660" s="137"/>
      <c r="BJ660" s="137"/>
      <c r="BK660" s="3"/>
      <c r="BL660" s="138"/>
      <c r="BM660" s="2"/>
      <c r="BN660" s="139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131"/>
      <c r="BZ660" s="15"/>
      <c r="CA660" s="99"/>
      <c r="CB660" s="149"/>
      <c r="CC660" s="134"/>
      <c r="CD660" s="134"/>
      <c r="CE660" s="137"/>
      <c r="CF660" s="150"/>
      <c r="CG660" s="137"/>
      <c r="CH660" s="137"/>
      <c r="CI660" s="3"/>
      <c r="CJ660" s="138"/>
      <c r="CK660" s="2"/>
      <c r="CL660" s="139"/>
      <c r="CM660" s="3"/>
      <c r="CN660" s="3"/>
      <c r="CO660" s="3"/>
      <c r="CP660" s="3"/>
      <c r="CQ660" s="3"/>
      <c r="CR660" s="3"/>
      <c r="CS660" s="3"/>
      <c r="CT660" s="3"/>
      <c r="CU660" s="3"/>
      <c r="CV660" s="3"/>
      <c r="CW660" s="131"/>
      <c r="CX660" s="15"/>
      <c r="CY660" s="99"/>
      <c r="CZ660" s="149"/>
      <c r="DA660" s="134"/>
      <c r="DB660" s="134"/>
      <c r="DC660" s="137"/>
      <c r="DD660" s="150"/>
      <c r="DE660" s="137"/>
      <c r="DF660" s="137"/>
      <c r="DG660" s="3"/>
      <c r="DH660" s="138"/>
      <c r="DI660" s="2"/>
      <c r="DJ660" s="139"/>
      <c r="DK660" s="3"/>
      <c r="DL660" s="3"/>
      <c r="DM660" s="3"/>
      <c r="DN660" s="3"/>
      <c r="DO660" s="3"/>
      <c r="DP660" s="3"/>
      <c r="DQ660" s="3"/>
      <c r="DR660" s="3"/>
      <c r="DS660" s="3"/>
      <c r="DT660" s="3"/>
      <c r="DU660" s="131"/>
      <c r="DV660" s="15"/>
      <c r="DW660" s="99"/>
      <c r="DX660" s="149"/>
      <c r="DY660" s="134"/>
      <c r="DZ660" s="134"/>
      <c r="EA660" s="137"/>
      <c r="EB660" s="150"/>
      <c r="EC660" s="137"/>
      <c r="ED660" s="137"/>
      <c r="EE660" s="3"/>
      <c r="EF660" s="138"/>
      <c r="EG660" s="2"/>
      <c r="EH660" s="139"/>
      <c r="EI660" s="3"/>
      <c r="EJ660" s="3"/>
      <c r="EK660" s="3"/>
      <c r="EL660" s="3"/>
      <c r="EM660" s="3"/>
      <c r="EN660" s="3"/>
      <c r="EO660" s="3"/>
      <c r="EP660" s="3"/>
      <c r="EQ660" s="3"/>
      <c r="ER660" s="3"/>
      <c r="ES660" s="131"/>
      <c r="ET660" s="15"/>
      <c r="EU660" s="99"/>
      <c r="EV660" s="149"/>
      <c r="EW660" s="134"/>
      <c r="EX660" s="134"/>
      <c r="EY660" s="137"/>
      <c r="EZ660" s="150"/>
      <c r="FA660" s="137"/>
      <c r="FB660" s="137"/>
      <c r="FC660" s="3"/>
      <c r="FD660" s="138"/>
      <c r="FE660" s="2"/>
      <c r="FF660" s="139"/>
      <c r="FG660" s="3"/>
      <c r="FH660" s="3"/>
      <c r="FI660" s="3"/>
      <c r="FJ660" s="3"/>
      <c r="FK660" s="3"/>
      <c r="FL660" s="3"/>
      <c r="FM660" s="3"/>
      <c r="FN660" s="3"/>
      <c r="FO660" s="3"/>
      <c r="FP660" s="3"/>
      <c r="FQ660" s="131"/>
      <c r="FR660" s="15"/>
      <c r="FS660" s="99"/>
      <c r="FT660" s="149"/>
      <c r="FU660" s="134"/>
      <c r="FV660" s="134"/>
      <c r="FW660" s="137"/>
      <c r="FX660" s="150"/>
      <c r="FY660" s="137"/>
      <c r="FZ660" s="137"/>
      <c r="GA660" s="3"/>
      <c r="GB660" s="138"/>
      <c r="GC660" s="2"/>
      <c r="GD660" s="139"/>
      <c r="GE660" s="3"/>
      <c r="GF660" s="3"/>
    </row>
    <row r="661" spans="1:188" s="125" customFormat="1">
      <c r="A661" s="86"/>
      <c r="B661" s="56"/>
      <c r="C661" s="18"/>
      <c r="D661" s="19"/>
      <c r="E661" s="20"/>
      <c r="F661" s="24"/>
      <c r="G661" s="238"/>
      <c r="H661" s="121"/>
      <c r="I661" s="24"/>
      <c r="J661" s="199"/>
      <c r="K661" s="24"/>
      <c r="L661" s="24"/>
      <c r="M661" s="24"/>
      <c r="N661" s="129"/>
      <c r="O661" s="108"/>
      <c r="P661" s="3"/>
      <c r="Q661" s="3"/>
      <c r="R661" s="3"/>
      <c r="S661" s="3"/>
      <c r="T661" s="3"/>
      <c r="U661" s="3"/>
      <c r="V661" s="131"/>
      <c r="W661" s="15"/>
      <c r="X661" s="3"/>
      <c r="Y661" s="3"/>
      <c r="Z661" s="3"/>
      <c r="AA661" s="3"/>
      <c r="AB661" s="3"/>
      <c r="AC661" s="131"/>
      <c r="AD661" s="15"/>
      <c r="AE661" s="99"/>
      <c r="AF661" s="149"/>
      <c r="AG661" s="134"/>
      <c r="AH661" s="134"/>
      <c r="AI661" s="137"/>
      <c r="AJ661" s="150"/>
      <c r="AK661" s="137"/>
      <c r="AL661" s="137"/>
      <c r="AM661" s="3"/>
      <c r="AN661" s="138"/>
      <c r="AO661" s="2"/>
      <c r="AP661" s="139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131"/>
      <c r="BB661" s="15"/>
      <c r="BC661" s="99"/>
      <c r="BD661" s="149"/>
      <c r="BE661" s="134"/>
      <c r="BF661" s="134"/>
      <c r="BG661" s="137"/>
      <c r="BH661" s="150"/>
      <c r="BI661" s="137"/>
      <c r="BJ661" s="137"/>
      <c r="BK661" s="3"/>
      <c r="BL661" s="138"/>
      <c r="BM661" s="2"/>
      <c r="BN661" s="139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131"/>
      <c r="BZ661" s="15"/>
      <c r="CA661" s="99"/>
      <c r="CB661" s="149"/>
      <c r="CC661" s="134"/>
      <c r="CD661" s="134"/>
      <c r="CE661" s="137"/>
      <c r="CF661" s="150"/>
      <c r="CG661" s="137"/>
      <c r="CH661" s="137"/>
      <c r="CI661" s="3"/>
      <c r="CJ661" s="138"/>
      <c r="CK661" s="2"/>
      <c r="CL661" s="139"/>
      <c r="CM661" s="3"/>
      <c r="CN661" s="3"/>
      <c r="CO661" s="3"/>
      <c r="CP661" s="3"/>
      <c r="CQ661" s="3"/>
      <c r="CR661" s="3"/>
      <c r="CS661" s="3"/>
      <c r="CT661" s="3"/>
      <c r="CU661" s="3"/>
      <c r="CV661" s="3"/>
      <c r="CW661" s="131"/>
      <c r="CX661" s="15"/>
      <c r="CY661" s="99"/>
      <c r="CZ661" s="149"/>
      <c r="DA661" s="134"/>
      <c r="DB661" s="134"/>
      <c r="DC661" s="137"/>
      <c r="DD661" s="150"/>
      <c r="DE661" s="137"/>
      <c r="DF661" s="137"/>
      <c r="DG661" s="3"/>
      <c r="DH661" s="138"/>
      <c r="DI661" s="2"/>
      <c r="DJ661" s="139"/>
      <c r="DK661" s="3"/>
      <c r="DL661" s="3"/>
      <c r="DM661" s="3"/>
      <c r="DN661" s="3"/>
      <c r="DO661" s="3"/>
      <c r="DP661" s="3"/>
      <c r="DQ661" s="3"/>
      <c r="DR661" s="3"/>
      <c r="DS661" s="3"/>
      <c r="DT661" s="3"/>
      <c r="DU661" s="131"/>
      <c r="DV661" s="15"/>
      <c r="DW661" s="99"/>
      <c r="DX661" s="149"/>
      <c r="DY661" s="134"/>
      <c r="DZ661" s="134"/>
      <c r="EA661" s="137"/>
      <c r="EB661" s="150"/>
      <c r="EC661" s="137"/>
      <c r="ED661" s="137"/>
      <c r="EE661" s="3"/>
      <c r="EF661" s="138"/>
      <c r="EG661" s="2"/>
      <c r="EH661" s="139"/>
      <c r="EI661" s="3"/>
      <c r="EJ661" s="3"/>
      <c r="EK661" s="3"/>
      <c r="EL661" s="3"/>
      <c r="EM661" s="3"/>
      <c r="EN661" s="3"/>
      <c r="EO661" s="3"/>
      <c r="EP661" s="3"/>
      <c r="EQ661" s="3"/>
      <c r="ER661" s="3"/>
      <c r="ES661" s="131"/>
      <c r="ET661" s="15"/>
      <c r="EU661" s="99"/>
      <c r="EV661" s="149"/>
      <c r="EW661" s="134"/>
      <c r="EX661" s="134"/>
      <c r="EY661" s="137"/>
      <c r="EZ661" s="150"/>
      <c r="FA661" s="137"/>
      <c r="FB661" s="137"/>
      <c r="FC661" s="3"/>
      <c r="FD661" s="138"/>
      <c r="FE661" s="2"/>
      <c r="FF661" s="139"/>
      <c r="FG661" s="3"/>
      <c r="FH661" s="3"/>
      <c r="FI661" s="3"/>
      <c r="FJ661" s="3"/>
      <c r="FK661" s="3"/>
      <c r="FL661" s="3"/>
      <c r="FM661" s="3"/>
      <c r="FN661" s="3"/>
      <c r="FO661" s="3"/>
      <c r="FP661" s="3"/>
      <c r="FQ661" s="131"/>
      <c r="FR661" s="15"/>
      <c r="FS661" s="99"/>
      <c r="FT661" s="149"/>
      <c r="FU661" s="134"/>
      <c r="FV661" s="134"/>
      <c r="FW661" s="137"/>
      <c r="FX661" s="150"/>
      <c r="FY661" s="137"/>
      <c r="FZ661" s="137"/>
      <c r="GA661" s="3"/>
      <c r="GB661" s="138"/>
      <c r="GC661" s="2"/>
      <c r="GD661" s="139"/>
      <c r="GE661" s="3"/>
      <c r="GF661" s="3"/>
    </row>
    <row r="662" spans="1:188" s="125" customFormat="1">
      <c r="A662" s="86"/>
      <c r="B662" s="56"/>
      <c r="C662" s="18"/>
      <c r="D662" s="19"/>
      <c r="E662" s="20"/>
      <c r="F662" s="24"/>
      <c r="G662" s="238"/>
      <c r="H662" s="121"/>
      <c r="I662" s="24"/>
      <c r="J662" s="199"/>
      <c r="K662" s="24"/>
      <c r="L662" s="24"/>
      <c r="M662" s="24"/>
      <c r="N662" s="129"/>
      <c r="O662" s="108"/>
      <c r="P662" s="3"/>
      <c r="Q662" s="3"/>
      <c r="R662" s="3"/>
      <c r="S662" s="3"/>
      <c r="T662" s="3"/>
      <c r="U662" s="3"/>
      <c r="V662" s="131"/>
      <c r="W662" s="15"/>
      <c r="X662" s="3"/>
      <c r="Y662" s="3"/>
      <c r="Z662" s="3"/>
      <c r="AA662" s="3"/>
      <c r="AB662" s="3"/>
      <c r="AC662" s="131"/>
      <c r="AD662" s="15"/>
      <c r="AE662" s="99"/>
      <c r="AF662" s="149"/>
      <c r="AG662" s="134"/>
      <c r="AH662" s="134"/>
      <c r="AI662" s="137"/>
      <c r="AJ662" s="150"/>
      <c r="AK662" s="137"/>
      <c r="AL662" s="137"/>
      <c r="AM662" s="3"/>
      <c r="AN662" s="138"/>
      <c r="AO662" s="2"/>
      <c r="AP662" s="139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131"/>
      <c r="BB662" s="15"/>
      <c r="BC662" s="99"/>
      <c r="BD662" s="149"/>
      <c r="BE662" s="134"/>
      <c r="BF662" s="134"/>
      <c r="BG662" s="137"/>
      <c r="BH662" s="150"/>
      <c r="BI662" s="137"/>
      <c r="BJ662" s="137"/>
      <c r="BK662" s="3"/>
      <c r="BL662" s="138"/>
      <c r="BM662" s="2"/>
      <c r="BN662" s="139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131"/>
      <c r="BZ662" s="15"/>
      <c r="CA662" s="99"/>
      <c r="CB662" s="149"/>
      <c r="CC662" s="134"/>
      <c r="CD662" s="134"/>
      <c r="CE662" s="137"/>
      <c r="CF662" s="150"/>
      <c r="CG662" s="137"/>
      <c r="CH662" s="137"/>
      <c r="CI662" s="3"/>
      <c r="CJ662" s="138"/>
      <c r="CK662" s="2"/>
      <c r="CL662" s="139"/>
      <c r="CM662" s="3"/>
      <c r="CN662" s="3"/>
      <c r="CO662" s="3"/>
      <c r="CP662" s="3"/>
      <c r="CQ662" s="3"/>
      <c r="CR662" s="3"/>
      <c r="CS662" s="3"/>
      <c r="CT662" s="3"/>
      <c r="CU662" s="3"/>
      <c r="CV662" s="3"/>
      <c r="CW662" s="131"/>
      <c r="CX662" s="15"/>
      <c r="CY662" s="99"/>
      <c r="CZ662" s="149"/>
      <c r="DA662" s="134"/>
      <c r="DB662" s="134"/>
      <c r="DC662" s="137"/>
      <c r="DD662" s="150"/>
      <c r="DE662" s="137"/>
      <c r="DF662" s="137"/>
      <c r="DG662" s="3"/>
      <c r="DH662" s="138"/>
      <c r="DI662" s="2"/>
      <c r="DJ662" s="139"/>
      <c r="DK662" s="3"/>
      <c r="DL662" s="3"/>
      <c r="DM662" s="3"/>
      <c r="DN662" s="3"/>
      <c r="DO662" s="3"/>
      <c r="DP662" s="3"/>
      <c r="DQ662" s="3"/>
      <c r="DR662" s="3"/>
      <c r="DS662" s="3"/>
      <c r="DT662" s="3"/>
      <c r="DU662" s="131"/>
      <c r="DV662" s="15"/>
      <c r="DW662" s="99"/>
      <c r="DX662" s="149"/>
      <c r="DY662" s="134"/>
      <c r="DZ662" s="134"/>
      <c r="EA662" s="137"/>
      <c r="EB662" s="150"/>
      <c r="EC662" s="137"/>
      <c r="ED662" s="137"/>
      <c r="EE662" s="3"/>
      <c r="EF662" s="138"/>
      <c r="EG662" s="2"/>
      <c r="EH662" s="139"/>
      <c r="EI662" s="3"/>
      <c r="EJ662" s="3"/>
      <c r="EK662" s="3"/>
      <c r="EL662" s="3"/>
      <c r="EM662" s="3"/>
      <c r="EN662" s="3"/>
      <c r="EO662" s="3"/>
      <c r="EP662" s="3"/>
      <c r="EQ662" s="3"/>
      <c r="ER662" s="3"/>
      <c r="ES662" s="131"/>
      <c r="ET662" s="15"/>
      <c r="EU662" s="99"/>
      <c r="EV662" s="149"/>
      <c r="EW662" s="134"/>
      <c r="EX662" s="134"/>
      <c r="EY662" s="137"/>
      <c r="EZ662" s="150"/>
      <c r="FA662" s="137"/>
      <c r="FB662" s="137"/>
      <c r="FC662" s="3"/>
      <c r="FD662" s="138"/>
      <c r="FE662" s="2"/>
      <c r="FF662" s="139"/>
      <c r="FG662" s="3"/>
      <c r="FH662" s="3"/>
      <c r="FI662" s="3"/>
      <c r="FJ662" s="3"/>
      <c r="FK662" s="3"/>
      <c r="FL662" s="3"/>
      <c r="FM662" s="3"/>
      <c r="FN662" s="3"/>
      <c r="FO662" s="3"/>
      <c r="FP662" s="3"/>
      <c r="FQ662" s="131"/>
      <c r="FR662" s="15"/>
      <c r="FS662" s="99"/>
      <c r="FT662" s="149"/>
      <c r="FU662" s="134"/>
      <c r="FV662" s="134"/>
      <c r="FW662" s="137"/>
      <c r="FX662" s="150"/>
      <c r="FY662" s="137"/>
      <c r="FZ662" s="137"/>
      <c r="GA662" s="3"/>
      <c r="GB662" s="138"/>
      <c r="GC662" s="2"/>
      <c r="GD662" s="139"/>
      <c r="GE662" s="3"/>
      <c r="GF662" s="3"/>
    </row>
    <row r="663" spans="1:188" s="125" customFormat="1">
      <c r="A663" s="86"/>
      <c r="B663" s="56"/>
      <c r="C663" s="18"/>
      <c r="D663" s="19"/>
      <c r="E663" s="20"/>
      <c r="F663" s="24"/>
      <c r="G663" s="238"/>
      <c r="H663" s="121"/>
      <c r="I663" s="24"/>
      <c r="J663" s="199"/>
      <c r="K663" s="24"/>
      <c r="L663" s="24"/>
      <c r="M663" s="24"/>
      <c r="N663" s="129"/>
      <c r="O663" s="108"/>
      <c r="P663" s="3"/>
      <c r="Q663" s="3"/>
      <c r="R663" s="3"/>
      <c r="S663" s="3"/>
      <c r="T663" s="3"/>
      <c r="U663" s="3"/>
      <c r="V663" s="131"/>
      <c r="W663" s="15"/>
      <c r="X663" s="3"/>
      <c r="Y663" s="3"/>
      <c r="Z663" s="3"/>
      <c r="AA663" s="3"/>
      <c r="AB663" s="3"/>
      <c r="AC663" s="131"/>
      <c r="AD663" s="15"/>
      <c r="AE663" s="99"/>
      <c r="AF663" s="149"/>
      <c r="AG663" s="134"/>
      <c r="AH663" s="134"/>
      <c r="AI663" s="137"/>
      <c r="AJ663" s="150"/>
      <c r="AK663" s="137"/>
      <c r="AL663" s="137"/>
      <c r="AM663" s="3"/>
      <c r="AN663" s="138"/>
      <c r="AO663" s="2"/>
      <c r="AP663" s="139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131"/>
      <c r="BB663" s="15"/>
      <c r="BC663" s="99"/>
      <c r="BD663" s="149"/>
      <c r="BE663" s="134"/>
      <c r="BF663" s="134"/>
      <c r="BG663" s="137"/>
      <c r="BH663" s="150"/>
      <c r="BI663" s="137"/>
      <c r="BJ663" s="137"/>
      <c r="BK663" s="3"/>
      <c r="BL663" s="138"/>
      <c r="BM663" s="2"/>
      <c r="BN663" s="139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131"/>
      <c r="BZ663" s="15"/>
      <c r="CA663" s="99"/>
      <c r="CB663" s="149"/>
      <c r="CC663" s="134"/>
      <c r="CD663" s="134"/>
      <c r="CE663" s="137"/>
      <c r="CF663" s="150"/>
      <c r="CG663" s="137"/>
      <c r="CH663" s="137"/>
      <c r="CI663" s="3"/>
      <c r="CJ663" s="138"/>
      <c r="CK663" s="2"/>
      <c r="CL663" s="139"/>
      <c r="CM663" s="3"/>
      <c r="CN663" s="3"/>
      <c r="CO663" s="3"/>
      <c r="CP663" s="3"/>
      <c r="CQ663" s="3"/>
      <c r="CR663" s="3"/>
      <c r="CS663" s="3"/>
      <c r="CT663" s="3"/>
      <c r="CU663" s="3"/>
      <c r="CV663" s="3"/>
      <c r="CW663" s="131"/>
      <c r="CX663" s="15"/>
      <c r="CY663" s="99"/>
      <c r="CZ663" s="149"/>
      <c r="DA663" s="134"/>
      <c r="DB663" s="134"/>
      <c r="DC663" s="137"/>
      <c r="DD663" s="150"/>
      <c r="DE663" s="137"/>
      <c r="DF663" s="137"/>
      <c r="DG663" s="3"/>
      <c r="DH663" s="138"/>
      <c r="DI663" s="2"/>
      <c r="DJ663" s="139"/>
      <c r="DK663" s="3"/>
      <c r="DL663" s="3"/>
      <c r="DM663" s="3"/>
      <c r="DN663" s="3"/>
      <c r="DO663" s="3"/>
      <c r="DP663" s="3"/>
      <c r="DQ663" s="3"/>
      <c r="DR663" s="3"/>
      <c r="DS663" s="3"/>
      <c r="DT663" s="3"/>
      <c r="DU663" s="131"/>
      <c r="DV663" s="15"/>
      <c r="DW663" s="99"/>
      <c r="DX663" s="149"/>
      <c r="DY663" s="134"/>
      <c r="DZ663" s="134"/>
      <c r="EA663" s="137"/>
      <c r="EB663" s="150"/>
      <c r="EC663" s="137"/>
      <c r="ED663" s="137"/>
      <c r="EE663" s="3"/>
      <c r="EF663" s="138"/>
      <c r="EG663" s="2"/>
      <c r="EH663" s="139"/>
      <c r="EI663" s="3"/>
      <c r="EJ663" s="3"/>
      <c r="EK663" s="3"/>
      <c r="EL663" s="3"/>
      <c r="EM663" s="3"/>
      <c r="EN663" s="3"/>
      <c r="EO663" s="3"/>
      <c r="EP663" s="3"/>
      <c r="EQ663" s="3"/>
      <c r="ER663" s="3"/>
      <c r="ES663" s="131"/>
      <c r="ET663" s="15"/>
      <c r="EU663" s="99"/>
      <c r="EV663" s="149"/>
      <c r="EW663" s="134"/>
      <c r="EX663" s="134"/>
      <c r="EY663" s="137"/>
      <c r="EZ663" s="150"/>
      <c r="FA663" s="137"/>
      <c r="FB663" s="137"/>
      <c r="FC663" s="3"/>
      <c r="FD663" s="138"/>
      <c r="FE663" s="2"/>
      <c r="FF663" s="139"/>
      <c r="FG663" s="3"/>
      <c r="FH663" s="3"/>
      <c r="FI663" s="3"/>
      <c r="FJ663" s="3"/>
      <c r="FK663" s="3"/>
      <c r="FL663" s="3"/>
      <c r="FM663" s="3"/>
      <c r="FN663" s="3"/>
      <c r="FO663" s="3"/>
      <c r="FP663" s="3"/>
      <c r="FQ663" s="131"/>
      <c r="FR663" s="15"/>
      <c r="FS663" s="99"/>
      <c r="FT663" s="149"/>
      <c r="FU663" s="134"/>
      <c r="FV663" s="134"/>
      <c r="FW663" s="137"/>
      <c r="FX663" s="150"/>
      <c r="FY663" s="137"/>
      <c r="FZ663" s="137"/>
      <c r="GA663" s="3"/>
      <c r="GB663" s="138"/>
      <c r="GC663" s="2"/>
      <c r="GD663" s="139"/>
      <c r="GE663" s="3"/>
      <c r="GF663" s="3"/>
    </row>
    <row r="664" spans="1:188" s="125" customFormat="1">
      <c r="A664" s="86"/>
      <c r="B664" s="56"/>
      <c r="C664" s="18"/>
      <c r="D664" s="19"/>
      <c r="E664" s="20"/>
      <c r="F664" s="24"/>
      <c r="G664" s="238"/>
      <c r="H664" s="121"/>
      <c r="I664" s="24"/>
      <c r="J664" s="199"/>
      <c r="K664" s="24"/>
      <c r="L664" s="24"/>
      <c r="M664" s="24"/>
      <c r="N664" s="129"/>
      <c r="O664" s="108"/>
      <c r="P664" s="3"/>
      <c r="Q664" s="3"/>
      <c r="R664" s="3"/>
      <c r="S664" s="3"/>
      <c r="T664" s="3"/>
      <c r="U664" s="3"/>
      <c r="V664" s="131"/>
      <c r="W664" s="15"/>
      <c r="X664" s="3"/>
      <c r="Y664" s="3"/>
      <c r="Z664" s="3"/>
      <c r="AA664" s="3"/>
      <c r="AB664" s="3"/>
      <c r="AC664" s="131"/>
      <c r="AD664" s="15"/>
      <c r="AE664" s="99"/>
      <c r="AF664" s="149"/>
      <c r="AG664" s="134"/>
      <c r="AH664" s="134"/>
      <c r="AI664" s="137"/>
      <c r="AJ664" s="150"/>
      <c r="AK664" s="137"/>
      <c r="AL664" s="137"/>
      <c r="AM664" s="3"/>
      <c r="AN664" s="138"/>
      <c r="AO664" s="2"/>
      <c r="AP664" s="139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131"/>
      <c r="BB664" s="15"/>
      <c r="BC664" s="99"/>
      <c r="BD664" s="149"/>
      <c r="BE664" s="134"/>
      <c r="BF664" s="134"/>
      <c r="BG664" s="137"/>
      <c r="BH664" s="150"/>
      <c r="BI664" s="137"/>
      <c r="BJ664" s="137"/>
      <c r="BK664" s="3"/>
      <c r="BL664" s="138"/>
      <c r="BM664" s="2"/>
      <c r="BN664" s="139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131"/>
      <c r="BZ664" s="15"/>
      <c r="CA664" s="99"/>
      <c r="CB664" s="149"/>
      <c r="CC664" s="134"/>
      <c r="CD664" s="134"/>
      <c r="CE664" s="137"/>
      <c r="CF664" s="150"/>
      <c r="CG664" s="137"/>
      <c r="CH664" s="137"/>
      <c r="CI664" s="3"/>
      <c r="CJ664" s="138"/>
      <c r="CK664" s="2"/>
      <c r="CL664" s="139"/>
      <c r="CM664" s="3"/>
      <c r="CN664" s="3"/>
      <c r="CO664" s="3"/>
      <c r="CP664" s="3"/>
      <c r="CQ664" s="3"/>
      <c r="CR664" s="3"/>
      <c r="CS664" s="3"/>
      <c r="CT664" s="3"/>
      <c r="CU664" s="3"/>
      <c r="CV664" s="3"/>
      <c r="CW664" s="131"/>
      <c r="CX664" s="15"/>
      <c r="CY664" s="99"/>
      <c r="CZ664" s="149"/>
      <c r="DA664" s="134"/>
      <c r="DB664" s="134"/>
      <c r="DC664" s="137"/>
      <c r="DD664" s="150"/>
      <c r="DE664" s="137"/>
      <c r="DF664" s="137"/>
      <c r="DG664" s="3"/>
      <c r="DH664" s="138"/>
      <c r="DI664" s="2"/>
      <c r="DJ664" s="139"/>
      <c r="DK664" s="3"/>
      <c r="DL664" s="3"/>
      <c r="DM664" s="3"/>
      <c r="DN664" s="3"/>
      <c r="DO664" s="3"/>
      <c r="DP664" s="3"/>
      <c r="DQ664" s="3"/>
      <c r="DR664" s="3"/>
      <c r="DS664" s="3"/>
      <c r="DT664" s="3"/>
      <c r="DU664" s="131"/>
      <c r="DV664" s="15"/>
      <c r="DW664" s="99"/>
      <c r="DX664" s="149"/>
      <c r="DY664" s="134"/>
      <c r="DZ664" s="134"/>
      <c r="EA664" s="137"/>
      <c r="EB664" s="150"/>
      <c r="EC664" s="137"/>
      <c r="ED664" s="137"/>
      <c r="EE664" s="3"/>
      <c r="EF664" s="138"/>
      <c r="EG664" s="2"/>
      <c r="EH664" s="139"/>
      <c r="EI664" s="3"/>
      <c r="EJ664" s="3"/>
      <c r="EK664" s="3"/>
      <c r="EL664" s="3"/>
      <c r="EM664" s="3"/>
      <c r="EN664" s="3"/>
      <c r="EO664" s="3"/>
      <c r="EP664" s="3"/>
      <c r="EQ664" s="3"/>
      <c r="ER664" s="3"/>
      <c r="ES664" s="131"/>
      <c r="ET664" s="15"/>
      <c r="EU664" s="99"/>
      <c r="EV664" s="149"/>
      <c r="EW664" s="134"/>
      <c r="EX664" s="134"/>
      <c r="EY664" s="137"/>
      <c r="EZ664" s="150"/>
      <c r="FA664" s="137"/>
      <c r="FB664" s="137"/>
      <c r="FC664" s="3"/>
      <c r="FD664" s="138"/>
      <c r="FE664" s="2"/>
      <c r="FF664" s="139"/>
      <c r="FG664" s="3"/>
      <c r="FH664" s="3"/>
      <c r="FI664" s="3"/>
      <c r="FJ664" s="3"/>
      <c r="FK664" s="3"/>
      <c r="FL664" s="3"/>
      <c r="FM664" s="3"/>
      <c r="FN664" s="3"/>
      <c r="FO664" s="3"/>
      <c r="FP664" s="3"/>
      <c r="FQ664" s="131"/>
      <c r="FR664" s="15"/>
      <c r="FS664" s="99"/>
      <c r="FT664" s="149"/>
      <c r="FU664" s="134"/>
      <c r="FV664" s="134"/>
      <c r="FW664" s="137"/>
      <c r="FX664" s="150"/>
      <c r="FY664" s="137"/>
      <c r="FZ664" s="137"/>
      <c r="GA664" s="3"/>
      <c r="GB664" s="138"/>
      <c r="GC664" s="2"/>
      <c r="GD664" s="139"/>
      <c r="GE664" s="3"/>
      <c r="GF664" s="3"/>
    </row>
    <row r="665" spans="1:188" s="125" customFormat="1">
      <c r="A665" s="86"/>
      <c r="B665" s="56"/>
      <c r="C665" s="18"/>
      <c r="D665" s="19"/>
      <c r="E665" s="20"/>
      <c r="F665" s="24"/>
      <c r="G665" s="238"/>
      <c r="H665" s="121"/>
      <c r="I665" s="24"/>
      <c r="J665" s="199"/>
      <c r="K665" s="24"/>
      <c r="L665" s="24"/>
      <c r="M665" s="24"/>
      <c r="N665" s="129"/>
      <c r="O665" s="108"/>
      <c r="P665" s="3"/>
      <c r="Q665" s="3"/>
      <c r="R665" s="3"/>
      <c r="S665" s="3"/>
      <c r="T665" s="3"/>
      <c r="U665" s="3"/>
      <c r="V665" s="131"/>
      <c r="W665" s="15"/>
      <c r="X665" s="3"/>
      <c r="Y665" s="3"/>
      <c r="Z665" s="3"/>
      <c r="AA665" s="3"/>
      <c r="AB665" s="3"/>
      <c r="AC665" s="131"/>
      <c r="AD665" s="15"/>
      <c r="AE665" s="99"/>
      <c r="AF665" s="149"/>
      <c r="AG665" s="134"/>
      <c r="AH665" s="134"/>
      <c r="AI665" s="137"/>
      <c r="AJ665" s="150"/>
      <c r="AK665" s="137"/>
      <c r="AL665" s="137"/>
      <c r="AM665" s="3"/>
      <c r="AN665" s="138"/>
      <c r="AO665" s="2"/>
      <c r="AP665" s="139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131"/>
      <c r="BB665" s="15"/>
      <c r="BC665" s="99"/>
      <c r="BD665" s="149"/>
      <c r="BE665" s="134"/>
      <c r="BF665" s="134"/>
      <c r="BG665" s="137"/>
      <c r="BH665" s="150"/>
      <c r="BI665" s="137"/>
      <c r="BJ665" s="137"/>
      <c r="BK665" s="3"/>
      <c r="BL665" s="138"/>
      <c r="BM665" s="2"/>
      <c r="BN665" s="139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131"/>
      <c r="BZ665" s="15"/>
      <c r="CA665" s="99"/>
      <c r="CB665" s="149"/>
      <c r="CC665" s="134"/>
      <c r="CD665" s="134"/>
      <c r="CE665" s="137"/>
      <c r="CF665" s="150"/>
      <c r="CG665" s="137"/>
      <c r="CH665" s="137"/>
      <c r="CI665" s="3"/>
      <c r="CJ665" s="138"/>
      <c r="CK665" s="2"/>
      <c r="CL665" s="139"/>
      <c r="CM665" s="3"/>
      <c r="CN665" s="3"/>
      <c r="CO665" s="3"/>
      <c r="CP665" s="3"/>
      <c r="CQ665" s="3"/>
      <c r="CR665" s="3"/>
      <c r="CS665" s="3"/>
      <c r="CT665" s="3"/>
      <c r="CU665" s="3"/>
      <c r="CV665" s="3"/>
      <c r="CW665" s="131"/>
      <c r="CX665" s="15"/>
      <c r="CY665" s="99"/>
      <c r="CZ665" s="149"/>
      <c r="DA665" s="134"/>
      <c r="DB665" s="134"/>
      <c r="DC665" s="137"/>
      <c r="DD665" s="150"/>
      <c r="DE665" s="137"/>
      <c r="DF665" s="137"/>
      <c r="DG665" s="3"/>
      <c r="DH665" s="138"/>
      <c r="DI665" s="2"/>
      <c r="DJ665" s="139"/>
      <c r="DK665" s="3"/>
      <c r="DL665" s="3"/>
      <c r="DM665" s="3"/>
      <c r="DN665" s="3"/>
      <c r="DO665" s="3"/>
      <c r="DP665" s="3"/>
      <c r="DQ665" s="3"/>
      <c r="DR665" s="3"/>
      <c r="DS665" s="3"/>
      <c r="DT665" s="3"/>
      <c r="DU665" s="131"/>
      <c r="DV665" s="15"/>
      <c r="DW665" s="99"/>
      <c r="DX665" s="149"/>
      <c r="DY665" s="134"/>
      <c r="DZ665" s="134"/>
      <c r="EA665" s="137"/>
      <c r="EB665" s="150"/>
      <c r="EC665" s="137"/>
      <c r="ED665" s="137"/>
      <c r="EE665" s="3"/>
      <c r="EF665" s="138"/>
      <c r="EG665" s="2"/>
      <c r="EH665" s="139"/>
      <c r="EI665" s="3"/>
      <c r="EJ665" s="3"/>
      <c r="EK665" s="3"/>
      <c r="EL665" s="3"/>
      <c r="EM665" s="3"/>
      <c r="EN665" s="3"/>
      <c r="EO665" s="3"/>
      <c r="EP665" s="3"/>
      <c r="EQ665" s="3"/>
      <c r="ER665" s="3"/>
      <c r="ES665" s="131"/>
      <c r="ET665" s="15"/>
      <c r="EU665" s="99"/>
      <c r="EV665" s="149"/>
      <c r="EW665" s="134"/>
      <c r="EX665" s="134"/>
      <c r="EY665" s="137"/>
      <c r="EZ665" s="150"/>
      <c r="FA665" s="137"/>
      <c r="FB665" s="137"/>
      <c r="FC665" s="3"/>
      <c r="FD665" s="138"/>
      <c r="FE665" s="2"/>
      <c r="FF665" s="139"/>
      <c r="FG665" s="3"/>
      <c r="FH665" s="3"/>
      <c r="FI665" s="3"/>
      <c r="FJ665" s="3"/>
      <c r="FK665" s="3"/>
      <c r="FL665" s="3"/>
      <c r="FM665" s="3"/>
      <c r="FN665" s="3"/>
      <c r="FO665" s="3"/>
      <c r="FP665" s="3"/>
      <c r="FQ665" s="131"/>
      <c r="FR665" s="15"/>
      <c r="FS665" s="99"/>
      <c r="FT665" s="149"/>
      <c r="FU665" s="134"/>
      <c r="FV665" s="134"/>
      <c r="FW665" s="137"/>
      <c r="FX665" s="150"/>
      <c r="FY665" s="137"/>
      <c r="FZ665" s="137"/>
      <c r="GA665" s="3"/>
      <c r="GB665" s="138"/>
      <c r="GC665" s="2"/>
      <c r="GD665" s="139"/>
      <c r="GE665" s="3"/>
      <c r="GF665" s="3"/>
    </row>
    <row r="666" spans="1:188" s="125" customFormat="1">
      <c r="A666" s="86"/>
      <c r="B666" s="56"/>
      <c r="C666" s="18"/>
      <c r="D666" s="19"/>
      <c r="E666" s="20"/>
      <c r="F666" s="24"/>
      <c r="G666" s="238"/>
      <c r="H666" s="121"/>
      <c r="I666" s="24"/>
      <c r="J666" s="199"/>
      <c r="K666" s="24"/>
      <c r="L666" s="24"/>
      <c r="M666" s="24"/>
      <c r="N666" s="129"/>
      <c r="O666" s="108"/>
      <c r="P666" s="3"/>
      <c r="Q666" s="3"/>
      <c r="R666" s="3"/>
      <c r="S666" s="3"/>
      <c r="T666" s="3"/>
      <c r="U666" s="3"/>
      <c r="V666" s="131"/>
      <c r="W666" s="15"/>
      <c r="X666" s="3"/>
      <c r="Y666" s="3"/>
      <c r="Z666" s="3"/>
      <c r="AA666" s="3"/>
      <c r="AB666" s="3"/>
      <c r="AC666" s="131"/>
      <c r="AD666" s="15"/>
      <c r="AE666" s="99"/>
      <c r="AF666" s="149"/>
      <c r="AG666" s="134"/>
      <c r="AH666" s="134"/>
      <c r="AI666" s="137"/>
      <c r="AJ666" s="150"/>
      <c r="AK666" s="137"/>
      <c r="AL666" s="137"/>
      <c r="AM666" s="3"/>
      <c r="AN666" s="138"/>
      <c r="AO666" s="2"/>
      <c r="AP666" s="139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131"/>
      <c r="BB666" s="15"/>
      <c r="BC666" s="99"/>
      <c r="BD666" s="149"/>
      <c r="BE666" s="134"/>
      <c r="BF666" s="134"/>
      <c r="BG666" s="137"/>
      <c r="BH666" s="150"/>
      <c r="BI666" s="137"/>
      <c r="BJ666" s="137"/>
      <c r="BK666" s="3"/>
      <c r="BL666" s="138"/>
      <c r="BM666" s="2"/>
      <c r="BN666" s="139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131"/>
      <c r="BZ666" s="15"/>
      <c r="CA666" s="99"/>
      <c r="CB666" s="149"/>
      <c r="CC666" s="134"/>
      <c r="CD666" s="134"/>
      <c r="CE666" s="137"/>
      <c r="CF666" s="150"/>
      <c r="CG666" s="137"/>
      <c r="CH666" s="137"/>
      <c r="CI666" s="3"/>
      <c r="CJ666" s="138"/>
      <c r="CK666" s="2"/>
      <c r="CL666" s="139"/>
      <c r="CM666" s="3"/>
      <c r="CN666" s="3"/>
      <c r="CO666" s="3"/>
      <c r="CP666" s="3"/>
      <c r="CQ666" s="3"/>
      <c r="CR666" s="3"/>
      <c r="CS666" s="3"/>
      <c r="CT666" s="3"/>
      <c r="CU666" s="3"/>
      <c r="CV666" s="3"/>
      <c r="CW666" s="131"/>
      <c r="CX666" s="15"/>
      <c r="CY666" s="99"/>
      <c r="CZ666" s="149"/>
      <c r="DA666" s="134"/>
      <c r="DB666" s="134"/>
      <c r="DC666" s="137"/>
      <c r="DD666" s="150"/>
      <c r="DE666" s="137"/>
      <c r="DF666" s="137"/>
      <c r="DG666" s="3"/>
      <c r="DH666" s="138"/>
      <c r="DI666" s="2"/>
      <c r="DJ666" s="139"/>
      <c r="DK666" s="3"/>
      <c r="DL666" s="3"/>
      <c r="DM666" s="3"/>
      <c r="DN666" s="3"/>
      <c r="DO666" s="3"/>
      <c r="DP666" s="3"/>
      <c r="DQ666" s="3"/>
      <c r="DR666" s="3"/>
      <c r="DS666" s="3"/>
      <c r="DT666" s="3"/>
      <c r="DU666" s="131"/>
      <c r="DV666" s="15"/>
      <c r="DW666" s="99"/>
      <c r="DX666" s="149"/>
      <c r="DY666" s="134"/>
      <c r="DZ666" s="134"/>
      <c r="EA666" s="137"/>
      <c r="EB666" s="150"/>
      <c r="EC666" s="137"/>
      <c r="ED666" s="137"/>
      <c r="EE666" s="3"/>
      <c r="EF666" s="138"/>
      <c r="EG666" s="2"/>
      <c r="EH666" s="139"/>
      <c r="EI666" s="3"/>
      <c r="EJ666" s="3"/>
      <c r="EK666" s="3"/>
      <c r="EL666" s="3"/>
      <c r="EM666" s="3"/>
      <c r="EN666" s="3"/>
      <c r="EO666" s="3"/>
      <c r="EP666" s="3"/>
      <c r="EQ666" s="3"/>
      <c r="ER666" s="3"/>
      <c r="ES666" s="131"/>
      <c r="ET666" s="15"/>
      <c r="EU666" s="99"/>
      <c r="EV666" s="149"/>
      <c r="EW666" s="134"/>
      <c r="EX666" s="134"/>
      <c r="EY666" s="137"/>
      <c r="EZ666" s="150"/>
      <c r="FA666" s="137"/>
      <c r="FB666" s="137"/>
      <c r="FC666" s="3"/>
      <c r="FD666" s="138"/>
      <c r="FE666" s="2"/>
      <c r="FF666" s="139"/>
      <c r="FG666" s="3"/>
      <c r="FH666" s="3"/>
      <c r="FI666" s="3"/>
      <c r="FJ666" s="3"/>
      <c r="FK666" s="3"/>
      <c r="FL666" s="3"/>
      <c r="FM666" s="3"/>
      <c r="FN666" s="3"/>
      <c r="FO666" s="3"/>
      <c r="FP666" s="3"/>
      <c r="FQ666" s="131"/>
      <c r="FR666" s="15"/>
      <c r="FS666" s="99"/>
      <c r="FT666" s="149"/>
      <c r="FU666" s="134"/>
      <c r="FV666" s="134"/>
      <c r="FW666" s="137"/>
      <c r="FX666" s="150"/>
      <c r="FY666" s="137"/>
      <c r="FZ666" s="137"/>
      <c r="GA666" s="3"/>
      <c r="GB666" s="138"/>
      <c r="GC666" s="2"/>
      <c r="GD666" s="139"/>
      <c r="GE666" s="3"/>
      <c r="GF666" s="3"/>
    </row>
    <row r="667" spans="1:188" s="125" customFormat="1">
      <c r="A667" s="86"/>
      <c r="B667" s="56"/>
      <c r="C667" s="18"/>
      <c r="D667" s="19"/>
      <c r="E667" s="20"/>
      <c r="F667" s="24"/>
      <c r="G667" s="238"/>
      <c r="H667" s="121"/>
      <c r="I667" s="24"/>
      <c r="J667" s="199"/>
      <c r="K667" s="24"/>
      <c r="L667" s="24"/>
      <c r="M667" s="24"/>
      <c r="N667" s="129"/>
      <c r="O667" s="108"/>
      <c r="P667" s="3"/>
      <c r="Q667" s="3"/>
      <c r="R667" s="3"/>
      <c r="S667" s="3"/>
      <c r="T667" s="3"/>
      <c r="U667" s="3"/>
      <c r="V667" s="131"/>
      <c r="W667" s="15"/>
      <c r="X667" s="3"/>
      <c r="Y667" s="3"/>
      <c r="Z667" s="3"/>
      <c r="AA667" s="3"/>
      <c r="AB667" s="3"/>
      <c r="AC667" s="131"/>
      <c r="AD667" s="15"/>
      <c r="AE667" s="99"/>
      <c r="AF667" s="149"/>
      <c r="AG667" s="134"/>
      <c r="AH667" s="134"/>
      <c r="AI667" s="137"/>
      <c r="AJ667" s="150"/>
      <c r="AK667" s="137"/>
      <c r="AL667" s="137"/>
      <c r="AM667" s="3"/>
      <c r="AN667" s="138"/>
      <c r="AO667" s="2"/>
      <c r="AP667" s="139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131"/>
      <c r="BB667" s="15"/>
      <c r="BC667" s="99"/>
      <c r="BD667" s="149"/>
      <c r="BE667" s="134"/>
      <c r="BF667" s="134"/>
      <c r="BG667" s="137"/>
      <c r="BH667" s="150"/>
      <c r="BI667" s="137"/>
      <c r="BJ667" s="137"/>
      <c r="BK667" s="3"/>
      <c r="BL667" s="138"/>
      <c r="BM667" s="2"/>
      <c r="BN667" s="139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131"/>
      <c r="BZ667" s="15"/>
      <c r="CA667" s="99"/>
      <c r="CB667" s="149"/>
      <c r="CC667" s="134"/>
      <c r="CD667" s="134"/>
      <c r="CE667" s="137"/>
      <c r="CF667" s="150"/>
      <c r="CG667" s="137"/>
      <c r="CH667" s="137"/>
      <c r="CI667" s="3"/>
      <c r="CJ667" s="138"/>
      <c r="CK667" s="2"/>
      <c r="CL667" s="139"/>
      <c r="CM667" s="3"/>
      <c r="CN667" s="3"/>
      <c r="CO667" s="3"/>
      <c r="CP667" s="3"/>
      <c r="CQ667" s="3"/>
      <c r="CR667" s="3"/>
      <c r="CS667" s="3"/>
      <c r="CT667" s="3"/>
      <c r="CU667" s="3"/>
      <c r="CV667" s="3"/>
      <c r="CW667" s="131"/>
      <c r="CX667" s="15"/>
      <c r="CY667" s="99"/>
      <c r="CZ667" s="149"/>
      <c r="DA667" s="134"/>
      <c r="DB667" s="134"/>
      <c r="DC667" s="137"/>
      <c r="DD667" s="150"/>
      <c r="DE667" s="137"/>
      <c r="DF667" s="137"/>
      <c r="DG667" s="3"/>
      <c r="DH667" s="138"/>
      <c r="DI667" s="2"/>
      <c r="DJ667" s="139"/>
      <c r="DK667" s="3"/>
      <c r="DL667" s="3"/>
      <c r="DM667" s="3"/>
      <c r="DN667" s="3"/>
      <c r="DO667" s="3"/>
      <c r="DP667" s="3"/>
      <c r="DQ667" s="3"/>
      <c r="DR667" s="3"/>
      <c r="DS667" s="3"/>
      <c r="DT667" s="3"/>
      <c r="DU667" s="131"/>
      <c r="DV667" s="15"/>
      <c r="DW667" s="99"/>
      <c r="DX667" s="149"/>
      <c r="DY667" s="134"/>
      <c r="DZ667" s="134"/>
      <c r="EA667" s="137"/>
      <c r="EB667" s="150"/>
      <c r="EC667" s="137"/>
      <c r="ED667" s="137"/>
      <c r="EE667" s="3"/>
      <c r="EF667" s="138"/>
      <c r="EG667" s="2"/>
      <c r="EH667" s="139"/>
      <c r="EI667" s="3"/>
      <c r="EJ667" s="3"/>
      <c r="EK667" s="3"/>
      <c r="EL667" s="3"/>
      <c r="EM667" s="3"/>
      <c r="EN667" s="3"/>
      <c r="EO667" s="3"/>
      <c r="EP667" s="3"/>
      <c r="EQ667" s="3"/>
      <c r="ER667" s="3"/>
      <c r="ES667" s="131"/>
      <c r="ET667" s="15"/>
      <c r="EU667" s="99"/>
      <c r="EV667" s="149"/>
      <c r="EW667" s="134"/>
      <c r="EX667" s="134"/>
      <c r="EY667" s="137"/>
      <c r="EZ667" s="150"/>
      <c r="FA667" s="137"/>
      <c r="FB667" s="137"/>
      <c r="FC667" s="3"/>
      <c r="FD667" s="138"/>
      <c r="FE667" s="2"/>
      <c r="FF667" s="139"/>
      <c r="FG667" s="3"/>
      <c r="FH667" s="3"/>
      <c r="FI667" s="3"/>
      <c r="FJ667" s="3"/>
      <c r="FK667" s="3"/>
      <c r="FL667" s="3"/>
      <c r="FM667" s="3"/>
      <c r="FN667" s="3"/>
      <c r="FO667" s="3"/>
      <c r="FP667" s="3"/>
      <c r="FQ667" s="131"/>
      <c r="FR667" s="15"/>
      <c r="FS667" s="99"/>
      <c r="FT667" s="149"/>
      <c r="FU667" s="134"/>
      <c r="FV667" s="134"/>
      <c r="FW667" s="137"/>
      <c r="FX667" s="150"/>
      <c r="FY667" s="137"/>
      <c r="FZ667" s="137"/>
      <c r="GA667" s="3"/>
      <c r="GB667" s="138"/>
      <c r="GC667" s="2"/>
      <c r="GD667" s="139"/>
      <c r="GE667" s="3"/>
      <c r="GF667" s="3"/>
    </row>
    <row r="668" spans="1:188" s="125" customFormat="1">
      <c r="A668" s="86"/>
      <c r="B668" s="56"/>
      <c r="C668" s="18"/>
      <c r="D668" s="19"/>
      <c r="E668" s="20"/>
      <c r="F668" s="24"/>
      <c r="G668" s="238"/>
      <c r="H668" s="121"/>
      <c r="I668" s="24"/>
      <c r="J668" s="199"/>
      <c r="K668" s="24"/>
      <c r="L668" s="24"/>
      <c r="M668" s="24"/>
      <c r="N668" s="129"/>
      <c r="O668" s="108"/>
      <c r="P668" s="3"/>
      <c r="Q668" s="3"/>
      <c r="R668" s="3"/>
      <c r="S668" s="3"/>
      <c r="T668" s="3"/>
      <c r="U668" s="3"/>
      <c r="V668" s="131"/>
      <c r="W668" s="15"/>
      <c r="X668" s="3"/>
      <c r="Y668" s="3"/>
      <c r="Z668" s="3"/>
      <c r="AA668" s="3"/>
      <c r="AB668" s="3"/>
      <c r="AC668" s="131"/>
      <c r="AD668" s="15"/>
      <c r="AE668" s="99"/>
      <c r="AF668" s="149"/>
      <c r="AG668" s="134"/>
      <c r="AH668" s="134"/>
      <c r="AI668" s="137"/>
      <c r="AJ668" s="150"/>
      <c r="AK668" s="137"/>
      <c r="AL668" s="137"/>
      <c r="AM668" s="3"/>
      <c r="AN668" s="138"/>
      <c r="AO668" s="2"/>
      <c r="AP668" s="139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131"/>
      <c r="BB668" s="15"/>
      <c r="BC668" s="99"/>
      <c r="BD668" s="149"/>
      <c r="BE668" s="134"/>
      <c r="BF668" s="134"/>
      <c r="BG668" s="137"/>
      <c r="BH668" s="150"/>
      <c r="BI668" s="137"/>
      <c r="BJ668" s="137"/>
      <c r="BK668" s="3"/>
      <c r="BL668" s="138"/>
      <c r="BM668" s="2"/>
      <c r="BN668" s="139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131"/>
      <c r="BZ668" s="15"/>
      <c r="CA668" s="99"/>
      <c r="CB668" s="149"/>
      <c r="CC668" s="134"/>
      <c r="CD668" s="134"/>
      <c r="CE668" s="137"/>
      <c r="CF668" s="150"/>
      <c r="CG668" s="137"/>
      <c r="CH668" s="137"/>
      <c r="CI668" s="3"/>
      <c r="CJ668" s="138"/>
      <c r="CK668" s="2"/>
      <c r="CL668" s="139"/>
      <c r="CM668" s="3"/>
      <c r="CN668" s="3"/>
      <c r="CO668" s="3"/>
      <c r="CP668" s="3"/>
      <c r="CQ668" s="3"/>
      <c r="CR668" s="3"/>
      <c r="CS668" s="3"/>
      <c r="CT668" s="3"/>
      <c r="CU668" s="3"/>
      <c r="CV668" s="3"/>
      <c r="CW668" s="131"/>
      <c r="CX668" s="15"/>
      <c r="CY668" s="99"/>
      <c r="CZ668" s="149"/>
      <c r="DA668" s="134"/>
      <c r="DB668" s="134"/>
      <c r="DC668" s="137"/>
      <c r="DD668" s="150"/>
      <c r="DE668" s="137"/>
      <c r="DF668" s="137"/>
      <c r="DG668" s="3"/>
      <c r="DH668" s="138"/>
      <c r="DI668" s="2"/>
      <c r="DJ668" s="139"/>
      <c r="DK668" s="3"/>
      <c r="DL668" s="3"/>
      <c r="DM668" s="3"/>
      <c r="DN668" s="3"/>
      <c r="DO668" s="3"/>
      <c r="DP668" s="3"/>
      <c r="DQ668" s="3"/>
      <c r="DR668" s="3"/>
      <c r="DS668" s="3"/>
      <c r="DT668" s="3"/>
      <c r="DU668" s="131"/>
      <c r="DV668" s="15"/>
      <c r="DW668" s="99"/>
      <c r="DX668" s="149"/>
      <c r="DY668" s="134"/>
      <c r="DZ668" s="134"/>
      <c r="EA668" s="137"/>
      <c r="EB668" s="150"/>
      <c r="EC668" s="137"/>
      <c r="ED668" s="137"/>
      <c r="EE668" s="3"/>
      <c r="EF668" s="138"/>
      <c r="EG668" s="2"/>
      <c r="EH668" s="139"/>
      <c r="EI668" s="3"/>
      <c r="EJ668" s="3"/>
      <c r="EK668" s="3"/>
      <c r="EL668" s="3"/>
      <c r="EM668" s="3"/>
      <c r="EN668" s="3"/>
      <c r="EO668" s="3"/>
      <c r="EP668" s="3"/>
      <c r="EQ668" s="3"/>
      <c r="ER668" s="3"/>
      <c r="ES668" s="131"/>
      <c r="ET668" s="15"/>
      <c r="EU668" s="99"/>
      <c r="EV668" s="149"/>
      <c r="EW668" s="134"/>
      <c r="EX668" s="134"/>
      <c r="EY668" s="137"/>
      <c r="EZ668" s="150"/>
      <c r="FA668" s="137"/>
      <c r="FB668" s="137"/>
      <c r="FC668" s="3"/>
      <c r="FD668" s="138"/>
      <c r="FE668" s="2"/>
      <c r="FF668" s="139"/>
      <c r="FG668" s="3"/>
      <c r="FH668" s="3"/>
      <c r="FI668" s="3"/>
      <c r="FJ668" s="3"/>
      <c r="FK668" s="3"/>
      <c r="FL668" s="3"/>
      <c r="FM668" s="3"/>
      <c r="FN668" s="3"/>
      <c r="FO668" s="3"/>
      <c r="FP668" s="3"/>
      <c r="FQ668" s="131"/>
      <c r="FR668" s="15"/>
      <c r="FS668" s="99"/>
      <c r="FT668" s="149"/>
      <c r="FU668" s="134"/>
      <c r="FV668" s="134"/>
      <c r="FW668" s="137"/>
      <c r="FX668" s="150"/>
      <c r="FY668" s="137"/>
      <c r="FZ668" s="137"/>
      <c r="GA668" s="3"/>
      <c r="GB668" s="138"/>
      <c r="GC668" s="2"/>
      <c r="GD668" s="139"/>
      <c r="GE668" s="3"/>
      <c r="GF668" s="3"/>
    </row>
    <row r="669" spans="1:188" s="125" customFormat="1">
      <c r="A669" s="86"/>
      <c r="B669" s="56"/>
      <c r="C669" s="18"/>
      <c r="D669" s="19"/>
      <c r="E669" s="20"/>
      <c r="F669" s="24"/>
      <c r="G669" s="238"/>
      <c r="H669" s="121"/>
      <c r="I669" s="24"/>
      <c r="J669" s="199"/>
      <c r="K669" s="24"/>
      <c r="L669" s="24"/>
      <c r="M669" s="24"/>
      <c r="N669" s="129"/>
      <c r="O669" s="108"/>
      <c r="P669" s="3"/>
      <c r="Q669" s="3"/>
      <c r="R669" s="3"/>
      <c r="S669" s="3"/>
      <c r="T669" s="3"/>
      <c r="U669" s="3"/>
      <c r="V669" s="131"/>
      <c r="W669" s="15"/>
      <c r="X669" s="3"/>
      <c r="Y669" s="3"/>
      <c r="Z669" s="3"/>
      <c r="AA669" s="3"/>
      <c r="AB669" s="3"/>
      <c r="AC669" s="131"/>
      <c r="AD669" s="15"/>
      <c r="AE669" s="99"/>
      <c r="AF669" s="149"/>
      <c r="AG669" s="134"/>
      <c r="AH669" s="134"/>
      <c r="AI669" s="137"/>
      <c r="AJ669" s="150"/>
      <c r="AK669" s="137"/>
      <c r="AL669" s="137"/>
      <c r="AM669" s="3"/>
      <c r="AN669" s="138"/>
      <c r="AO669" s="2"/>
      <c r="AP669" s="139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131"/>
      <c r="BB669" s="15"/>
      <c r="BC669" s="99"/>
      <c r="BD669" s="149"/>
      <c r="BE669" s="134"/>
      <c r="BF669" s="134"/>
      <c r="BG669" s="137"/>
      <c r="BH669" s="150"/>
      <c r="BI669" s="137"/>
      <c r="BJ669" s="137"/>
      <c r="BK669" s="3"/>
      <c r="BL669" s="138"/>
      <c r="BM669" s="2"/>
      <c r="BN669" s="139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131"/>
      <c r="BZ669" s="15"/>
      <c r="CA669" s="99"/>
      <c r="CB669" s="149"/>
      <c r="CC669" s="134"/>
      <c r="CD669" s="134"/>
      <c r="CE669" s="137"/>
      <c r="CF669" s="150"/>
      <c r="CG669" s="137"/>
      <c r="CH669" s="137"/>
      <c r="CI669" s="3"/>
      <c r="CJ669" s="138"/>
      <c r="CK669" s="2"/>
      <c r="CL669" s="139"/>
      <c r="CM669" s="3"/>
      <c r="CN669" s="3"/>
      <c r="CO669" s="3"/>
      <c r="CP669" s="3"/>
      <c r="CQ669" s="3"/>
      <c r="CR669" s="3"/>
      <c r="CS669" s="3"/>
      <c r="CT669" s="3"/>
      <c r="CU669" s="3"/>
      <c r="CV669" s="3"/>
      <c r="CW669" s="131"/>
      <c r="CX669" s="15"/>
      <c r="CY669" s="99"/>
      <c r="CZ669" s="149"/>
      <c r="DA669" s="134"/>
      <c r="DB669" s="134"/>
      <c r="DC669" s="137"/>
      <c r="DD669" s="150"/>
      <c r="DE669" s="137"/>
      <c r="DF669" s="137"/>
      <c r="DG669" s="3"/>
      <c r="DH669" s="138"/>
      <c r="DI669" s="2"/>
      <c r="DJ669" s="139"/>
      <c r="DK669" s="3"/>
      <c r="DL669" s="3"/>
      <c r="DM669" s="3"/>
      <c r="DN669" s="3"/>
      <c r="DO669" s="3"/>
      <c r="DP669" s="3"/>
      <c r="DQ669" s="3"/>
      <c r="DR669" s="3"/>
      <c r="DS669" s="3"/>
      <c r="DT669" s="3"/>
      <c r="DU669" s="131"/>
      <c r="DV669" s="15"/>
      <c r="DW669" s="99"/>
      <c r="DX669" s="149"/>
      <c r="DY669" s="134"/>
      <c r="DZ669" s="134"/>
      <c r="EA669" s="137"/>
      <c r="EB669" s="150"/>
      <c r="EC669" s="137"/>
      <c r="ED669" s="137"/>
      <c r="EE669" s="3"/>
      <c r="EF669" s="138"/>
      <c r="EG669" s="2"/>
      <c r="EH669" s="139"/>
      <c r="EI669" s="3"/>
      <c r="EJ669" s="3"/>
      <c r="EK669" s="3"/>
      <c r="EL669" s="3"/>
      <c r="EM669" s="3"/>
      <c r="EN669" s="3"/>
      <c r="EO669" s="3"/>
      <c r="EP669" s="3"/>
      <c r="EQ669" s="3"/>
      <c r="ER669" s="3"/>
      <c r="ES669" s="131"/>
      <c r="ET669" s="15"/>
      <c r="EU669" s="99"/>
      <c r="EV669" s="149"/>
      <c r="EW669" s="134"/>
      <c r="EX669" s="134"/>
      <c r="EY669" s="137"/>
      <c r="EZ669" s="150"/>
      <c r="FA669" s="137"/>
      <c r="FB669" s="137"/>
      <c r="FC669" s="3"/>
      <c r="FD669" s="138"/>
      <c r="FE669" s="2"/>
      <c r="FF669" s="139"/>
      <c r="FG669" s="3"/>
      <c r="FH669" s="3"/>
      <c r="FI669" s="3"/>
      <c r="FJ669" s="3"/>
      <c r="FK669" s="3"/>
      <c r="FL669" s="3"/>
      <c r="FM669" s="3"/>
      <c r="FN669" s="3"/>
      <c r="FO669" s="3"/>
      <c r="FP669" s="3"/>
      <c r="FQ669" s="131"/>
      <c r="FR669" s="15"/>
      <c r="FS669" s="99"/>
      <c r="FT669" s="149"/>
      <c r="FU669" s="134"/>
      <c r="FV669" s="134"/>
      <c r="FW669" s="137"/>
      <c r="FX669" s="150"/>
      <c r="FY669" s="137"/>
      <c r="FZ669" s="137"/>
      <c r="GA669" s="3"/>
      <c r="GB669" s="138"/>
      <c r="GC669" s="2"/>
      <c r="GD669" s="139"/>
      <c r="GE669" s="3"/>
      <c r="GF669" s="3"/>
    </row>
    <row r="670" spans="1:188" s="125" customFormat="1">
      <c r="A670" s="86"/>
      <c r="B670" s="56"/>
      <c r="C670" s="18"/>
      <c r="D670" s="19"/>
      <c r="E670" s="20"/>
      <c r="F670" s="24"/>
      <c r="G670" s="238"/>
      <c r="H670" s="121"/>
      <c r="I670" s="24"/>
      <c r="J670" s="199"/>
      <c r="K670" s="24"/>
      <c r="L670" s="24"/>
      <c r="M670" s="24"/>
      <c r="N670" s="129"/>
      <c r="O670" s="108"/>
      <c r="P670" s="3"/>
      <c r="Q670" s="3"/>
      <c r="R670" s="3"/>
      <c r="S670" s="3"/>
      <c r="T670" s="3"/>
      <c r="U670" s="3"/>
      <c r="V670" s="131"/>
      <c r="W670" s="15"/>
      <c r="X670" s="3"/>
      <c r="Y670" s="3"/>
      <c r="Z670" s="3"/>
      <c r="AA670" s="3"/>
      <c r="AB670" s="3"/>
      <c r="AC670" s="131"/>
      <c r="AD670" s="15"/>
      <c r="AE670" s="99"/>
      <c r="AF670" s="149"/>
      <c r="AG670" s="134"/>
      <c r="AH670" s="134"/>
      <c r="AI670" s="137"/>
      <c r="AJ670" s="150"/>
      <c r="AK670" s="137"/>
      <c r="AL670" s="137"/>
      <c r="AM670" s="3"/>
      <c r="AN670" s="138"/>
      <c r="AO670" s="2"/>
      <c r="AP670" s="139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131"/>
      <c r="BB670" s="15"/>
      <c r="BC670" s="99"/>
      <c r="BD670" s="149"/>
      <c r="BE670" s="134"/>
      <c r="BF670" s="134"/>
      <c r="BG670" s="137"/>
      <c r="BH670" s="150"/>
      <c r="BI670" s="137"/>
      <c r="BJ670" s="137"/>
      <c r="BK670" s="3"/>
      <c r="BL670" s="138"/>
      <c r="BM670" s="2"/>
      <c r="BN670" s="139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131"/>
      <c r="BZ670" s="15"/>
      <c r="CA670" s="99"/>
      <c r="CB670" s="149"/>
      <c r="CC670" s="134"/>
      <c r="CD670" s="134"/>
      <c r="CE670" s="137"/>
      <c r="CF670" s="150"/>
      <c r="CG670" s="137"/>
      <c r="CH670" s="137"/>
      <c r="CI670" s="3"/>
      <c r="CJ670" s="138"/>
      <c r="CK670" s="2"/>
      <c r="CL670" s="139"/>
      <c r="CM670" s="3"/>
      <c r="CN670" s="3"/>
      <c r="CO670" s="3"/>
      <c r="CP670" s="3"/>
      <c r="CQ670" s="3"/>
      <c r="CR670" s="3"/>
      <c r="CS670" s="3"/>
      <c r="CT670" s="3"/>
      <c r="CU670" s="3"/>
      <c r="CV670" s="3"/>
      <c r="CW670" s="131"/>
      <c r="CX670" s="15"/>
      <c r="CY670" s="99"/>
      <c r="CZ670" s="149"/>
      <c r="DA670" s="134"/>
      <c r="DB670" s="134"/>
      <c r="DC670" s="137"/>
      <c r="DD670" s="150"/>
      <c r="DE670" s="137"/>
      <c r="DF670" s="137"/>
      <c r="DG670" s="3"/>
      <c r="DH670" s="138"/>
      <c r="DI670" s="2"/>
      <c r="DJ670" s="139"/>
      <c r="DK670" s="3"/>
      <c r="DL670" s="3"/>
      <c r="DM670" s="3"/>
      <c r="DN670" s="3"/>
      <c r="DO670" s="3"/>
      <c r="DP670" s="3"/>
      <c r="DQ670" s="3"/>
      <c r="DR670" s="3"/>
      <c r="DS670" s="3"/>
      <c r="DT670" s="3"/>
      <c r="DU670" s="131"/>
      <c r="DV670" s="15"/>
      <c r="DW670" s="99"/>
      <c r="DX670" s="149"/>
      <c r="DY670" s="134"/>
      <c r="DZ670" s="134"/>
      <c r="EA670" s="137"/>
      <c r="EB670" s="150"/>
      <c r="EC670" s="137"/>
      <c r="ED670" s="137"/>
      <c r="EE670" s="3"/>
      <c r="EF670" s="138"/>
      <c r="EG670" s="2"/>
      <c r="EH670" s="139"/>
      <c r="EI670" s="3"/>
      <c r="EJ670" s="3"/>
      <c r="EK670" s="3"/>
      <c r="EL670" s="3"/>
      <c r="EM670" s="3"/>
      <c r="EN670" s="3"/>
      <c r="EO670" s="3"/>
      <c r="EP670" s="3"/>
      <c r="EQ670" s="3"/>
      <c r="ER670" s="3"/>
      <c r="ES670" s="131"/>
      <c r="ET670" s="15"/>
      <c r="EU670" s="99"/>
      <c r="EV670" s="149"/>
      <c r="EW670" s="134"/>
      <c r="EX670" s="134"/>
      <c r="EY670" s="137"/>
      <c r="EZ670" s="150"/>
      <c r="FA670" s="137"/>
      <c r="FB670" s="137"/>
      <c r="FC670" s="3"/>
      <c r="FD670" s="138"/>
      <c r="FE670" s="2"/>
      <c r="FF670" s="139"/>
      <c r="FG670" s="3"/>
      <c r="FH670" s="3"/>
      <c r="FI670" s="3"/>
      <c r="FJ670" s="3"/>
      <c r="FK670" s="3"/>
      <c r="FL670" s="3"/>
      <c r="FM670" s="3"/>
      <c r="FN670" s="3"/>
      <c r="FO670" s="3"/>
      <c r="FP670" s="3"/>
      <c r="FQ670" s="131"/>
      <c r="FR670" s="15"/>
      <c r="FS670" s="99"/>
      <c r="FT670" s="149"/>
      <c r="FU670" s="134"/>
      <c r="FV670" s="134"/>
      <c r="FW670" s="137"/>
      <c r="FX670" s="150"/>
      <c r="FY670" s="137"/>
      <c r="FZ670" s="137"/>
      <c r="GA670" s="3"/>
      <c r="GB670" s="138"/>
      <c r="GC670" s="2"/>
      <c r="GD670" s="139"/>
      <c r="GE670" s="3"/>
      <c r="GF670" s="3"/>
    </row>
    <row r="671" spans="1:188" s="125" customFormat="1">
      <c r="A671" s="86"/>
      <c r="B671" s="56"/>
      <c r="C671" s="18"/>
      <c r="D671" s="19"/>
      <c r="E671" s="20"/>
      <c r="F671" s="24"/>
      <c r="G671" s="238"/>
      <c r="H671" s="121"/>
      <c r="I671" s="24"/>
      <c r="J671" s="199"/>
      <c r="K671" s="24"/>
      <c r="L671" s="24"/>
      <c r="M671" s="24"/>
      <c r="N671" s="129"/>
      <c r="O671" s="108"/>
      <c r="P671" s="3"/>
      <c r="Q671" s="3"/>
      <c r="R671" s="3"/>
      <c r="S671" s="3"/>
      <c r="T671" s="3"/>
      <c r="U671" s="3"/>
      <c r="V671" s="131"/>
      <c r="W671" s="15"/>
      <c r="X671" s="3"/>
      <c r="Y671" s="3"/>
      <c r="Z671" s="3"/>
      <c r="AA671" s="3"/>
      <c r="AB671" s="3"/>
      <c r="AC671" s="131"/>
      <c r="AD671" s="15"/>
      <c r="AE671" s="99"/>
      <c r="AF671" s="149"/>
      <c r="AG671" s="134"/>
      <c r="AH671" s="134"/>
      <c r="AI671" s="137"/>
      <c r="AJ671" s="150"/>
      <c r="AK671" s="137"/>
      <c r="AL671" s="137"/>
      <c r="AM671" s="3"/>
      <c r="AN671" s="138"/>
      <c r="AO671" s="2"/>
      <c r="AP671" s="139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131"/>
      <c r="BB671" s="15"/>
      <c r="BC671" s="99"/>
      <c r="BD671" s="149"/>
      <c r="BE671" s="134"/>
      <c r="BF671" s="134"/>
      <c r="BG671" s="137"/>
      <c r="BH671" s="150"/>
      <c r="BI671" s="137"/>
      <c r="BJ671" s="137"/>
      <c r="BK671" s="3"/>
      <c r="BL671" s="138"/>
      <c r="BM671" s="2"/>
      <c r="BN671" s="139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131"/>
      <c r="BZ671" s="15"/>
      <c r="CA671" s="99"/>
      <c r="CB671" s="149"/>
      <c r="CC671" s="134"/>
      <c r="CD671" s="134"/>
      <c r="CE671" s="137"/>
      <c r="CF671" s="150"/>
      <c r="CG671" s="137"/>
      <c r="CH671" s="137"/>
      <c r="CI671" s="3"/>
      <c r="CJ671" s="138"/>
      <c r="CK671" s="2"/>
      <c r="CL671" s="139"/>
      <c r="CM671" s="3"/>
      <c r="CN671" s="3"/>
      <c r="CO671" s="3"/>
      <c r="CP671" s="3"/>
      <c r="CQ671" s="3"/>
      <c r="CR671" s="3"/>
      <c r="CS671" s="3"/>
      <c r="CT671" s="3"/>
      <c r="CU671" s="3"/>
      <c r="CV671" s="3"/>
      <c r="CW671" s="131"/>
      <c r="CX671" s="15"/>
      <c r="CY671" s="99"/>
      <c r="CZ671" s="149"/>
      <c r="DA671" s="134"/>
      <c r="DB671" s="134"/>
      <c r="DC671" s="137"/>
      <c r="DD671" s="150"/>
      <c r="DE671" s="137"/>
      <c r="DF671" s="137"/>
      <c r="DG671" s="3"/>
      <c r="DH671" s="138"/>
      <c r="DI671" s="2"/>
      <c r="DJ671" s="139"/>
      <c r="DK671" s="3"/>
      <c r="DL671" s="3"/>
      <c r="DM671" s="3"/>
      <c r="DN671" s="3"/>
      <c r="DO671" s="3"/>
      <c r="DP671" s="3"/>
      <c r="DQ671" s="3"/>
      <c r="DR671" s="3"/>
      <c r="DS671" s="3"/>
      <c r="DT671" s="3"/>
      <c r="DU671" s="131"/>
      <c r="DV671" s="15"/>
      <c r="DW671" s="99"/>
      <c r="DX671" s="149"/>
      <c r="DY671" s="134"/>
      <c r="DZ671" s="134"/>
      <c r="EA671" s="137"/>
      <c r="EB671" s="150"/>
      <c r="EC671" s="137"/>
      <c r="ED671" s="137"/>
      <c r="EE671" s="3"/>
      <c r="EF671" s="138"/>
      <c r="EG671" s="2"/>
      <c r="EH671" s="139"/>
      <c r="EI671" s="3"/>
      <c r="EJ671" s="3"/>
      <c r="EK671" s="3"/>
      <c r="EL671" s="3"/>
      <c r="EM671" s="3"/>
      <c r="EN671" s="3"/>
      <c r="EO671" s="3"/>
      <c r="EP671" s="3"/>
      <c r="EQ671" s="3"/>
      <c r="ER671" s="3"/>
      <c r="ES671" s="131"/>
      <c r="ET671" s="15"/>
      <c r="EU671" s="99"/>
      <c r="EV671" s="149"/>
      <c r="EW671" s="134"/>
      <c r="EX671" s="134"/>
      <c r="EY671" s="137"/>
      <c r="EZ671" s="150"/>
      <c r="FA671" s="137"/>
      <c r="FB671" s="137"/>
      <c r="FC671" s="3"/>
      <c r="FD671" s="138"/>
      <c r="FE671" s="2"/>
      <c r="FF671" s="139"/>
      <c r="FG671" s="3"/>
      <c r="FH671" s="3"/>
      <c r="FI671" s="3"/>
      <c r="FJ671" s="3"/>
      <c r="FK671" s="3"/>
      <c r="FL671" s="3"/>
      <c r="FM671" s="3"/>
      <c r="FN671" s="3"/>
      <c r="FO671" s="3"/>
      <c r="FP671" s="3"/>
      <c r="FQ671" s="131"/>
      <c r="FR671" s="15"/>
      <c r="FS671" s="99"/>
      <c r="FT671" s="149"/>
      <c r="FU671" s="134"/>
      <c r="FV671" s="134"/>
      <c r="FW671" s="137"/>
      <c r="FX671" s="150"/>
      <c r="FY671" s="137"/>
      <c r="FZ671" s="137"/>
      <c r="GA671" s="3"/>
      <c r="GB671" s="138"/>
      <c r="GC671" s="2"/>
      <c r="GD671" s="139"/>
      <c r="GE671" s="3"/>
      <c r="GF671" s="3"/>
    </row>
    <row r="672" spans="1:188" s="125" customFormat="1">
      <c r="A672" s="86"/>
      <c r="B672" s="56"/>
      <c r="C672" s="18"/>
      <c r="D672" s="19"/>
      <c r="E672" s="20"/>
      <c r="F672" s="24"/>
      <c r="G672" s="238"/>
      <c r="H672" s="121"/>
      <c r="I672" s="24"/>
      <c r="J672" s="199"/>
      <c r="K672" s="24"/>
      <c r="L672" s="24"/>
      <c r="M672" s="24"/>
      <c r="N672" s="129"/>
      <c r="O672" s="108"/>
      <c r="P672" s="3"/>
      <c r="Q672" s="3"/>
      <c r="R672" s="3"/>
      <c r="S672" s="3"/>
      <c r="T672" s="3"/>
      <c r="U672" s="3"/>
      <c r="V672" s="131"/>
      <c r="W672" s="15"/>
      <c r="X672" s="3"/>
      <c r="Y672" s="3"/>
      <c r="Z672" s="3"/>
      <c r="AA672" s="3"/>
      <c r="AB672" s="3"/>
      <c r="AC672" s="131"/>
      <c r="AD672" s="15"/>
      <c r="AE672" s="99"/>
      <c r="AF672" s="149"/>
      <c r="AG672" s="134"/>
      <c r="AH672" s="134"/>
      <c r="AI672" s="137"/>
      <c r="AJ672" s="150"/>
      <c r="AK672" s="137"/>
      <c r="AL672" s="137"/>
      <c r="AM672" s="3"/>
      <c r="AN672" s="138"/>
      <c r="AO672" s="2"/>
      <c r="AP672" s="139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131"/>
      <c r="BB672" s="15"/>
      <c r="BC672" s="99"/>
      <c r="BD672" s="149"/>
      <c r="BE672" s="134"/>
      <c r="BF672" s="134"/>
      <c r="BG672" s="137"/>
      <c r="BH672" s="150"/>
      <c r="BI672" s="137"/>
      <c r="BJ672" s="137"/>
      <c r="BK672" s="3"/>
      <c r="BL672" s="138"/>
      <c r="BM672" s="2"/>
      <c r="BN672" s="139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131"/>
      <c r="BZ672" s="15"/>
      <c r="CA672" s="99"/>
      <c r="CB672" s="149"/>
      <c r="CC672" s="134"/>
      <c r="CD672" s="134"/>
      <c r="CE672" s="137"/>
      <c r="CF672" s="150"/>
      <c r="CG672" s="137"/>
      <c r="CH672" s="137"/>
      <c r="CI672" s="3"/>
      <c r="CJ672" s="138"/>
      <c r="CK672" s="2"/>
      <c r="CL672" s="139"/>
      <c r="CM672" s="3"/>
      <c r="CN672" s="3"/>
      <c r="CO672" s="3"/>
      <c r="CP672" s="3"/>
      <c r="CQ672" s="3"/>
      <c r="CR672" s="3"/>
      <c r="CS672" s="3"/>
      <c r="CT672" s="3"/>
      <c r="CU672" s="3"/>
      <c r="CV672" s="3"/>
      <c r="CW672" s="131"/>
      <c r="CX672" s="15"/>
      <c r="CY672" s="99"/>
      <c r="CZ672" s="149"/>
      <c r="DA672" s="134"/>
      <c r="DB672" s="134"/>
      <c r="DC672" s="137"/>
      <c r="DD672" s="150"/>
      <c r="DE672" s="137"/>
      <c r="DF672" s="137"/>
      <c r="DG672" s="3"/>
      <c r="DH672" s="138"/>
      <c r="DI672" s="2"/>
      <c r="DJ672" s="139"/>
      <c r="DK672" s="3"/>
      <c r="DL672" s="3"/>
      <c r="DM672" s="3"/>
      <c r="DN672" s="3"/>
      <c r="DO672" s="3"/>
      <c r="DP672" s="3"/>
      <c r="DQ672" s="3"/>
      <c r="DR672" s="3"/>
      <c r="DS672" s="3"/>
      <c r="DT672" s="3"/>
      <c r="DU672" s="131"/>
      <c r="DV672" s="15"/>
      <c r="DW672" s="99"/>
      <c r="DX672" s="149"/>
      <c r="DY672" s="134"/>
      <c r="DZ672" s="134"/>
      <c r="EA672" s="137"/>
      <c r="EB672" s="150"/>
      <c r="EC672" s="137"/>
      <c r="ED672" s="137"/>
      <c r="EE672" s="3"/>
      <c r="EF672" s="138"/>
      <c r="EG672" s="2"/>
      <c r="EH672" s="139"/>
      <c r="EI672" s="3"/>
      <c r="EJ672" s="3"/>
      <c r="EK672" s="3"/>
      <c r="EL672" s="3"/>
      <c r="EM672" s="3"/>
      <c r="EN672" s="3"/>
      <c r="EO672" s="3"/>
      <c r="EP672" s="3"/>
      <c r="EQ672" s="3"/>
      <c r="ER672" s="3"/>
      <c r="ES672" s="131"/>
      <c r="ET672" s="15"/>
      <c r="EU672" s="99"/>
      <c r="EV672" s="149"/>
      <c r="EW672" s="134"/>
      <c r="EX672" s="134"/>
      <c r="EY672" s="137"/>
      <c r="EZ672" s="150"/>
      <c r="FA672" s="137"/>
      <c r="FB672" s="137"/>
      <c r="FC672" s="3"/>
      <c r="FD672" s="138"/>
      <c r="FE672" s="2"/>
      <c r="FF672" s="139"/>
      <c r="FG672" s="3"/>
      <c r="FH672" s="3"/>
      <c r="FI672" s="3"/>
      <c r="FJ672" s="3"/>
      <c r="FK672" s="3"/>
      <c r="FL672" s="3"/>
      <c r="FM672" s="3"/>
      <c r="FN672" s="3"/>
      <c r="FO672" s="3"/>
      <c r="FP672" s="3"/>
      <c r="FQ672" s="131"/>
      <c r="FR672" s="15"/>
      <c r="FS672" s="99"/>
      <c r="FT672" s="149"/>
      <c r="FU672" s="134"/>
      <c r="FV672" s="134"/>
      <c r="FW672" s="137"/>
      <c r="FX672" s="150"/>
      <c r="FY672" s="137"/>
      <c r="FZ672" s="137"/>
      <c r="GA672" s="3"/>
      <c r="GB672" s="138"/>
      <c r="GC672" s="2"/>
      <c r="GD672" s="139"/>
      <c r="GE672" s="3"/>
      <c r="GF672" s="3"/>
    </row>
    <row r="673" spans="1:188" s="125" customFormat="1">
      <c r="A673" s="16"/>
      <c r="B673" s="56"/>
      <c r="C673" s="18"/>
      <c r="D673" s="19"/>
      <c r="E673" s="20" t="s">
        <v>1424</v>
      </c>
      <c r="F673" s="274" t="s">
        <v>1425</v>
      </c>
      <c r="G673" s="63"/>
      <c r="H673" s="121"/>
      <c r="I673" s="275">
        <f>SUM(I514:I671)</f>
        <v>199002196</v>
      </c>
      <c r="J673" s="275">
        <f>SUM(J514:J671)</f>
        <v>105255238.80952382</v>
      </c>
      <c r="K673" s="275">
        <f t="shared" ref="K673" si="54">SUM(K514:K671)</f>
        <v>304257434.80952394</v>
      </c>
      <c r="L673" s="275">
        <f t="shared" ref="L673:M673" si="55">SUM(L514:L589)</f>
        <v>2</v>
      </c>
      <c r="M673" s="275">
        <f t="shared" si="55"/>
        <v>0</v>
      </c>
      <c r="N673" s="276">
        <f>SUM(N514:N671)</f>
        <v>304257434.80952394</v>
      </c>
      <c r="O673" s="108"/>
      <c r="P673" s="3"/>
      <c r="Q673" s="3"/>
      <c r="R673" s="3"/>
      <c r="S673" s="3"/>
      <c r="T673" s="3"/>
      <c r="U673" s="3"/>
      <c r="V673" s="131"/>
      <c r="W673" s="15"/>
      <c r="X673" s="3"/>
      <c r="Y673" s="3"/>
      <c r="Z673" s="3"/>
      <c r="AA673" s="3"/>
      <c r="AB673" s="3"/>
      <c r="AC673" s="131"/>
      <c r="AD673" s="15"/>
      <c r="AE673" s="99"/>
      <c r="AF673" s="149"/>
      <c r="AG673" s="134"/>
      <c r="AH673" s="134"/>
      <c r="AI673" s="137"/>
      <c r="AJ673" s="150"/>
      <c r="AK673" s="137"/>
      <c r="AL673" s="137"/>
      <c r="AM673" s="3"/>
      <c r="AN673" s="138"/>
      <c r="AO673" s="2"/>
      <c r="AP673" s="139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131"/>
      <c r="BB673" s="15"/>
      <c r="BC673" s="99"/>
      <c r="BD673" s="149"/>
      <c r="BE673" s="134"/>
      <c r="BF673" s="134"/>
      <c r="BG673" s="137"/>
      <c r="BH673" s="150"/>
      <c r="BI673" s="137"/>
      <c r="BJ673" s="137"/>
      <c r="BK673" s="3"/>
      <c r="BL673" s="138"/>
      <c r="BM673" s="2"/>
      <c r="BN673" s="139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131"/>
      <c r="BZ673" s="15"/>
      <c r="CA673" s="99"/>
      <c r="CB673" s="149"/>
      <c r="CC673" s="134"/>
      <c r="CD673" s="134"/>
      <c r="CE673" s="137"/>
      <c r="CF673" s="150"/>
      <c r="CG673" s="137"/>
      <c r="CH673" s="137"/>
      <c r="CI673" s="3"/>
      <c r="CJ673" s="138"/>
      <c r="CK673" s="2"/>
      <c r="CL673" s="139"/>
      <c r="CM673" s="3"/>
      <c r="CN673" s="3"/>
      <c r="CO673" s="3"/>
      <c r="CP673" s="3"/>
      <c r="CQ673" s="3"/>
      <c r="CR673" s="3"/>
      <c r="CS673" s="3"/>
      <c r="CT673" s="3"/>
      <c r="CU673" s="3"/>
      <c r="CV673" s="3"/>
      <c r="CW673" s="131"/>
      <c r="CX673" s="15"/>
      <c r="CY673" s="99"/>
      <c r="CZ673" s="149"/>
      <c r="DA673" s="134"/>
      <c r="DB673" s="134"/>
      <c r="DC673" s="137"/>
      <c r="DD673" s="150"/>
      <c r="DE673" s="137"/>
      <c r="DF673" s="137"/>
      <c r="DG673" s="3"/>
      <c r="DH673" s="138"/>
      <c r="DI673" s="2"/>
      <c r="DJ673" s="139"/>
      <c r="DK673" s="3"/>
      <c r="DL673" s="3"/>
      <c r="DM673" s="3"/>
      <c r="DN673" s="3"/>
      <c r="DO673" s="3"/>
      <c r="DP673" s="3"/>
      <c r="DQ673" s="3"/>
      <c r="DR673" s="3"/>
      <c r="DS673" s="3"/>
      <c r="DT673" s="3"/>
      <c r="DU673" s="131"/>
      <c r="DV673" s="15"/>
      <c r="DW673" s="99"/>
      <c r="DX673" s="149"/>
      <c r="DY673" s="134"/>
      <c r="DZ673" s="134"/>
      <c r="EA673" s="137"/>
      <c r="EB673" s="150"/>
      <c r="EC673" s="137"/>
      <c r="ED673" s="137"/>
      <c r="EE673" s="3"/>
      <c r="EF673" s="138"/>
      <c r="EG673" s="2"/>
      <c r="EH673" s="139"/>
      <c r="EI673" s="3"/>
      <c r="EJ673" s="3"/>
      <c r="EK673" s="3"/>
      <c r="EL673" s="3"/>
      <c r="EM673" s="3"/>
      <c r="EN673" s="3"/>
      <c r="EO673" s="3"/>
      <c r="EP673" s="3"/>
      <c r="EQ673" s="3"/>
      <c r="ER673" s="3"/>
      <c r="ES673" s="131"/>
      <c r="ET673" s="15"/>
      <c r="EU673" s="99"/>
      <c r="EV673" s="149"/>
      <c r="EW673" s="134"/>
      <c r="EX673" s="134"/>
      <c r="EY673" s="137"/>
      <c r="EZ673" s="150"/>
      <c r="FA673" s="137"/>
      <c r="FB673" s="137"/>
      <c r="FC673" s="3"/>
      <c r="FD673" s="138"/>
      <c r="FE673" s="2"/>
      <c r="FF673" s="139"/>
      <c r="FG673" s="3"/>
      <c r="FH673" s="3"/>
      <c r="FI673" s="3"/>
      <c r="FJ673" s="3"/>
      <c r="FK673" s="3"/>
      <c r="FL673" s="3"/>
      <c r="FM673" s="3"/>
      <c r="FN673" s="3"/>
      <c r="FO673" s="3"/>
      <c r="FP673" s="3"/>
      <c r="FQ673" s="131"/>
      <c r="FR673" s="15"/>
      <c r="FS673" s="99"/>
      <c r="FT673" s="149"/>
      <c r="FU673" s="134"/>
      <c r="FV673" s="134"/>
      <c r="FW673" s="137"/>
      <c r="FX673" s="150"/>
      <c r="FY673" s="137"/>
      <c r="FZ673" s="137"/>
      <c r="GA673" s="3"/>
      <c r="GB673" s="138"/>
      <c r="GC673" s="2"/>
      <c r="GD673" s="139"/>
      <c r="GE673" s="3"/>
      <c r="GF673" s="3"/>
    </row>
    <row r="674" spans="1:188" s="3" customFormat="1">
      <c r="A674" s="16"/>
      <c r="B674" s="56"/>
      <c r="C674" s="18"/>
      <c r="D674" s="19"/>
      <c r="E674" s="20"/>
      <c r="F674" s="82"/>
      <c r="G674" s="58"/>
      <c r="H674" s="121"/>
      <c r="I674" s="24"/>
      <c r="J674" s="24"/>
      <c r="K674" s="199"/>
      <c r="L674" s="26"/>
      <c r="M674" s="24"/>
      <c r="N674" s="124"/>
      <c r="O674" s="108"/>
    </row>
    <row r="675" spans="1:188" s="3" customFormat="1">
      <c r="A675" s="16"/>
      <c r="B675" s="56"/>
      <c r="C675" s="18"/>
      <c r="D675" s="19"/>
      <c r="E675" s="20"/>
      <c r="F675" s="82"/>
      <c r="G675" s="58"/>
      <c r="H675" s="121"/>
      <c r="I675" s="24"/>
      <c r="J675" s="24"/>
      <c r="K675" s="24"/>
      <c r="L675" s="123"/>
      <c r="M675" s="24"/>
      <c r="N675" s="124"/>
      <c r="O675" s="108"/>
    </row>
    <row r="676" spans="1:188" s="3" customFormat="1" ht="14.25" thickBot="1">
      <c r="A676" s="277"/>
      <c r="B676" s="278"/>
      <c r="C676" s="279"/>
      <c r="D676" s="280"/>
      <c r="E676" s="214"/>
      <c r="F676" s="281"/>
      <c r="G676" s="94"/>
      <c r="H676" s="282"/>
      <c r="I676" s="283"/>
      <c r="J676" s="283"/>
      <c r="K676" s="283"/>
      <c r="L676" s="283"/>
      <c r="M676" s="284" t="s">
        <v>1426</v>
      </c>
      <c r="N676" s="285">
        <f>SUM(N673,N503)</f>
        <v>638143957.14285731</v>
      </c>
      <c r="O676" s="108"/>
    </row>
    <row r="677" spans="1:188" s="3" customFormat="1" ht="14.25" thickTop="1">
      <c r="A677" s="230"/>
      <c r="B677" s="101"/>
      <c r="C677" s="227"/>
      <c r="D677" s="228"/>
      <c r="E677" s="104"/>
      <c r="F677" s="233"/>
      <c r="G677" s="106"/>
      <c r="H677" s="107"/>
      <c r="I677" s="108"/>
      <c r="J677" s="108"/>
      <c r="K677" s="108"/>
      <c r="L677" s="108"/>
      <c r="M677" s="108"/>
      <c r="N677" s="108"/>
      <c r="O677" s="108"/>
    </row>
    <row r="678" spans="1:188" s="3" customFormat="1">
      <c r="A678" s="230"/>
      <c r="B678" s="101"/>
      <c r="C678" s="227"/>
      <c r="D678" s="228"/>
      <c r="E678" s="104"/>
      <c r="F678" s="233"/>
      <c r="G678" s="106"/>
      <c r="H678" s="107"/>
      <c r="I678" s="108"/>
      <c r="J678" s="108"/>
      <c r="K678" s="108"/>
      <c r="L678" s="108"/>
      <c r="M678" s="108"/>
      <c r="N678" s="108"/>
      <c r="O678" s="108"/>
    </row>
    <row r="679" spans="1:188" s="3" customFormat="1">
      <c r="A679" s="230"/>
      <c r="B679" s="101"/>
      <c r="C679" s="227"/>
      <c r="D679" s="228"/>
      <c r="E679" s="104"/>
      <c r="F679" s="233"/>
      <c r="G679" s="106"/>
      <c r="H679" s="107"/>
      <c r="I679" s="108"/>
      <c r="J679" s="108"/>
      <c r="K679" s="108"/>
      <c r="L679" s="108"/>
      <c r="M679" s="108" t="s">
        <v>1421</v>
      </c>
      <c r="N679" s="108">
        <f>SUM(N514:N617,N631:N640)</f>
        <v>255490042.52380964</v>
      </c>
      <c r="O679" s="108"/>
    </row>
    <row r="680" spans="1:188" s="3" customFormat="1">
      <c r="A680" s="230"/>
      <c r="B680" s="101"/>
      <c r="C680" s="227"/>
      <c r="D680" s="228"/>
      <c r="E680" s="104"/>
      <c r="F680" s="233"/>
      <c r="G680" s="106"/>
      <c r="H680" s="107"/>
      <c r="I680" s="108"/>
      <c r="J680" s="108"/>
      <c r="K680" s="108"/>
      <c r="L680" s="108"/>
      <c r="M680" s="108" t="s">
        <v>1427</v>
      </c>
      <c r="N680" s="108">
        <f>SUM(N618:N628)</f>
        <v>15602857.285714285</v>
      </c>
      <c r="O680" s="108"/>
    </row>
    <row r="681" spans="1:188" s="3" customFormat="1">
      <c r="A681" s="230"/>
      <c r="B681" s="101"/>
      <c r="C681" s="227"/>
      <c r="D681" s="228"/>
      <c r="E681" s="104"/>
      <c r="F681" s="233"/>
      <c r="G681" s="106"/>
      <c r="H681" s="107"/>
      <c r="I681" s="108"/>
      <c r="J681" s="108"/>
      <c r="K681" s="108"/>
      <c r="L681" s="108"/>
      <c r="M681" s="108" t="s">
        <v>1428</v>
      </c>
      <c r="N681" s="108">
        <f>SUM(N629:N630,N641)</f>
        <v>1802533</v>
      </c>
      <c r="O681" s="108"/>
    </row>
    <row r="682" spans="1:188" s="3" customFormat="1" ht="14.25" thickBot="1">
      <c r="A682" s="230"/>
      <c r="B682" s="101"/>
      <c r="C682" s="227"/>
      <c r="D682" s="228"/>
      <c r="E682" s="104"/>
      <c r="F682" s="233"/>
      <c r="G682" s="106"/>
      <c r="H682" s="107"/>
      <c r="I682" s="108"/>
      <c r="J682" s="108"/>
      <c r="K682" s="108"/>
      <c r="L682" s="108"/>
      <c r="M682" s="108" t="s">
        <v>1429</v>
      </c>
      <c r="N682" s="98">
        <f>SUM(N679:N681)</f>
        <v>272895432.80952394</v>
      </c>
      <c r="O682" s="108"/>
    </row>
    <row r="683" spans="1:188" s="3" customFormat="1" ht="14.25" thickTop="1">
      <c r="A683" s="230"/>
      <c r="B683" s="101"/>
      <c r="C683" s="227"/>
      <c r="D683" s="228"/>
      <c r="E683" s="104"/>
      <c r="F683" s="233"/>
      <c r="G683" s="106"/>
      <c r="H683" s="107"/>
      <c r="I683" s="108"/>
      <c r="J683" s="108"/>
      <c r="K683" s="108"/>
      <c r="L683" s="108"/>
      <c r="M683" s="108" t="s">
        <v>1430</v>
      </c>
      <c r="N683" s="108"/>
      <c r="O683" s="108"/>
    </row>
    <row r="684" spans="1:188" s="3" customFormat="1">
      <c r="A684" s="230"/>
      <c r="B684" s="101"/>
      <c r="C684" s="227"/>
      <c r="D684" s="228"/>
      <c r="E684" s="104"/>
      <c r="F684" s="233"/>
      <c r="G684" s="106"/>
      <c r="H684" s="107"/>
      <c r="I684" s="108"/>
      <c r="J684" s="108"/>
      <c r="K684" s="108"/>
      <c r="L684" s="108"/>
      <c r="M684" s="108" t="s">
        <v>1431</v>
      </c>
      <c r="N684" s="108">
        <f>N677+N683</f>
        <v>0</v>
      </c>
      <c r="O684" s="108"/>
    </row>
    <row r="685" spans="1:188" s="3" customFormat="1">
      <c r="A685" s="230"/>
      <c r="B685" s="101"/>
      <c r="C685" s="227"/>
      <c r="D685" s="228"/>
      <c r="E685" s="104"/>
      <c r="F685" s="233"/>
      <c r="G685" s="106"/>
      <c r="H685" s="107"/>
      <c r="I685" s="108"/>
      <c r="J685" s="108"/>
      <c r="K685" s="108"/>
      <c r="L685" s="108"/>
      <c r="M685" s="108"/>
      <c r="N685" s="108"/>
      <c r="O685" s="108"/>
    </row>
    <row r="686" spans="1:188" s="3" customFormat="1">
      <c r="A686" s="230"/>
      <c r="B686" s="101"/>
      <c r="C686" s="227"/>
      <c r="D686" s="228"/>
      <c r="E686" s="104"/>
      <c r="F686" s="233"/>
      <c r="G686" s="106"/>
      <c r="H686" s="107"/>
      <c r="I686" s="108"/>
      <c r="J686" s="108"/>
      <c r="K686" s="108"/>
      <c r="L686" s="108"/>
      <c r="M686" s="108"/>
      <c r="N686" s="108"/>
      <c r="O686" s="108"/>
    </row>
    <row r="687" spans="1:188" s="3" customFormat="1">
      <c r="A687" s="230"/>
      <c r="B687" s="101"/>
      <c r="C687" s="227"/>
      <c r="D687" s="228"/>
      <c r="E687" s="104"/>
      <c r="F687" s="233"/>
      <c r="G687" s="106"/>
      <c r="H687" s="107"/>
      <c r="I687" s="108"/>
      <c r="J687" s="108"/>
      <c r="K687" s="108"/>
      <c r="L687" s="108"/>
      <c r="M687" s="108"/>
      <c r="N687" s="108"/>
      <c r="O687" s="108"/>
    </row>
    <row r="688" spans="1:188" s="3" customFormat="1">
      <c r="A688" s="230"/>
      <c r="B688" s="101"/>
      <c r="C688" s="227"/>
      <c r="D688" s="228"/>
      <c r="E688" s="104"/>
      <c r="F688" s="233"/>
      <c r="G688" s="106"/>
      <c r="H688" s="107"/>
      <c r="I688" s="108"/>
      <c r="J688" s="108"/>
      <c r="K688" s="108"/>
      <c r="L688" s="108"/>
      <c r="M688" s="108"/>
      <c r="N688" s="108"/>
      <c r="O688" s="108"/>
    </row>
    <row r="689" spans="1:15" s="3" customFormat="1">
      <c r="A689" s="230"/>
      <c r="B689" s="101"/>
      <c r="C689" s="227"/>
      <c r="D689" s="228"/>
      <c r="E689" s="104"/>
      <c r="F689" s="233"/>
      <c r="G689" s="106"/>
      <c r="H689" s="107"/>
      <c r="I689" s="108"/>
      <c r="J689" s="108"/>
      <c r="K689" s="108"/>
      <c r="L689" s="108"/>
      <c r="M689" s="108"/>
      <c r="N689" s="108"/>
      <c r="O689" s="108"/>
    </row>
    <row r="690" spans="1:15" s="3" customFormat="1">
      <c r="A690" s="230"/>
      <c r="B690" s="101"/>
      <c r="C690" s="227"/>
      <c r="D690" s="228"/>
      <c r="E690" s="104"/>
      <c r="F690" s="233"/>
      <c r="G690" s="106"/>
      <c r="H690" s="107"/>
      <c r="I690" s="108"/>
      <c r="J690" s="108"/>
      <c r="K690" s="108"/>
      <c r="L690" s="108"/>
      <c r="M690" s="108"/>
      <c r="N690" s="108"/>
      <c r="O690" s="108"/>
    </row>
    <row r="691" spans="1:15" s="3" customFormat="1">
      <c r="A691" s="230"/>
      <c r="B691" s="101"/>
      <c r="C691" s="227"/>
      <c r="D691" s="228"/>
      <c r="E691" s="104"/>
      <c r="F691" s="233"/>
      <c r="G691" s="106"/>
      <c r="H691" s="107"/>
      <c r="I691" s="108"/>
      <c r="J691" s="108"/>
      <c r="K691" s="108"/>
      <c r="L691" s="108"/>
      <c r="M691" s="108"/>
      <c r="N691" s="108"/>
      <c r="O691" s="108"/>
    </row>
    <row r="692" spans="1:15" s="3" customFormat="1">
      <c r="A692" s="230"/>
      <c r="B692" s="101"/>
      <c r="C692" s="227"/>
      <c r="D692" s="228"/>
      <c r="E692" s="104"/>
      <c r="F692" s="233"/>
      <c r="G692" s="106"/>
      <c r="H692" s="107"/>
      <c r="I692" s="108"/>
      <c r="J692" s="108"/>
      <c r="K692" s="108"/>
      <c r="L692" s="108"/>
      <c r="M692" s="108"/>
      <c r="N692" s="108"/>
      <c r="O692" s="108"/>
    </row>
    <row r="693" spans="1:15" s="3" customFormat="1">
      <c r="A693" s="230"/>
      <c r="B693" s="101"/>
      <c r="C693" s="227"/>
      <c r="D693" s="228"/>
      <c r="E693" s="104"/>
      <c r="F693" s="233"/>
      <c r="G693" s="106"/>
      <c r="H693" s="107"/>
      <c r="I693" s="108"/>
      <c r="J693" s="108"/>
      <c r="K693" s="108"/>
      <c r="L693" s="108"/>
      <c r="M693" s="108"/>
      <c r="N693" s="108"/>
      <c r="O693" s="108"/>
    </row>
    <row r="694" spans="1:15" s="3" customFormat="1">
      <c r="A694" s="230"/>
      <c r="B694" s="101"/>
      <c r="C694" s="227"/>
      <c r="D694" s="228"/>
      <c r="E694" s="104"/>
      <c r="F694" s="233"/>
      <c r="G694" s="106"/>
      <c r="H694" s="107"/>
      <c r="I694" s="108"/>
      <c r="J694" s="108"/>
      <c r="K694" s="108"/>
      <c r="L694" s="108"/>
      <c r="M694" s="108"/>
      <c r="N694" s="108"/>
      <c r="O694" s="108"/>
    </row>
    <row r="695" spans="1:15" s="3" customFormat="1">
      <c r="A695" s="230"/>
      <c r="B695" s="101"/>
      <c r="C695" s="227"/>
      <c r="D695" s="228"/>
      <c r="E695" s="104"/>
      <c r="F695" s="233"/>
      <c r="G695" s="106"/>
      <c r="H695" s="107"/>
      <c r="I695" s="108"/>
      <c r="J695" s="108"/>
      <c r="K695" s="108"/>
      <c r="L695" s="108"/>
      <c r="M695" s="108"/>
      <c r="N695" s="108"/>
      <c r="O695" s="108"/>
    </row>
    <row r="696" spans="1:15" s="3" customFormat="1">
      <c r="A696" s="230"/>
      <c r="B696" s="101"/>
      <c r="C696" s="227"/>
      <c r="D696" s="228"/>
      <c r="E696" s="104"/>
      <c r="F696" s="233"/>
      <c r="G696" s="106"/>
      <c r="H696" s="107"/>
      <c r="I696" s="108"/>
      <c r="J696" s="108"/>
      <c r="K696" s="108"/>
      <c r="L696" s="108"/>
      <c r="M696" s="108"/>
      <c r="N696" s="108"/>
      <c r="O696" s="108"/>
    </row>
    <row r="697" spans="1:15" s="3" customFormat="1">
      <c r="A697" s="230"/>
      <c r="B697" s="101"/>
      <c r="C697" s="227"/>
      <c r="D697" s="228"/>
      <c r="E697" s="104"/>
      <c r="F697" s="233"/>
      <c r="G697" s="106"/>
      <c r="H697" s="107"/>
      <c r="I697" s="108"/>
      <c r="J697" s="108"/>
      <c r="K697" s="108"/>
      <c r="L697" s="108"/>
      <c r="M697" s="108"/>
      <c r="N697" s="108"/>
      <c r="O697" s="108"/>
    </row>
    <row r="698" spans="1:15" s="3" customFormat="1">
      <c r="A698" s="230"/>
      <c r="B698" s="101"/>
      <c r="C698" s="227"/>
      <c r="D698" s="228"/>
      <c r="E698" s="104"/>
      <c r="F698" s="233"/>
      <c r="G698" s="106"/>
      <c r="H698" s="107"/>
      <c r="I698" s="108"/>
      <c r="J698" s="108"/>
      <c r="K698" s="108"/>
      <c r="L698" s="108"/>
      <c r="M698" s="108"/>
      <c r="N698" s="108"/>
      <c r="O698" s="108"/>
    </row>
    <row r="699" spans="1:15" s="3" customFormat="1">
      <c r="A699" s="230"/>
      <c r="B699" s="101"/>
      <c r="C699" s="227"/>
      <c r="D699" s="228"/>
      <c r="E699" s="104"/>
      <c r="F699" s="233"/>
      <c r="G699" s="106"/>
      <c r="H699" s="107"/>
      <c r="I699" s="108"/>
      <c r="J699" s="108"/>
      <c r="K699" s="108"/>
      <c r="L699" s="108"/>
      <c r="M699" s="108"/>
      <c r="N699" s="108"/>
      <c r="O699" s="108"/>
    </row>
    <row r="700" spans="1:15" s="3" customFormat="1">
      <c r="A700" s="230"/>
      <c r="B700" s="101"/>
      <c r="C700" s="227"/>
      <c r="D700" s="228"/>
      <c r="E700" s="104"/>
      <c r="F700" s="233"/>
      <c r="G700" s="106"/>
      <c r="H700" s="107"/>
      <c r="I700" s="108"/>
      <c r="J700" s="108"/>
      <c r="K700" s="108"/>
      <c r="L700" s="108"/>
      <c r="M700" s="108"/>
      <c r="N700" s="108"/>
      <c r="O700" s="108"/>
    </row>
    <row r="701" spans="1:15" s="3" customFormat="1">
      <c r="A701" s="230"/>
      <c r="B701" s="101"/>
      <c r="C701" s="227"/>
      <c r="D701" s="228"/>
      <c r="E701" s="104"/>
      <c r="F701" s="233"/>
      <c r="G701" s="106"/>
      <c r="H701" s="107"/>
      <c r="I701" s="108"/>
      <c r="J701" s="108"/>
      <c r="K701" s="108"/>
      <c r="L701" s="108"/>
      <c r="M701" s="108"/>
      <c r="N701" s="108"/>
      <c r="O701" s="108"/>
    </row>
    <row r="702" spans="1:15" s="3" customFormat="1">
      <c r="A702" s="230"/>
      <c r="B702" s="101"/>
      <c r="C702" s="227"/>
      <c r="D702" s="228"/>
      <c r="E702" s="104"/>
      <c r="F702" s="233"/>
      <c r="G702" s="106"/>
      <c r="H702" s="107"/>
      <c r="I702" s="108"/>
      <c r="J702" s="108"/>
      <c r="K702" s="108"/>
      <c r="L702" s="108"/>
      <c r="M702" s="108"/>
      <c r="N702" s="108"/>
      <c r="O702" s="108"/>
    </row>
    <row r="703" spans="1:15" s="3" customFormat="1">
      <c r="A703" s="230"/>
      <c r="B703" s="101"/>
      <c r="C703" s="227"/>
      <c r="D703" s="228"/>
      <c r="E703" s="104"/>
      <c r="F703" s="233"/>
      <c r="G703" s="106"/>
      <c r="H703" s="107"/>
      <c r="I703" s="108"/>
      <c r="J703" s="108"/>
      <c r="K703" s="108"/>
      <c r="L703" s="108"/>
      <c r="M703" s="108"/>
      <c r="N703" s="108"/>
      <c r="O703" s="108"/>
    </row>
    <row r="704" spans="1:15" s="3" customFormat="1">
      <c r="A704" s="230"/>
      <c r="B704" s="101"/>
      <c r="C704" s="227"/>
      <c r="D704" s="228"/>
      <c r="E704" s="104"/>
      <c r="F704" s="233"/>
      <c r="G704" s="106"/>
      <c r="H704" s="107"/>
      <c r="I704" s="108"/>
      <c r="J704" s="108"/>
      <c r="K704" s="108"/>
      <c r="L704" s="108"/>
      <c r="M704" s="108"/>
      <c r="N704" s="108"/>
      <c r="O704" s="108"/>
    </row>
    <row r="705" spans="1:15" s="3" customFormat="1">
      <c r="A705" s="230"/>
      <c r="B705" s="101"/>
      <c r="C705" s="227"/>
      <c r="D705" s="228"/>
      <c r="E705" s="104"/>
      <c r="F705" s="233"/>
      <c r="G705" s="106"/>
      <c r="H705" s="107"/>
      <c r="I705" s="108"/>
      <c r="J705" s="108"/>
      <c r="K705" s="108"/>
      <c r="L705" s="108"/>
      <c r="M705" s="108"/>
      <c r="N705" s="108"/>
      <c r="O705" s="108"/>
    </row>
    <row r="706" spans="1:15" s="3" customFormat="1">
      <c r="A706" s="230"/>
      <c r="B706" s="101"/>
      <c r="C706" s="227"/>
      <c r="D706" s="228"/>
      <c r="E706" s="104"/>
      <c r="F706" s="233"/>
      <c r="G706" s="106"/>
      <c r="H706" s="107"/>
      <c r="I706" s="108"/>
      <c r="J706" s="108"/>
      <c r="K706" s="108"/>
      <c r="L706" s="108"/>
      <c r="M706" s="108"/>
      <c r="N706" s="108"/>
      <c r="O706" s="108"/>
    </row>
    <row r="707" spans="1:15" s="3" customFormat="1">
      <c r="A707" s="230"/>
      <c r="B707" s="101"/>
      <c r="C707" s="227"/>
      <c r="D707" s="228"/>
      <c r="E707" s="104"/>
      <c r="F707" s="233"/>
      <c r="G707" s="106"/>
      <c r="H707" s="107"/>
      <c r="I707" s="108"/>
      <c r="J707" s="108"/>
      <c r="K707" s="108"/>
      <c r="L707" s="108"/>
      <c r="M707" s="108"/>
      <c r="N707" s="108"/>
      <c r="O707" s="108"/>
    </row>
    <row r="708" spans="1:15" s="3" customFormat="1">
      <c r="A708" s="230"/>
      <c r="B708" s="101"/>
      <c r="C708" s="227"/>
      <c r="D708" s="228"/>
      <c r="E708" s="104"/>
      <c r="F708" s="233"/>
      <c r="G708" s="106"/>
      <c r="H708" s="107"/>
      <c r="I708" s="108"/>
      <c r="J708" s="108"/>
      <c r="K708" s="108"/>
      <c r="L708" s="108"/>
      <c r="M708" s="108"/>
      <c r="N708" s="108"/>
      <c r="O708" s="108"/>
    </row>
    <row r="709" spans="1:15" s="3" customFormat="1">
      <c r="A709" s="230"/>
      <c r="B709" s="101"/>
      <c r="C709" s="227"/>
      <c r="D709" s="228"/>
      <c r="E709" s="104"/>
      <c r="F709" s="233"/>
      <c r="G709" s="106"/>
      <c r="H709" s="107"/>
      <c r="I709" s="108"/>
      <c r="J709" s="108"/>
      <c r="K709" s="108"/>
      <c r="L709" s="108"/>
      <c r="M709" s="108"/>
      <c r="N709" s="108"/>
      <c r="O709" s="108"/>
    </row>
    <row r="710" spans="1:15" s="3" customFormat="1">
      <c r="A710" s="230"/>
      <c r="B710" s="101"/>
      <c r="C710" s="227"/>
      <c r="D710" s="228"/>
      <c r="E710" s="104"/>
      <c r="F710" s="233"/>
      <c r="G710" s="106"/>
      <c r="H710" s="107"/>
      <c r="I710" s="108"/>
      <c r="J710" s="108"/>
      <c r="K710" s="108"/>
      <c r="L710" s="108"/>
      <c r="M710" s="108"/>
      <c r="N710" s="108"/>
      <c r="O710" s="108"/>
    </row>
    <row r="711" spans="1:15" s="3" customFormat="1">
      <c r="A711" s="230"/>
      <c r="B711" s="101"/>
      <c r="C711" s="227"/>
      <c r="D711" s="228"/>
      <c r="E711" s="104"/>
      <c r="F711" s="233"/>
      <c r="G711" s="106"/>
      <c r="H711" s="107"/>
      <c r="I711" s="108"/>
      <c r="J711" s="108"/>
      <c r="K711" s="108"/>
      <c r="L711" s="108"/>
      <c r="M711" s="108"/>
      <c r="N711" s="108"/>
      <c r="O711" s="108"/>
    </row>
    <row r="712" spans="1:15" s="3" customFormat="1">
      <c r="A712" s="230"/>
      <c r="B712" s="101"/>
      <c r="C712" s="227"/>
      <c r="D712" s="228"/>
      <c r="E712" s="104"/>
      <c r="F712" s="233"/>
      <c r="G712" s="106"/>
      <c r="H712" s="107"/>
      <c r="I712" s="108"/>
      <c r="J712" s="108"/>
      <c r="K712" s="108"/>
      <c r="L712" s="108"/>
      <c r="M712" s="108"/>
      <c r="N712" s="108"/>
      <c r="O712" s="108"/>
    </row>
    <row r="713" spans="1:15" s="3" customFormat="1">
      <c r="A713" s="230"/>
      <c r="B713" s="101"/>
      <c r="C713" s="227"/>
      <c r="D713" s="228"/>
      <c r="E713" s="104"/>
      <c r="F713" s="233"/>
      <c r="G713" s="106"/>
      <c r="H713" s="107"/>
      <c r="I713" s="108"/>
      <c r="J713" s="108"/>
      <c r="K713" s="108"/>
      <c r="L713" s="108"/>
      <c r="M713" s="108"/>
      <c r="N713" s="108"/>
      <c r="O713" s="108"/>
    </row>
    <row r="714" spans="1:15" s="3" customFormat="1">
      <c r="A714" s="230"/>
      <c r="B714" s="101"/>
      <c r="C714" s="227"/>
      <c r="D714" s="228"/>
      <c r="E714" s="104"/>
      <c r="F714" s="233"/>
      <c r="G714" s="106"/>
      <c r="H714" s="107"/>
      <c r="I714" s="108"/>
      <c r="J714" s="108"/>
      <c r="K714" s="108"/>
      <c r="L714" s="108"/>
      <c r="M714" s="108"/>
      <c r="N714" s="108"/>
      <c r="O714" s="108"/>
    </row>
    <row r="715" spans="1:15" s="3" customFormat="1">
      <c r="A715" s="230"/>
      <c r="B715" s="101"/>
      <c r="C715" s="227"/>
      <c r="D715" s="228"/>
      <c r="E715" s="104"/>
      <c r="F715" s="233"/>
      <c r="G715" s="106"/>
      <c r="H715" s="107"/>
      <c r="I715" s="108"/>
      <c r="J715" s="108"/>
      <c r="K715" s="108"/>
      <c r="L715" s="108"/>
      <c r="M715" s="108"/>
      <c r="N715" s="108"/>
      <c r="O715" s="108"/>
    </row>
    <row r="716" spans="1:15" s="3" customFormat="1">
      <c r="A716" s="230"/>
      <c r="B716" s="101"/>
      <c r="C716" s="227"/>
      <c r="D716" s="228"/>
      <c r="E716" s="104"/>
      <c r="F716" s="233"/>
      <c r="G716" s="106"/>
      <c r="H716" s="107"/>
      <c r="I716" s="108"/>
      <c r="J716" s="108"/>
      <c r="K716" s="108"/>
      <c r="L716" s="108"/>
      <c r="M716" s="108"/>
      <c r="N716" s="108"/>
      <c r="O716" s="108"/>
    </row>
    <row r="717" spans="1:15" s="3" customFormat="1">
      <c r="A717" s="230"/>
      <c r="B717" s="101"/>
      <c r="C717" s="227"/>
      <c r="D717" s="228"/>
      <c r="E717" s="104"/>
      <c r="F717" s="233"/>
      <c r="G717" s="106"/>
      <c r="H717" s="107"/>
      <c r="I717" s="108"/>
      <c r="J717" s="108"/>
      <c r="K717" s="108"/>
      <c r="L717" s="108"/>
      <c r="M717" s="108"/>
      <c r="N717" s="108"/>
      <c r="O717" s="108"/>
    </row>
    <row r="718" spans="1:15" s="3" customFormat="1">
      <c r="A718" s="230"/>
      <c r="B718" s="101"/>
      <c r="C718" s="227"/>
      <c r="D718" s="228"/>
      <c r="E718" s="104"/>
      <c r="F718" s="233"/>
      <c r="G718" s="106"/>
      <c r="H718" s="107"/>
      <c r="I718" s="108"/>
      <c r="J718" s="108"/>
      <c r="K718" s="108"/>
      <c r="L718" s="108"/>
      <c r="M718" s="108"/>
      <c r="N718" s="108"/>
      <c r="O718" s="108"/>
    </row>
    <row r="719" spans="1:15" s="3" customFormat="1">
      <c r="A719" s="230"/>
      <c r="B719" s="101"/>
      <c r="C719" s="227"/>
      <c r="D719" s="228"/>
      <c r="E719" s="104"/>
      <c r="F719" s="233"/>
      <c r="G719" s="106"/>
      <c r="H719" s="107"/>
      <c r="I719" s="108"/>
      <c r="J719" s="108"/>
      <c r="K719" s="108"/>
      <c r="L719" s="108"/>
      <c r="M719" s="108"/>
      <c r="N719" s="108"/>
      <c r="O719" s="108"/>
    </row>
    <row r="720" spans="1:15" s="3" customFormat="1">
      <c r="A720" s="230"/>
      <c r="B720" s="101"/>
      <c r="C720" s="227"/>
      <c r="D720" s="228"/>
      <c r="E720" s="104"/>
      <c r="F720" s="233"/>
      <c r="G720" s="106"/>
      <c r="H720" s="107"/>
      <c r="I720" s="108"/>
      <c r="J720" s="108"/>
      <c r="K720" s="108"/>
      <c r="L720" s="108"/>
      <c r="M720" s="108"/>
      <c r="N720" s="108"/>
      <c r="O720" s="108"/>
    </row>
    <row r="721" spans="1:15" s="3" customFormat="1">
      <c r="A721" s="230"/>
      <c r="B721" s="101"/>
      <c r="C721" s="227"/>
      <c r="D721" s="228"/>
      <c r="E721" s="104"/>
      <c r="F721" s="233"/>
      <c r="G721" s="106"/>
      <c r="H721" s="107"/>
      <c r="I721" s="108"/>
      <c r="J721" s="108"/>
      <c r="K721" s="108"/>
      <c r="L721" s="108"/>
      <c r="M721" s="108"/>
      <c r="N721" s="108"/>
      <c r="O721" s="108"/>
    </row>
    <row r="722" spans="1:15" s="3" customFormat="1">
      <c r="A722" s="230"/>
      <c r="B722" s="101"/>
      <c r="C722" s="227"/>
      <c r="D722" s="228"/>
      <c r="E722" s="104"/>
      <c r="F722" s="233"/>
      <c r="G722" s="106"/>
      <c r="H722" s="107"/>
      <c r="I722" s="108"/>
      <c r="J722" s="108"/>
      <c r="K722" s="108"/>
      <c r="L722" s="108"/>
      <c r="M722" s="108"/>
      <c r="N722" s="108"/>
      <c r="O722" s="108"/>
    </row>
    <row r="723" spans="1:15" s="3" customFormat="1">
      <c r="A723" s="230"/>
      <c r="B723" s="101"/>
      <c r="C723" s="227"/>
      <c r="D723" s="228"/>
      <c r="E723" s="104"/>
      <c r="F723" s="233"/>
      <c r="G723" s="106"/>
      <c r="H723" s="107"/>
      <c r="I723" s="108"/>
      <c r="J723" s="108"/>
      <c r="K723" s="108"/>
      <c r="L723" s="108"/>
      <c r="M723" s="108"/>
      <c r="N723" s="108"/>
      <c r="O723" s="108"/>
    </row>
    <row r="724" spans="1:15" s="3" customFormat="1">
      <c r="A724" s="230"/>
      <c r="B724" s="101"/>
      <c r="C724" s="227"/>
      <c r="D724" s="228"/>
      <c r="E724" s="104"/>
      <c r="F724" s="233"/>
      <c r="G724" s="106"/>
      <c r="H724" s="107"/>
      <c r="I724" s="108"/>
      <c r="J724" s="108"/>
      <c r="K724" s="108"/>
      <c r="L724" s="108"/>
      <c r="M724" s="108"/>
      <c r="N724" s="108"/>
      <c r="O724" s="108"/>
    </row>
    <row r="725" spans="1:15" s="3" customFormat="1">
      <c r="A725" s="230"/>
      <c r="B725" s="101"/>
      <c r="C725" s="227"/>
      <c r="D725" s="228"/>
      <c r="E725" s="104"/>
      <c r="F725" s="233"/>
      <c r="G725" s="106"/>
      <c r="H725" s="107"/>
      <c r="I725" s="108"/>
      <c r="J725" s="108"/>
      <c r="K725" s="108"/>
      <c r="L725" s="108"/>
      <c r="M725" s="108"/>
      <c r="N725" s="108"/>
      <c r="O725" s="108"/>
    </row>
    <row r="726" spans="1:15" s="3" customFormat="1">
      <c r="A726" s="230"/>
      <c r="B726" s="101"/>
      <c r="C726" s="227"/>
      <c r="D726" s="228"/>
      <c r="E726" s="104"/>
      <c r="F726" s="233"/>
      <c r="G726" s="106"/>
      <c r="H726" s="107"/>
      <c r="I726" s="108"/>
      <c r="J726" s="108"/>
      <c r="K726" s="108"/>
      <c r="L726" s="108"/>
      <c r="M726" s="108"/>
      <c r="N726" s="108"/>
      <c r="O726" s="108"/>
    </row>
    <row r="727" spans="1:15" s="3" customFormat="1">
      <c r="A727" s="230"/>
      <c r="B727" s="101"/>
      <c r="C727" s="227"/>
      <c r="D727" s="228"/>
      <c r="E727" s="104"/>
      <c r="F727" s="233"/>
      <c r="G727" s="106"/>
      <c r="H727" s="107"/>
      <c r="I727" s="108"/>
      <c r="J727" s="108"/>
      <c r="K727" s="108"/>
      <c r="L727" s="108"/>
      <c r="M727" s="108"/>
      <c r="N727" s="108"/>
      <c r="O727" s="108"/>
    </row>
    <row r="728" spans="1:15" s="3" customFormat="1">
      <c r="A728" s="230"/>
      <c r="B728" s="101"/>
      <c r="C728" s="227"/>
      <c r="D728" s="228"/>
      <c r="E728" s="104"/>
      <c r="F728" s="233"/>
      <c r="G728" s="106"/>
      <c r="H728" s="107"/>
      <c r="I728" s="108"/>
      <c r="J728" s="108"/>
      <c r="K728" s="108"/>
      <c r="L728" s="108"/>
      <c r="M728" s="108"/>
      <c r="N728" s="108"/>
      <c r="O728" s="108"/>
    </row>
    <row r="729" spans="1:15" s="3" customFormat="1">
      <c r="A729" s="230"/>
      <c r="B729" s="101"/>
      <c r="C729" s="227"/>
      <c r="D729" s="228"/>
      <c r="E729" s="104"/>
      <c r="F729" s="233"/>
      <c r="G729" s="106"/>
      <c r="H729" s="107"/>
      <c r="I729" s="108"/>
      <c r="J729" s="108"/>
      <c r="K729" s="108"/>
      <c r="L729" s="108"/>
      <c r="M729" s="108"/>
      <c r="N729" s="108"/>
      <c r="O729" s="108"/>
    </row>
    <row r="730" spans="1:15" s="3" customFormat="1">
      <c r="A730" s="230"/>
      <c r="B730" s="101"/>
      <c r="C730" s="227"/>
      <c r="D730" s="228"/>
      <c r="E730" s="104"/>
      <c r="F730" s="230"/>
      <c r="G730" s="286"/>
      <c r="H730" s="107"/>
      <c r="I730" s="108"/>
      <c r="J730" s="108"/>
      <c r="K730" s="108"/>
      <c r="L730" s="108"/>
      <c r="M730" s="108"/>
      <c r="N730" s="108"/>
      <c r="O730" s="108"/>
    </row>
    <row r="731" spans="1:15" s="3" customFormat="1">
      <c r="A731" s="230"/>
      <c r="B731" s="101"/>
      <c r="C731" s="227"/>
      <c r="D731" s="228"/>
      <c r="E731" s="104"/>
      <c r="F731" s="230"/>
      <c r="G731" s="286"/>
      <c r="H731" s="107"/>
      <c r="I731" s="108"/>
      <c r="J731" s="108"/>
      <c r="K731" s="108"/>
      <c r="L731" s="108"/>
      <c r="M731" s="108"/>
      <c r="N731" s="108"/>
      <c r="O731" s="108"/>
    </row>
    <row r="732" spans="1:15" s="3" customFormat="1">
      <c r="A732" s="230"/>
      <c r="B732" s="101"/>
      <c r="C732" s="227"/>
      <c r="D732" s="228"/>
      <c r="E732" s="104"/>
      <c r="F732" s="230"/>
      <c r="G732" s="286"/>
      <c r="H732" s="107"/>
      <c r="I732" s="108"/>
      <c r="J732" s="108"/>
      <c r="K732" s="108"/>
      <c r="L732" s="108"/>
      <c r="M732" s="108"/>
      <c r="N732" s="108"/>
      <c r="O732" s="108"/>
    </row>
    <row r="733" spans="1:15" s="3" customFormat="1">
      <c r="A733" s="230"/>
      <c r="B733" s="101"/>
      <c r="C733" s="227"/>
      <c r="D733" s="228"/>
      <c r="E733" s="104"/>
      <c r="F733" s="230"/>
      <c r="G733" s="286"/>
      <c r="H733" s="107"/>
      <c r="I733" s="108"/>
      <c r="J733" s="108"/>
      <c r="K733" s="108"/>
      <c r="L733" s="108"/>
      <c r="M733" s="108"/>
      <c r="N733" s="108"/>
      <c r="O733" s="108"/>
    </row>
    <row r="734" spans="1:15" s="3" customFormat="1">
      <c r="A734" s="230"/>
      <c r="B734" s="101"/>
      <c r="C734" s="227"/>
      <c r="D734" s="228"/>
      <c r="E734" s="104"/>
      <c r="F734" s="230"/>
      <c r="G734" s="286"/>
      <c r="H734" s="107"/>
      <c r="I734" s="108"/>
      <c r="J734" s="108"/>
      <c r="K734" s="108"/>
      <c r="L734" s="108"/>
      <c r="M734" s="108"/>
      <c r="N734" s="108"/>
      <c r="O734" s="108"/>
    </row>
    <row r="735" spans="1:15" s="3" customFormat="1">
      <c r="A735" s="230"/>
      <c r="B735" s="101"/>
      <c r="C735" s="227"/>
      <c r="D735" s="228"/>
      <c r="E735" s="104"/>
      <c r="F735" s="230"/>
      <c r="G735" s="286"/>
      <c r="H735" s="107"/>
      <c r="I735" s="108"/>
      <c r="J735" s="108"/>
      <c r="K735" s="108"/>
      <c r="L735" s="108"/>
      <c r="M735" s="108"/>
      <c r="N735" s="108"/>
      <c r="O735" s="108"/>
    </row>
    <row r="736" spans="1:15" s="3" customFormat="1">
      <c r="A736" s="230"/>
      <c r="B736" s="101"/>
      <c r="C736" s="227"/>
      <c r="D736" s="228"/>
      <c r="E736" s="104"/>
      <c r="F736" s="230"/>
      <c r="G736" s="286"/>
      <c r="H736" s="107"/>
      <c r="I736" s="108"/>
      <c r="J736" s="108"/>
      <c r="K736" s="108"/>
      <c r="L736" s="108"/>
      <c r="M736" s="108"/>
      <c r="N736" s="108"/>
      <c r="O736" s="108"/>
    </row>
    <row r="737" spans="1:15" s="3" customFormat="1">
      <c r="A737" s="230"/>
      <c r="B737" s="101"/>
      <c r="C737" s="227"/>
      <c r="D737" s="228"/>
      <c r="E737" s="104"/>
      <c r="F737" s="230"/>
      <c r="G737" s="286"/>
      <c r="H737" s="107"/>
      <c r="I737" s="108"/>
      <c r="J737" s="108"/>
      <c r="K737" s="108"/>
      <c r="L737" s="108"/>
      <c r="M737" s="108"/>
      <c r="N737" s="108"/>
      <c r="O737" s="108"/>
    </row>
    <row r="738" spans="1:15" s="139" customFormat="1">
      <c r="A738" s="230"/>
      <c r="B738" s="101"/>
      <c r="C738" s="227"/>
      <c r="D738" s="228"/>
      <c r="E738" s="104"/>
      <c r="F738" s="230"/>
      <c r="G738" s="286"/>
      <c r="H738" s="107"/>
      <c r="I738" s="108"/>
      <c r="J738" s="108"/>
      <c r="K738" s="108"/>
      <c r="L738" s="108"/>
      <c r="M738" s="108"/>
      <c r="N738" s="108"/>
      <c r="O738" s="108"/>
    </row>
    <row r="739" spans="1:15" s="139" customFormat="1">
      <c r="A739" s="230"/>
      <c r="B739" s="101"/>
      <c r="C739" s="227"/>
      <c r="D739" s="228"/>
      <c r="E739" s="104"/>
      <c r="F739" s="230"/>
      <c r="G739" s="286"/>
      <c r="H739" s="107"/>
      <c r="I739" s="108"/>
      <c r="J739" s="108"/>
      <c r="K739" s="108"/>
      <c r="L739" s="108"/>
      <c r="M739" s="108"/>
      <c r="N739" s="108"/>
      <c r="O739" s="108"/>
    </row>
    <row r="740" spans="1:15" s="139" customFormat="1">
      <c r="A740" s="230"/>
      <c r="B740" s="101"/>
      <c r="C740" s="227"/>
      <c r="D740" s="228"/>
      <c r="E740" s="104"/>
      <c r="F740" s="230"/>
      <c r="G740" s="286"/>
      <c r="H740" s="107"/>
      <c r="I740" s="108"/>
      <c r="J740" s="108"/>
      <c r="K740" s="108"/>
      <c r="L740" s="108"/>
      <c r="M740" s="108"/>
      <c r="N740" s="108"/>
      <c r="O740" s="108"/>
    </row>
    <row r="741" spans="1:15" s="139" customFormat="1">
      <c r="A741" s="230"/>
      <c r="B741" s="101"/>
      <c r="C741" s="227"/>
      <c r="D741" s="228"/>
      <c r="E741" s="104"/>
      <c r="F741" s="230"/>
      <c r="G741" s="286"/>
      <c r="H741" s="107"/>
      <c r="I741" s="108"/>
      <c r="J741" s="108"/>
      <c r="K741" s="108"/>
      <c r="L741" s="108"/>
      <c r="M741" s="108"/>
      <c r="N741" s="108"/>
      <c r="O741" s="108"/>
    </row>
    <row r="742" spans="1:15" s="139" customFormat="1">
      <c r="A742" s="230"/>
      <c r="B742" s="101"/>
      <c r="C742" s="227"/>
      <c r="D742" s="228"/>
      <c r="E742" s="104"/>
      <c r="F742" s="230"/>
      <c r="G742" s="286"/>
      <c r="H742" s="107"/>
      <c r="I742" s="108"/>
      <c r="J742" s="108"/>
      <c r="K742" s="108"/>
      <c r="L742" s="108"/>
      <c r="M742" s="108"/>
      <c r="N742" s="108"/>
      <c r="O742" s="108"/>
    </row>
    <row r="743" spans="1:15" s="139" customFormat="1">
      <c r="A743" s="230"/>
      <c r="B743" s="101"/>
      <c r="C743" s="227"/>
      <c r="D743" s="228"/>
      <c r="E743" s="104"/>
      <c r="F743" s="230"/>
      <c r="G743" s="286"/>
      <c r="H743" s="107"/>
      <c r="I743" s="108"/>
      <c r="J743" s="108"/>
      <c r="K743" s="108"/>
      <c r="L743" s="108"/>
      <c r="M743" s="108"/>
      <c r="N743" s="108"/>
      <c r="O743" s="108"/>
    </row>
    <row r="744" spans="1:15" s="139" customFormat="1">
      <c r="A744" s="230"/>
      <c r="B744" s="101"/>
      <c r="C744" s="227"/>
      <c r="D744" s="228"/>
      <c r="E744" s="104"/>
      <c r="F744" s="230"/>
      <c r="G744" s="286"/>
      <c r="H744" s="107"/>
      <c r="I744" s="108"/>
      <c r="J744" s="108"/>
      <c r="K744" s="108"/>
      <c r="L744" s="108"/>
      <c r="M744" s="108"/>
      <c r="N744" s="108"/>
      <c r="O744" s="108"/>
    </row>
    <row r="745" spans="1:15" s="139" customFormat="1">
      <c r="A745" s="230"/>
      <c r="B745" s="101"/>
      <c r="C745" s="227"/>
      <c r="D745" s="228"/>
      <c r="E745" s="104"/>
      <c r="F745" s="230"/>
      <c r="G745" s="286"/>
      <c r="H745" s="107"/>
      <c r="I745" s="108"/>
      <c r="J745" s="108"/>
      <c r="K745" s="108"/>
      <c r="L745" s="108"/>
      <c r="M745" s="108"/>
      <c r="N745" s="108"/>
      <c r="O745" s="108"/>
    </row>
    <row r="746" spans="1:15" s="139" customFormat="1">
      <c r="A746" s="230"/>
      <c r="B746" s="101"/>
      <c r="C746" s="227"/>
      <c r="D746" s="228"/>
      <c r="E746" s="104"/>
      <c r="F746" s="230"/>
      <c r="G746" s="286"/>
      <c r="H746" s="107"/>
      <c r="I746" s="108"/>
      <c r="J746" s="108"/>
      <c r="K746" s="108"/>
      <c r="L746" s="108"/>
      <c r="M746" s="108"/>
      <c r="N746" s="108"/>
      <c r="O746" s="108"/>
    </row>
    <row r="747" spans="1:15" s="139" customFormat="1">
      <c r="A747" s="230"/>
      <c r="B747" s="101"/>
      <c r="C747" s="227"/>
      <c r="D747" s="228"/>
      <c r="E747" s="104"/>
      <c r="F747" s="230"/>
      <c r="G747" s="286"/>
      <c r="H747" s="107"/>
      <c r="I747" s="108"/>
      <c r="J747" s="108"/>
      <c r="K747" s="108"/>
      <c r="L747" s="108"/>
      <c r="M747" s="108"/>
      <c r="N747" s="108"/>
      <c r="O747" s="108"/>
    </row>
    <row r="748" spans="1:15" s="139" customFormat="1">
      <c r="A748" s="230"/>
      <c r="B748" s="101"/>
      <c r="C748" s="227"/>
      <c r="D748" s="228"/>
      <c r="E748" s="104"/>
      <c r="F748" s="230"/>
      <c r="G748" s="286"/>
      <c r="H748" s="107"/>
      <c r="I748" s="108"/>
      <c r="J748" s="108"/>
      <c r="K748" s="108"/>
      <c r="L748" s="108"/>
      <c r="M748" s="108"/>
      <c r="N748" s="108"/>
      <c r="O748" s="108"/>
    </row>
    <row r="749" spans="1:15" s="139" customFormat="1">
      <c r="A749" s="230"/>
      <c r="B749" s="101"/>
      <c r="C749" s="227"/>
      <c r="D749" s="228"/>
      <c r="E749" s="104"/>
      <c r="F749" s="230"/>
      <c r="G749" s="286"/>
      <c r="H749" s="107"/>
      <c r="I749" s="108"/>
      <c r="J749" s="108"/>
      <c r="K749" s="108"/>
      <c r="L749" s="108"/>
      <c r="M749" s="108"/>
      <c r="N749" s="108"/>
      <c r="O749" s="108"/>
    </row>
    <row r="750" spans="1:15" s="139" customFormat="1">
      <c r="A750" s="230"/>
      <c r="B750" s="101"/>
      <c r="C750" s="227"/>
      <c r="D750" s="228"/>
      <c r="E750" s="104"/>
      <c r="F750" s="230"/>
      <c r="G750" s="286"/>
      <c r="H750" s="107"/>
      <c r="I750" s="108"/>
      <c r="J750" s="108"/>
      <c r="K750" s="108"/>
      <c r="L750" s="108"/>
      <c r="M750" s="108"/>
      <c r="N750" s="108"/>
      <c r="O750" s="108"/>
    </row>
    <row r="751" spans="1:15" s="139" customFormat="1">
      <c r="A751" s="230"/>
      <c r="B751" s="101"/>
      <c r="C751" s="227"/>
      <c r="D751" s="228"/>
      <c r="E751" s="104"/>
      <c r="F751" s="230"/>
      <c r="G751" s="286"/>
      <c r="H751" s="107"/>
      <c r="I751" s="108"/>
      <c r="J751" s="108"/>
      <c r="K751" s="108"/>
      <c r="L751" s="108"/>
      <c r="M751" s="108"/>
      <c r="N751" s="108"/>
      <c r="O751" s="108"/>
    </row>
    <row r="752" spans="1:15" s="139" customFormat="1">
      <c r="A752" s="230"/>
      <c r="B752" s="101"/>
      <c r="C752" s="227"/>
      <c r="D752" s="228"/>
      <c r="E752" s="104"/>
      <c r="F752" s="230"/>
      <c r="G752" s="286"/>
      <c r="H752" s="107"/>
      <c r="I752" s="108"/>
      <c r="J752" s="108"/>
      <c r="K752" s="108"/>
      <c r="L752" s="108"/>
      <c r="M752" s="108"/>
      <c r="N752" s="108"/>
      <c r="O752" s="108"/>
    </row>
    <row r="753" spans="1:15" s="139" customFormat="1">
      <c r="A753" s="230"/>
      <c r="B753" s="101"/>
      <c r="C753" s="227"/>
      <c r="D753" s="228"/>
      <c r="E753" s="104"/>
      <c r="F753" s="230"/>
      <c r="G753" s="286"/>
      <c r="H753" s="107"/>
      <c r="I753" s="108"/>
      <c r="J753" s="108"/>
      <c r="K753" s="108"/>
      <c r="L753" s="108"/>
      <c r="M753" s="108"/>
      <c r="N753" s="108"/>
      <c r="O753" s="108"/>
    </row>
    <row r="754" spans="1:15" s="139" customFormat="1">
      <c r="A754" s="230"/>
      <c r="B754" s="101"/>
      <c r="C754" s="227"/>
      <c r="D754" s="228"/>
      <c r="E754" s="104"/>
      <c r="F754" s="230"/>
      <c r="G754" s="286"/>
      <c r="H754" s="107"/>
      <c r="I754" s="108"/>
      <c r="J754" s="108"/>
      <c r="K754" s="108"/>
      <c r="L754" s="108"/>
      <c r="M754" s="108"/>
      <c r="N754" s="108"/>
      <c r="O754" s="108"/>
    </row>
    <row r="755" spans="1:15" s="139" customFormat="1">
      <c r="A755" s="230"/>
      <c r="B755" s="101"/>
      <c r="C755" s="227"/>
      <c r="D755" s="228"/>
      <c r="E755" s="104"/>
      <c r="F755" s="230"/>
      <c r="G755" s="286"/>
      <c r="H755" s="107"/>
      <c r="I755" s="108"/>
      <c r="J755" s="108"/>
      <c r="K755" s="108"/>
      <c r="L755" s="108"/>
      <c r="M755" s="108"/>
      <c r="N755" s="108"/>
      <c r="O755" s="108"/>
    </row>
    <row r="756" spans="1:15" s="139" customFormat="1">
      <c r="A756" s="230"/>
      <c r="B756" s="101"/>
      <c r="C756" s="227"/>
      <c r="D756" s="228"/>
      <c r="E756" s="104"/>
      <c r="F756" s="230"/>
      <c r="G756" s="286"/>
      <c r="H756" s="107"/>
      <c r="I756" s="108"/>
      <c r="J756" s="108"/>
      <c r="K756" s="108"/>
      <c r="L756" s="108"/>
      <c r="M756" s="108"/>
      <c r="N756" s="108"/>
      <c r="O756" s="108"/>
    </row>
    <row r="757" spans="1:15" s="139" customFormat="1">
      <c r="A757" s="230"/>
      <c r="B757" s="101"/>
      <c r="C757" s="227"/>
      <c r="D757" s="228"/>
      <c r="E757" s="104"/>
      <c r="F757" s="230"/>
      <c r="G757" s="286"/>
      <c r="H757" s="107"/>
      <c r="I757" s="108"/>
      <c r="J757" s="108"/>
      <c r="K757" s="108"/>
      <c r="L757" s="108"/>
      <c r="M757" s="108"/>
      <c r="N757" s="108"/>
      <c r="O757" s="108"/>
    </row>
    <row r="758" spans="1:15" s="139" customFormat="1">
      <c r="A758" s="230"/>
      <c r="B758" s="101"/>
      <c r="C758" s="227"/>
      <c r="D758" s="228"/>
      <c r="E758" s="104"/>
      <c r="F758" s="230"/>
      <c r="G758" s="286"/>
      <c r="H758" s="107"/>
      <c r="I758" s="108"/>
      <c r="J758" s="108"/>
      <c r="K758" s="108"/>
      <c r="L758" s="108"/>
      <c r="M758" s="108"/>
      <c r="N758" s="108"/>
      <c r="O758" s="108"/>
    </row>
    <row r="759" spans="1:15" s="139" customFormat="1">
      <c r="A759" s="230"/>
      <c r="B759" s="101"/>
      <c r="C759" s="227"/>
      <c r="D759" s="228"/>
      <c r="E759" s="104"/>
      <c r="F759" s="230"/>
      <c r="G759" s="286"/>
      <c r="H759" s="107"/>
      <c r="I759" s="108"/>
      <c r="J759" s="108"/>
      <c r="K759" s="108"/>
      <c r="L759" s="108"/>
      <c r="M759" s="108"/>
      <c r="N759" s="108"/>
      <c r="O759" s="108"/>
    </row>
    <row r="760" spans="1:15" s="139" customFormat="1">
      <c r="A760" s="230"/>
      <c r="B760" s="101"/>
      <c r="C760" s="227"/>
      <c r="D760" s="228"/>
      <c r="E760" s="104"/>
      <c r="F760" s="230"/>
      <c r="G760" s="286"/>
      <c r="H760" s="107"/>
      <c r="I760" s="108"/>
      <c r="J760" s="108"/>
      <c r="K760" s="108"/>
      <c r="L760" s="108"/>
      <c r="M760" s="108"/>
      <c r="N760" s="108"/>
      <c r="O760" s="108"/>
    </row>
    <row r="761" spans="1:15" s="139" customFormat="1">
      <c r="A761" s="230"/>
      <c r="B761" s="101"/>
      <c r="C761" s="227"/>
      <c r="D761" s="228"/>
      <c r="E761" s="104"/>
      <c r="F761" s="230"/>
      <c r="G761" s="286"/>
      <c r="H761" s="107"/>
      <c r="I761" s="108"/>
      <c r="J761" s="108"/>
      <c r="K761" s="108"/>
      <c r="L761" s="108"/>
      <c r="M761" s="108"/>
      <c r="N761" s="108"/>
      <c r="O761" s="108"/>
    </row>
    <row r="762" spans="1:15" s="139" customFormat="1">
      <c r="A762" s="230"/>
      <c r="B762" s="101"/>
      <c r="C762" s="227"/>
      <c r="D762" s="228"/>
      <c r="E762" s="104"/>
      <c r="F762" s="230"/>
      <c r="G762" s="286"/>
      <c r="H762" s="107"/>
      <c r="I762" s="108"/>
      <c r="J762" s="108"/>
      <c r="K762" s="108"/>
      <c r="L762" s="108"/>
      <c r="M762" s="108"/>
      <c r="N762" s="108"/>
      <c r="O762" s="108"/>
    </row>
    <row r="763" spans="1:15" s="139" customFormat="1">
      <c r="A763" s="230"/>
      <c r="B763" s="101"/>
      <c r="C763" s="227"/>
      <c r="D763" s="228"/>
      <c r="E763" s="104"/>
      <c r="F763" s="230"/>
      <c r="G763" s="286"/>
      <c r="H763" s="107"/>
      <c r="I763" s="108"/>
      <c r="J763" s="108"/>
      <c r="K763" s="108"/>
      <c r="L763" s="108"/>
      <c r="M763" s="108"/>
      <c r="N763" s="108"/>
      <c r="O763" s="108"/>
    </row>
    <row r="764" spans="1:15" s="139" customFormat="1">
      <c r="A764" s="230"/>
      <c r="B764" s="101"/>
      <c r="C764" s="227"/>
      <c r="D764" s="228"/>
      <c r="E764" s="104"/>
      <c r="F764" s="230"/>
      <c r="G764" s="286"/>
      <c r="H764" s="107"/>
      <c r="I764" s="108"/>
      <c r="J764" s="108"/>
      <c r="K764" s="108"/>
      <c r="L764" s="108"/>
      <c r="M764" s="108"/>
      <c r="N764" s="108"/>
      <c r="O764" s="108"/>
    </row>
    <row r="765" spans="1:15" s="139" customFormat="1">
      <c r="A765" s="230"/>
      <c r="B765" s="101"/>
      <c r="C765" s="227"/>
      <c r="D765" s="228"/>
      <c r="E765" s="104"/>
      <c r="F765" s="230"/>
      <c r="G765" s="286"/>
      <c r="H765" s="107"/>
      <c r="I765" s="108"/>
      <c r="J765" s="108"/>
      <c r="K765" s="108"/>
      <c r="L765" s="108"/>
      <c r="M765" s="108"/>
      <c r="N765" s="108"/>
      <c r="O765" s="108"/>
    </row>
    <row r="766" spans="1:15" s="139" customFormat="1">
      <c r="A766" s="230"/>
      <c r="B766" s="101"/>
      <c r="C766" s="227"/>
      <c r="D766" s="228"/>
      <c r="E766" s="104"/>
      <c r="F766" s="230"/>
      <c r="G766" s="286"/>
      <c r="H766" s="107"/>
      <c r="I766" s="108"/>
      <c r="J766" s="108"/>
      <c r="K766" s="108"/>
      <c r="L766" s="108"/>
      <c r="M766" s="108"/>
      <c r="N766" s="108"/>
      <c r="O766" s="108"/>
    </row>
    <row r="767" spans="1:15" s="139" customFormat="1">
      <c r="A767" s="230"/>
      <c r="B767" s="101"/>
      <c r="C767" s="227"/>
      <c r="D767" s="228"/>
      <c r="E767" s="104"/>
      <c r="F767" s="230"/>
      <c r="G767" s="286"/>
      <c r="H767" s="107"/>
      <c r="I767" s="108"/>
      <c r="J767" s="108"/>
      <c r="K767" s="108"/>
      <c r="L767" s="108"/>
      <c r="M767" s="108"/>
      <c r="N767" s="108"/>
      <c r="O767" s="108"/>
    </row>
    <row r="768" spans="1:15" s="139" customFormat="1">
      <c r="A768" s="230"/>
      <c r="B768" s="101"/>
      <c r="C768" s="227"/>
      <c r="D768" s="228"/>
      <c r="E768" s="104"/>
      <c r="F768" s="230"/>
      <c r="G768" s="286"/>
      <c r="H768" s="107"/>
      <c r="I768" s="108"/>
      <c r="J768" s="108"/>
      <c r="K768" s="108"/>
      <c r="L768" s="108"/>
      <c r="M768" s="108"/>
      <c r="N768" s="108"/>
      <c r="O768" s="108"/>
    </row>
    <row r="769" spans="1:15" s="139" customFormat="1">
      <c r="A769" s="230"/>
      <c r="B769" s="101"/>
      <c r="C769" s="227"/>
      <c r="D769" s="228"/>
      <c r="E769" s="104"/>
      <c r="F769" s="230"/>
      <c r="G769" s="286"/>
      <c r="H769" s="107"/>
      <c r="I769" s="108"/>
      <c r="J769" s="108"/>
      <c r="K769" s="108"/>
      <c r="L769" s="108"/>
      <c r="M769" s="108"/>
      <c r="N769" s="108"/>
      <c r="O769" s="108"/>
    </row>
    <row r="770" spans="1:15" s="139" customFormat="1">
      <c r="A770" s="230"/>
      <c r="B770" s="101"/>
      <c r="C770" s="227"/>
      <c r="D770" s="228"/>
      <c r="E770" s="104"/>
      <c r="F770" s="230"/>
      <c r="G770" s="286"/>
      <c r="H770" s="107"/>
      <c r="I770" s="108"/>
      <c r="J770" s="108"/>
      <c r="K770" s="108"/>
      <c r="L770" s="108"/>
      <c r="M770" s="108"/>
      <c r="N770" s="108"/>
      <c r="O770" s="108"/>
    </row>
    <row r="771" spans="1:15" s="139" customFormat="1">
      <c r="A771" s="230"/>
      <c r="B771" s="101"/>
      <c r="C771" s="227"/>
      <c r="D771" s="228"/>
      <c r="E771" s="104"/>
      <c r="F771" s="230"/>
      <c r="G771" s="286"/>
      <c r="H771" s="107"/>
      <c r="I771" s="108"/>
      <c r="J771" s="108"/>
      <c r="K771" s="108"/>
      <c r="L771" s="108"/>
      <c r="M771" s="108"/>
      <c r="N771" s="108"/>
      <c r="O771" s="108"/>
    </row>
    <row r="772" spans="1:15" s="139" customFormat="1">
      <c r="A772" s="230"/>
      <c r="B772" s="101"/>
      <c r="C772" s="227"/>
      <c r="D772" s="228"/>
      <c r="E772" s="104"/>
      <c r="F772" s="230"/>
      <c r="G772" s="286"/>
      <c r="H772" s="107"/>
      <c r="I772" s="108"/>
      <c r="J772" s="108"/>
      <c r="K772" s="108"/>
      <c r="L772" s="108"/>
      <c r="M772" s="108"/>
      <c r="N772" s="108"/>
      <c r="O772" s="108"/>
    </row>
    <row r="773" spans="1:15" s="139" customFormat="1">
      <c r="A773" s="230"/>
      <c r="B773" s="101"/>
      <c r="C773" s="227"/>
      <c r="D773" s="228"/>
      <c r="E773" s="104"/>
      <c r="F773" s="230"/>
      <c r="G773" s="286"/>
      <c r="H773" s="107"/>
      <c r="I773" s="108"/>
      <c r="J773" s="108"/>
      <c r="K773" s="108"/>
      <c r="L773" s="108"/>
      <c r="M773" s="108"/>
      <c r="N773" s="108"/>
      <c r="O773" s="108"/>
    </row>
    <row r="774" spans="1:15" s="139" customFormat="1">
      <c r="A774" s="230"/>
      <c r="B774" s="101"/>
      <c r="C774" s="227"/>
      <c r="D774" s="228"/>
      <c r="E774" s="104"/>
      <c r="F774" s="230"/>
      <c r="G774" s="286"/>
      <c r="H774" s="107"/>
      <c r="I774" s="108"/>
      <c r="J774" s="108"/>
      <c r="K774" s="108"/>
      <c r="L774" s="108"/>
      <c r="M774" s="108"/>
      <c r="N774" s="108"/>
      <c r="O774" s="108"/>
    </row>
    <row r="775" spans="1:15" s="139" customFormat="1">
      <c r="A775" s="230"/>
      <c r="B775" s="101"/>
      <c r="C775" s="227"/>
      <c r="D775" s="228"/>
      <c r="E775" s="104"/>
      <c r="F775" s="230"/>
      <c r="G775" s="286"/>
      <c r="H775" s="107"/>
      <c r="I775" s="108"/>
      <c r="J775" s="108"/>
      <c r="K775" s="108"/>
      <c r="L775" s="108"/>
      <c r="M775" s="108"/>
      <c r="N775" s="108"/>
      <c r="O775" s="108"/>
    </row>
    <row r="776" spans="1:15" s="139" customFormat="1">
      <c r="A776" s="230"/>
      <c r="B776" s="101"/>
      <c r="C776" s="227"/>
      <c r="D776" s="228"/>
      <c r="E776" s="104"/>
      <c r="F776" s="230"/>
      <c r="G776" s="286"/>
      <c r="H776" s="107"/>
      <c r="I776" s="108"/>
      <c r="J776" s="108"/>
      <c r="K776" s="108"/>
      <c r="L776" s="108"/>
      <c r="M776" s="108"/>
      <c r="N776" s="108"/>
      <c r="O776" s="108"/>
    </row>
    <row r="777" spans="1:15" s="139" customFormat="1">
      <c r="A777" s="230"/>
      <c r="B777" s="101"/>
      <c r="C777" s="227"/>
      <c r="D777" s="228"/>
      <c r="E777" s="104"/>
      <c r="F777" s="230"/>
      <c r="G777" s="286"/>
      <c r="H777" s="107"/>
      <c r="I777" s="108"/>
      <c r="J777" s="108"/>
      <c r="K777" s="108"/>
      <c r="L777" s="108"/>
      <c r="M777" s="108"/>
      <c r="N777" s="108"/>
      <c r="O777" s="108"/>
    </row>
    <row r="778" spans="1:15" s="139" customFormat="1">
      <c r="A778" s="230"/>
      <c r="B778" s="101"/>
      <c r="C778" s="227"/>
      <c r="D778" s="228"/>
      <c r="E778" s="104"/>
      <c r="F778" s="230"/>
      <c r="G778" s="286"/>
      <c r="H778" s="107"/>
      <c r="I778" s="108"/>
      <c r="J778" s="108"/>
      <c r="K778" s="108"/>
      <c r="L778" s="108"/>
      <c r="M778" s="108"/>
      <c r="N778" s="108"/>
      <c r="O778" s="108"/>
    </row>
    <row r="779" spans="1:15" s="139" customFormat="1">
      <c r="A779" s="230"/>
      <c r="B779" s="101"/>
      <c r="C779" s="227"/>
      <c r="D779" s="228"/>
      <c r="E779" s="104"/>
      <c r="F779" s="230"/>
      <c r="G779" s="286"/>
      <c r="H779" s="107"/>
      <c r="I779" s="108"/>
      <c r="J779" s="108"/>
      <c r="K779" s="108"/>
      <c r="L779" s="108"/>
      <c r="M779" s="108"/>
      <c r="N779" s="108"/>
      <c r="O779" s="108"/>
    </row>
    <row r="780" spans="1:15" s="139" customFormat="1">
      <c r="A780" s="230"/>
      <c r="B780" s="101"/>
      <c r="C780" s="227"/>
      <c r="D780" s="228"/>
      <c r="E780" s="104"/>
      <c r="F780" s="230"/>
      <c r="G780" s="286"/>
      <c r="H780" s="107"/>
      <c r="I780" s="108"/>
      <c r="J780" s="108"/>
      <c r="K780" s="108"/>
      <c r="L780" s="108"/>
      <c r="M780" s="108"/>
      <c r="N780" s="108"/>
      <c r="O780" s="108"/>
    </row>
    <row r="781" spans="1:15" s="139" customFormat="1">
      <c r="A781" s="230"/>
      <c r="B781" s="101"/>
      <c r="C781" s="227"/>
      <c r="D781" s="228"/>
      <c r="E781" s="104"/>
      <c r="F781" s="230"/>
      <c r="G781" s="286"/>
      <c r="H781" s="107"/>
      <c r="I781" s="108"/>
      <c r="J781" s="108"/>
      <c r="K781" s="108"/>
      <c r="L781" s="108"/>
      <c r="M781" s="108"/>
      <c r="N781" s="108"/>
      <c r="O781" s="108"/>
    </row>
    <row r="782" spans="1:15" s="139" customFormat="1">
      <c r="A782" s="230"/>
      <c r="B782" s="101"/>
      <c r="C782" s="227"/>
      <c r="D782" s="228"/>
      <c r="E782" s="104"/>
      <c r="F782" s="230"/>
      <c r="G782" s="286"/>
      <c r="H782" s="107"/>
      <c r="I782" s="108"/>
      <c r="J782" s="108"/>
      <c r="K782" s="108"/>
      <c r="L782" s="108"/>
      <c r="M782" s="108"/>
      <c r="N782" s="108"/>
      <c r="O782" s="108"/>
    </row>
    <row r="783" spans="1:15" s="139" customFormat="1">
      <c r="A783" s="230"/>
      <c r="B783" s="101"/>
      <c r="C783" s="227"/>
      <c r="D783" s="228"/>
      <c r="E783" s="104"/>
      <c r="F783" s="230"/>
      <c r="G783" s="286"/>
      <c r="H783" s="107"/>
      <c r="I783" s="108"/>
      <c r="J783" s="108"/>
      <c r="K783" s="108"/>
      <c r="L783" s="108"/>
      <c r="M783" s="108"/>
      <c r="N783" s="108"/>
      <c r="O783" s="108"/>
    </row>
    <row r="784" spans="1:15" s="139" customFormat="1">
      <c r="A784" s="230"/>
      <c r="B784" s="101"/>
      <c r="C784" s="227"/>
      <c r="D784" s="228"/>
      <c r="E784" s="104"/>
      <c r="F784" s="230"/>
      <c r="G784" s="286"/>
      <c r="H784" s="107"/>
      <c r="I784" s="108"/>
      <c r="J784" s="108"/>
      <c r="K784" s="108"/>
      <c r="L784" s="108"/>
      <c r="M784" s="108"/>
      <c r="N784" s="108"/>
      <c r="O784" s="108"/>
    </row>
    <row r="785" spans="1:15" s="139" customFormat="1">
      <c r="A785" s="230"/>
      <c r="B785" s="101"/>
      <c r="C785" s="227"/>
      <c r="D785" s="228"/>
      <c r="E785" s="104"/>
      <c r="F785" s="230"/>
      <c r="G785" s="286"/>
      <c r="H785" s="107"/>
      <c r="I785" s="108"/>
      <c r="J785" s="108"/>
      <c r="K785" s="108"/>
      <c r="L785" s="108"/>
      <c r="M785" s="108"/>
      <c r="N785" s="108"/>
      <c r="O785" s="108"/>
    </row>
    <row r="786" spans="1:15" s="139" customFormat="1">
      <c r="A786" s="230"/>
      <c r="B786" s="101"/>
      <c r="C786" s="227"/>
      <c r="D786" s="228"/>
      <c r="E786" s="104"/>
      <c r="F786" s="230"/>
      <c r="G786" s="286"/>
      <c r="H786" s="107"/>
      <c r="I786" s="108"/>
      <c r="J786" s="108"/>
      <c r="K786" s="108"/>
      <c r="L786" s="108"/>
      <c r="M786" s="108"/>
      <c r="N786" s="108"/>
      <c r="O786" s="108"/>
    </row>
    <row r="787" spans="1:15" s="139" customFormat="1">
      <c r="A787" s="230"/>
      <c r="B787" s="101"/>
      <c r="C787" s="227"/>
      <c r="D787" s="228"/>
      <c r="E787" s="104"/>
      <c r="F787" s="230"/>
      <c r="G787" s="286"/>
      <c r="H787" s="107"/>
      <c r="I787" s="108"/>
      <c r="J787" s="108"/>
      <c r="K787" s="108"/>
      <c r="L787" s="108"/>
      <c r="M787" s="108"/>
      <c r="N787" s="108"/>
      <c r="O787" s="108"/>
    </row>
    <row r="788" spans="1:15" s="139" customFormat="1">
      <c r="A788" s="230"/>
      <c r="B788" s="101"/>
      <c r="C788" s="227"/>
      <c r="D788" s="228"/>
      <c r="E788" s="104"/>
      <c r="F788" s="230"/>
      <c r="G788" s="286"/>
      <c r="H788" s="107"/>
      <c r="I788" s="108"/>
      <c r="J788" s="108"/>
      <c r="K788" s="108"/>
      <c r="L788" s="108"/>
      <c r="M788" s="108"/>
      <c r="N788" s="108"/>
      <c r="O788" s="108"/>
    </row>
    <row r="789" spans="1:15" s="139" customFormat="1">
      <c r="A789" s="230"/>
      <c r="B789" s="101"/>
      <c r="C789" s="227"/>
      <c r="D789" s="228"/>
      <c r="E789" s="104"/>
      <c r="F789" s="230"/>
      <c r="G789" s="286"/>
      <c r="H789" s="107"/>
      <c r="I789" s="108"/>
      <c r="J789" s="108"/>
      <c r="K789" s="108"/>
      <c r="L789" s="108"/>
      <c r="M789" s="108"/>
      <c r="N789" s="108"/>
      <c r="O789" s="108"/>
    </row>
    <row r="790" spans="1:15" s="139" customFormat="1">
      <c r="A790" s="230"/>
      <c r="B790" s="101"/>
      <c r="C790" s="227"/>
      <c r="D790" s="228"/>
      <c r="E790" s="104"/>
      <c r="F790" s="230"/>
      <c r="G790" s="286"/>
      <c r="H790" s="107"/>
      <c r="I790" s="108"/>
      <c r="J790" s="108"/>
      <c r="K790" s="108"/>
      <c r="L790" s="108"/>
      <c r="M790" s="108"/>
      <c r="N790" s="108"/>
      <c r="O790" s="108"/>
    </row>
    <row r="791" spans="1:15" s="139" customFormat="1">
      <c r="A791" s="230"/>
      <c r="B791" s="101"/>
      <c r="C791" s="227"/>
      <c r="D791" s="228"/>
      <c r="E791" s="104"/>
      <c r="F791" s="230"/>
      <c r="G791" s="286"/>
      <c r="H791" s="107"/>
      <c r="I791" s="108"/>
      <c r="J791" s="108"/>
      <c r="K791" s="108"/>
      <c r="L791" s="108"/>
      <c r="M791" s="108"/>
      <c r="N791" s="108"/>
      <c r="O791" s="108"/>
    </row>
    <row r="792" spans="1:15" s="139" customFormat="1">
      <c r="A792" s="230"/>
      <c r="B792" s="101"/>
      <c r="C792" s="227"/>
      <c r="D792" s="228"/>
      <c r="E792" s="104"/>
      <c r="F792" s="230"/>
      <c r="G792" s="286"/>
      <c r="H792" s="107"/>
      <c r="I792" s="108"/>
      <c r="J792" s="108"/>
      <c r="K792" s="108"/>
      <c r="L792" s="108"/>
      <c r="M792" s="108"/>
      <c r="N792" s="108"/>
      <c r="O792" s="108"/>
    </row>
    <row r="793" spans="1:15" s="139" customFormat="1">
      <c r="A793" s="230"/>
      <c r="B793" s="101"/>
      <c r="C793" s="227"/>
      <c r="D793" s="228"/>
      <c r="E793" s="104"/>
      <c r="F793" s="230"/>
      <c r="G793" s="286"/>
      <c r="H793" s="107"/>
      <c r="I793" s="108"/>
      <c r="J793" s="108"/>
      <c r="K793" s="108"/>
      <c r="L793" s="108"/>
      <c r="M793" s="108"/>
      <c r="N793" s="108"/>
      <c r="O793" s="108"/>
    </row>
    <row r="794" spans="1:15" s="139" customFormat="1">
      <c r="A794" s="230"/>
      <c r="B794" s="101"/>
      <c r="C794" s="227"/>
      <c r="D794" s="228"/>
      <c r="E794" s="104"/>
      <c r="F794" s="230"/>
      <c r="G794" s="286"/>
      <c r="H794" s="107"/>
      <c r="I794" s="108"/>
      <c r="J794" s="108"/>
      <c r="K794" s="108"/>
      <c r="L794" s="108"/>
      <c r="M794" s="108"/>
      <c r="N794" s="108"/>
      <c r="O794" s="108"/>
    </row>
    <row r="795" spans="1:15" s="139" customFormat="1">
      <c r="A795" s="230"/>
      <c r="B795" s="101"/>
      <c r="C795" s="227"/>
      <c r="D795" s="228"/>
      <c r="E795" s="104"/>
      <c r="F795" s="230"/>
      <c r="G795" s="286"/>
      <c r="H795" s="107"/>
      <c r="I795" s="108"/>
      <c r="J795" s="108"/>
      <c r="K795" s="108"/>
      <c r="L795" s="108"/>
      <c r="M795" s="108"/>
      <c r="N795" s="108"/>
      <c r="O795" s="108"/>
    </row>
    <row r="796" spans="1:15" s="139" customFormat="1">
      <c r="A796" s="230"/>
      <c r="B796" s="101"/>
      <c r="C796" s="227"/>
      <c r="D796" s="228"/>
      <c r="E796" s="104"/>
      <c r="F796" s="230"/>
      <c r="G796" s="286"/>
      <c r="H796" s="107"/>
      <c r="I796" s="108"/>
      <c r="J796" s="108"/>
      <c r="K796" s="108"/>
      <c r="L796" s="108"/>
      <c r="M796" s="108"/>
      <c r="N796" s="108"/>
      <c r="O796" s="108"/>
    </row>
    <row r="797" spans="1:15" s="139" customFormat="1">
      <c r="A797" s="230"/>
      <c r="B797" s="101"/>
      <c r="C797" s="227"/>
      <c r="D797" s="228"/>
      <c r="E797" s="104"/>
      <c r="F797" s="230"/>
      <c r="G797" s="286"/>
      <c r="H797" s="107"/>
      <c r="I797" s="108"/>
      <c r="J797" s="108"/>
      <c r="K797" s="108"/>
      <c r="L797" s="108"/>
      <c r="M797" s="108"/>
      <c r="N797" s="108"/>
      <c r="O797" s="108"/>
    </row>
    <row r="798" spans="1:15" s="139" customFormat="1">
      <c r="A798" s="230"/>
      <c r="B798" s="101"/>
      <c r="C798" s="227"/>
      <c r="D798" s="228"/>
      <c r="E798" s="104"/>
      <c r="F798" s="230"/>
      <c r="G798" s="286"/>
      <c r="H798" s="107"/>
      <c r="I798" s="108"/>
      <c r="J798" s="108"/>
      <c r="K798" s="108"/>
      <c r="L798" s="108"/>
      <c r="M798" s="108"/>
      <c r="N798" s="108"/>
      <c r="O798" s="108"/>
    </row>
    <row r="799" spans="1:15" s="139" customFormat="1">
      <c r="A799" s="230"/>
      <c r="B799" s="101"/>
      <c r="C799" s="227"/>
      <c r="D799" s="228"/>
      <c r="E799" s="104"/>
      <c r="F799" s="230"/>
      <c r="G799" s="286"/>
      <c r="H799" s="107"/>
      <c r="I799" s="108"/>
      <c r="J799" s="108"/>
      <c r="K799" s="108"/>
      <c r="L799" s="108"/>
      <c r="M799" s="108"/>
      <c r="N799" s="108"/>
      <c r="O799" s="108"/>
    </row>
    <row r="800" spans="1:15" s="139" customFormat="1">
      <c r="A800" s="230"/>
      <c r="B800" s="101"/>
      <c r="C800" s="227"/>
      <c r="D800" s="228"/>
      <c r="E800" s="104"/>
      <c r="F800" s="230"/>
      <c r="G800" s="286"/>
      <c r="H800" s="107"/>
      <c r="I800" s="108"/>
      <c r="J800" s="108"/>
      <c r="K800" s="108"/>
      <c r="L800" s="108"/>
      <c r="M800" s="108"/>
      <c r="N800" s="108"/>
      <c r="O800" s="108"/>
    </row>
    <row r="801" spans="1:15" s="139" customFormat="1">
      <c r="A801" s="230"/>
      <c r="B801" s="101"/>
      <c r="C801" s="227"/>
      <c r="D801" s="228"/>
      <c r="E801" s="104"/>
      <c r="F801" s="230"/>
      <c r="G801" s="286"/>
      <c r="H801" s="107"/>
      <c r="I801" s="108"/>
      <c r="J801" s="108"/>
      <c r="K801" s="108"/>
      <c r="L801" s="108"/>
      <c r="M801" s="108"/>
      <c r="N801" s="108"/>
      <c r="O801" s="108"/>
    </row>
    <row r="802" spans="1:15" s="139" customFormat="1">
      <c r="A802" s="230"/>
      <c r="B802" s="101"/>
      <c r="C802" s="227"/>
      <c r="D802" s="228"/>
      <c r="E802" s="104"/>
      <c r="F802" s="230"/>
      <c r="G802" s="286"/>
      <c r="H802" s="107"/>
      <c r="I802" s="108"/>
      <c r="J802" s="108"/>
      <c r="K802" s="108"/>
      <c r="L802" s="108"/>
      <c r="M802" s="108"/>
      <c r="N802" s="108"/>
      <c r="O802" s="108"/>
    </row>
    <row r="803" spans="1:15" s="139" customFormat="1">
      <c r="A803" s="230"/>
      <c r="B803" s="101"/>
      <c r="C803" s="227"/>
      <c r="D803" s="228"/>
      <c r="E803" s="104"/>
      <c r="F803" s="230"/>
      <c r="G803" s="286"/>
      <c r="H803" s="107"/>
      <c r="I803" s="108"/>
      <c r="J803" s="108"/>
      <c r="K803" s="108"/>
      <c r="L803" s="108"/>
      <c r="M803" s="108"/>
      <c r="N803" s="108"/>
      <c r="O803" s="108"/>
    </row>
    <row r="804" spans="1:15" s="139" customFormat="1">
      <c r="A804" s="230"/>
      <c r="B804" s="101"/>
      <c r="C804" s="227"/>
      <c r="D804" s="228"/>
      <c r="E804" s="104"/>
      <c r="F804" s="230"/>
      <c r="G804" s="286"/>
      <c r="H804" s="107"/>
      <c r="I804" s="108"/>
      <c r="J804" s="108"/>
      <c r="K804" s="108"/>
      <c r="L804" s="108"/>
      <c r="M804" s="108"/>
      <c r="N804" s="108"/>
      <c r="O804" s="108"/>
    </row>
    <row r="805" spans="1:15" s="139" customFormat="1">
      <c r="A805" s="230"/>
      <c r="B805" s="101"/>
      <c r="C805" s="227"/>
      <c r="D805" s="228"/>
      <c r="E805" s="104"/>
      <c r="F805" s="230"/>
      <c r="G805" s="286"/>
      <c r="H805" s="107"/>
      <c r="I805" s="108"/>
      <c r="J805" s="108"/>
      <c r="K805" s="108"/>
      <c r="L805" s="108"/>
      <c r="M805" s="108"/>
      <c r="N805" s="108"/>
      <c r="O805" s="108"/>
    </row>
    <row r="806" spans="1:15" s="139" customFormat="1">
      <c r="A806" s="230"/>
      <c r="B806" s="101"/>
      <c r="C806" s="227"/>
      <c r="D806" s="228"/>
      <c r="E806" s="104"/>
      <c r="F806" s="230"/>
      <c r="G806" s="286"/>
      <c r="H806" s="107"/>
      <c r="I806" s="108"/>
      <c r="J806" s="108"/>
      <c r="K806" s="108"/>
      <c r="L806" s="108"/>
      <c r="M806" s="108"/>
      <c r="N806" s="108"/>
      <c r="O806" s="108"/>
    </row>
    <row r="807" spans="1:15" s="139" customFormat="1">
      <c r="A807" s="230"/>
      <c r="B807" s="101"/>
      <c r="C807" s="227"/>
      <c r="D807" s="228"/>
      <c r="E807" s="104"/>
      <c r="F807" s="230"/>
      <c r="G807" s="286"/>
      <c r="H807" s="107"/>
      <c r="I807" s="108"/>
      <c r="J807" s="108"/>
      <c r="K807" s="108"/>
      <c r="L807" s="108"/>
      <c r="M807" s="108"/>
      <c r="N807" s="108"/>
      <c r="O807" s="108"/>
    </row>
    <row r="808" spans="1:15" s="139" customFormat="1">
      <c r="A808" s="230"/>
      <c r="B808" s="101"/>
      <c r="C808" s="227"/>
      <c r="D808" s="228"/>
      <c r="E808" s="104"/>
      <c r="F808" s="230"/>
      <c r="G808" s="286"/>
      <c r="H808" s="107"/>
      <c r="I808" s="108"/>
      <c r="J808" s="108"/>
      <c r="K808" s="108"/>
      <c r="L808" s="108"/>
      <c r="M808" s="108"/>
      <c r="N808" s="108"/>
      <c r="O808" s="108"/>
    </row>
    <row r="809" spans="1:15" s="139" customFormat="1">
      <c r="A809" s="230"/>
      <c r="B809" s="101"/>
      <c r="C809" s="227"/>
      <c r="D809" s="228"/>
      <c r="E809" s="104"/>
      <c r="F809" s="230"/>
      <c r="G809" s="286"/>
      <c r="H809" s="107"/>
      <c r="I809" s="108"/>
      <c r="J809" s="108"/>
      <c r="K809" s="108"/>
      <c r="L809" s="108"/>
      <c r="M809" s="108"/>
      <c r="N809" s="108"/>
      <c r="O809" s="108"/>
    </row>
    <row r="810" spans="1:15" s="139" customFormat="1">
      <c r="A810" s="230"/>
      <c r="B810" s="101"/>
      <c r="C810" s="227"/>
      <c r="D810" s="228"/>
      <c r="E810" s="104"/>
      <c r="F810" s="230"/>
      <c r="G810" s="286"/>
      <c r="H810" s="107"/>
      <c r="I810" s="108"/>
      <c r="J810" s="108"/>
      <c r="K810" s="108"/>
      <c r="L810" s="108"/>
      <c r="M810" s="108"/>
      <c r="N810" s="108"/>
      <c r="O810" s="108"/>
    </row>
    <row r="811" spans="1:15" s="139" customFormat="1">
      <c r="A811" s="230"/>
      <c r="B811" s="101"/>
      <c r="C811" s="227"/>
      <c r="D811" s="228"/>
      <c r="E811" s="104"/>
      <c r="F811" s="230"/>
      <c r="G811" s="286"/>
      <c r="H811" s="107"/>
      <c r="I811" s="108"/>
      <c r="J811" s="108"/>
      <c r="K811" s="108"/>
      <c r="L811" s="108"/>
      <c r="M811" s="108"/>
      <c r="N811" s="108"/>
      <c r="O811" s="108"/>
    </row>
    <row r="812" spans="1:15" s="139" customFormat="1">
      <c r="A812" s="230"/>
      <c r="B812" s="101"/>
      <c r="C812" s="227"/>
      <c r="D812" s="228"/>
      <c r="E812" s="104"/>
      <c r="F812" s="230"/>
      <c r="G812" s="286"/>
      <c r="H812" s="107"/>
      <c r="I812" s="108"/>
      <c r="J812" s="108"/>
      <c r="K812" s="108"/>
      <c r="L812" s="108"/>
      <c r="M812" s="108"/>
      <c r="N812" s="108"/>
      <c r="O812" s="108"/>
    </row>
    <row r="813" spans="1:15" s="139" customFormat="1">
      <c r="A813" s="230"/>
      <c r="B813" s="101"/>
      <c r="C813" s="227"/>
      <c r="D813" s="228"/>
      <c r="E813" s="104"/>
      <c r="F813" s="230"/>
      <c r="G813" s="286"/>
      <c r="H813" s="107"/>
      <c r="I813" s="108"/>
      <c r="J813" s="108"/>
      <c r="K813" s="108"/>
      <c r="L813" s="108"/>
      <c r="M813" s="108"/>
      <c r="N813" s="108"/>
      <c r="O813" s="108"/>
    </row>
    <row r="814" spans="1:15" s="139" customFormat="1">
      <c r="A814" s="230"/>
      <c r="B814" s="101"/>
      <c r="C814" s="227"/>
      <c r="D814" s="228"/>
      <c r="E814" s="104"/>
      <c r="F814" s="230"/>
      <c r="G814" s="286"/>
      <c r="H814" s="107"/>
      <c r="I814" s="108"/>
      <c r="J814" s="108"/>
      <c r="K814" s="108"/>
      <c r="L814" s="108"/>
      <c r="M814" s="108"/>
      <c r="N814" s="108"/>
      <c r="O814" s="108"/>
    </row>
    <row r="815" spans="1:15" s="139" customFormat="1">
      <c r="A815" s="230"/>
      <c r="B815" s="101"/>
      <c r="C815" s="227"/>
      <c r="D815" s="228"/>
      <c r="E815" s="104"/>
      <c r="F815" s="230"/>
      <c r="G815" s="286"/>
      <c r="H815" s="107"/>
      <c r="I815" s="108"/>
      <c r="J815" s="108"/>
      <c r="K815" s="108"/>
      <c r="L815" s="108"/>
      <c r="M815" s="108"/>
      <c r="N815" s="108"/>
      <c r="O815" s="108"/>
    </row>
    <row r="816" spans="1:15" s="139" customFormat="1">
      <c r="A816" s="230"/>
      <c r="B816" s="101"/>
      <c r="C816" s="227"/>
      <c r="D816" s="228"/>
      <c r="E816" s="104"/>
      <c r="F816" s="230"/>
      <c r="G816" s="286"/>
      <c r="H816" s="107"/>
      <c r="I816" s="108"/>
      <c r="J816" s="108"/>
      <c r="K816" s="108"/>
      <c r="L816" s="108"/>
      <c r="M816" s="108"/>
      <c r="N816" s="108"/>
      <c r="O816" s="108"/>
    </row>
    <row r="817" spans="1:15" s="139" customFormat="1">
      <c r="A817" s="230"/>
      <c r="B817" s="101"/>
      <c r="C817" s="227"/>
      <c r="D817" s="228"/>
      <c r="E817" s="104"/>
      <c r="F817" s="230"/>
      <c r="G817" s="286"/>
      <c r="H817" s="107"/>
      <c r="I817" s="108"/>
      <c r="J817" s="108"/>
      <c r="K817" s="108"/>
      <c r="L817" s="108"/>
      <c r="M817" s="108"/>
      <c r="N817" s="108"/>
      <c r="O817" s="108"/>
    </row>
    <row r="818" spans="1:15" s="139" customFormat="1">
      <c r="A818" s="230"/>
      <c r="B818" s="101"/>
      <c r="C818" s="227"/>
      <c r="D818" s="228"/>
      <c r="E818" s="104"/>
      <c r="F818" s="230"/>
      <c r="G818" s="286"/>
      <c r="H818" s="107"/>
      <c r="I818" s="108"/>
      <c r="J818" s="108"/>
      <c r="K818" s="108"/>
      <c r="L818" s="108"/>
      <c r="M818" s="108"/>
      <c r="N818" s="108"/>
      <c r="O818" s="108"/>
    </row>
    <row r="819" spans="1:15" s="139" customFormat="1">
      <c r="A819" s="230"/>
      <c r="B819" s="101"/>
      <c r="C819" s="227"/>
      <c r="D819" s="228"/>
      <c r="E819" s="104"/>
      <c r="F819" s="230"/>
      <c r="G819" s="286"/>
      <c r="H819" s="107"/>
      <c r="I819" s="108"/>
      <c r="J819" s="108"/>
      <c r="K819" s="108"/>
      <c r="L819" s="108"/>
      <c r="M819" s="108"/>
      <c r="N819" s="108"/>
      <c r="O819" s="108"/>
    </row>
    <row r="820" spans="1:15" s="139" customFormat="1">
      <c r="A820" s="230"/>
      <c r="B820" s="101"/>
      <c r="C820" s="227"/>
      <c r="D820" s="228"/>
      <c r="E820" s="104"/>
      <c r="F820" s="230"/>
      <c r="G820" s="286"/>
      <c r="H820" s="107"/>
      <c r="I820" s="108"/>
      <c r="J820" s="108"/>
      <c r="K820" s="108"/>
      <c r="L820" s="108"/>
      <c r="M820" s="108"/>
      <c r="N820" s="108"/>
      <c r="O820" s="108"/>
    </row>
    <row r="821" spans="1:15" s="139" customFormat="1">
      <c r="A821" s="230"/>
      <c r="B821" s="101"/>
      <c r="C821" s="227"/>
      <c r="D821" s="228"/>
      <c r="E821" s="104"/>
      <c r="F821" s="230"/>
      <c r="G821" s="286"/>
      <c r="H821" s="107"/>
      <c r="I821" s="108"/>
      <c r="J821" s="108"/>
      <c r="K821" s="108"/>
      <c r="L821" s="108"/>
      <c r="M821" s="108"/>
      <c r="N821" s="108"/>
      <c r="O821" s="108"/>
    </row>
    <row r="822" spans="1:15" s="139" customFormat="1">
      <c r="A822" s="230"/>
      <c r="B822" s="101"/>
      <c r="C822" s="227"/>
      <c r="D822" s="228"/>
      <c r="E822" s="104"/>
      <c r="F822" s="230"/>
      <c r="G822" s="286"/>
      <c r="H822" s="107"/>
      <c r="I822" s="108"/>
      <c r="J822" s="108"/>
      <c r="K822" s="108"/>
      <c r="L822" s="108"/>
      <c r="M822" s="108"/>
      <c r="N822" s="108"/>
      <c r="O822" s="108"/>
    </row>
    <row r="823" spans="1:15" s="139" customFormat="1">
      <c r="A823" s="230"/>
      <c r="B823" s="101"/>
      <c r="C823" s="227"/>
      <c r="D823" s="228"/>
      <c r="E823" s="104"/>
      <c r="F823" s="230"/>
      <c r="G823" s="286"/>
      <c r="H823" s="107"/>
      <c r="I823" s="108"/>
      <c r="J823" s="108"/>
      <c r="K823" s="108"/>
      <c r="L823" s="108"/>
      <c r="M823" s="108"/>
      <c r="N823" s="108"/>
      <c r="O823" s="108"/>
    </row>
    <row r="824" spans="1:15" s="139" customFormat="1">
      <c r="A824" s="230"/>
      <c r="B824" s="101"/>
      <c r="C824" s="227"/>
      <c r="D824" s="228"/>
      <c r="E824" s="104"/>
      <c r="F824" s="230"/>
      <c r="G824" s="286"/>
      <c r="H824" s="107"/>
      <c r="I824" s="108"/>
      <c r="J824" s="108"/>
      <c r="K824" s="108"/>
      <c r="L824" s="108"/>
      <c r="M824" s="108"/>
      <c r="N824" s="108"/>
      <c r="O824" s="108"/>
    </row>
    <row r="825" spans="1:15" s="139" customFormat="1">
      <c r="A825" s="230"/>
      <c r="B825" s="101"/>
      <c r="C825" s="227"/>
      <c r="D825" s="228"/>
      <c r="E825" s="104"/>
      <c r="F825" s="230"/>
      <c r="G825" s="286"/>
      <c r="H825" s="107"/>
      <c r="I825" s="108"/>
      <c r="J825" s="108"/>
      <c r="K825" s="108"/>
      <c r="L825" s="108"/>
      <c r="M825" s="108"/>
      <c r="N825" s="108"/>
      <c r="O825" s="108"/>
    </row>
    <row r="826" spans="1:15" s="139" customFormat="1">
      <c r="A826" s="230"/>
      <c r="B826" s="101"/>
      <c r="C826" s="227"/>
      <c r="D826" s="228"/>
      <c r="E826" s="104"/>
      <c r="F826" s="230"/>
      <c r="G826" s="286"/>
      <c r="H826" s="107"/>
      <c r="I826" s="108"/>
      <c r="J826" s="108"/>
      <c r="K826" s="108"/>
      <c r="L826" s="108"/>
      <c r="M826" s="108"/>
      <c r="N826" s="108"/>
      <c r="O826" s="108"/>
    </row>
    <row r="827" spans="1:15" s="139" customFormat="1">
      <c r="A827" s="230"/>
      <c r="B827" s="101"/>
      <c r="C827" s="227"/>
      <c r="D827" s="228"/>
      <c r="E827" s="104"/>
      <c r="F827" s="230"/>
      <c r="G827" s="286"/>
      <c r="H827" s="107"/>
      <c r="I827" s="108"/>
      <c r="J827" s="108"/>
      <c r="K827" s="108"/>
      <c r="L827" s="108"/>
      <c r="M827" s="108"/>
      <c r="N827" s="108"/>
      <c r="O827" s="108"/>
    </row>
    <row r="828" spans="1:15" s="139" customFormat="1">
      <c r="A828" s="230"/>
      <c r="B828" s="101"/>
      <c r="C828" s="227"/>
      <c r="D828" s="228"/>
      <c r="E828" s="104"/>
      <c r="F828" s="230"/>
      <c r="G828" s="286"/>
      <c r="H828" s="107"/>
      <c r="I828" s="108"/>
      <c r="J828" s="108"/>
      <c r="K828" s="108"/>
      <c r="L828" s="108"/>
      <c r="M828" s="108"/>
      <c r="N828" s="108"/>
      <c r="O828" s="108"/>
    </row>
    <row r="829" spans="1:15" s="139" customFormat="1">
      <c r="A829" s="230"/>
      <c r="B829" s="101"/>
      <c r="C829" s="227"/>
      <c r="D829" s="228"/>
      <c r="E829" s="104"/>
      <c r="F829" s="230"/>
      <c r="G829" s="286"/>
      <c r="H829" s="107"/>
      <c r="I829" s="108"/>
      <c r="J829" s="108"/>
      <c r="K829" s="108"/>
      <c r="L829" s="108"/>
      <c r="M829" s="108"/>
      <c r="N829" s="108"/>
      <c r="O829" s="108"/>
    </row>
    <row r="830" spans="1:15" s="139" customFormat="1">
      <c r="A830" s="230"/>
      <c r="B830" s="101"/>
      <c r="C830" s="227"/>
      <c r="D830" s="228"/>
      <c r="E830" s="104"/>
      <c r="F830" s="230"/>
      <c r="G830" s="286"/>
      <c r="H830" s="107"/>
      <c r="I830" s="108"/>
      <c r="J830" s="108"/>
      <c r="K830" s="108"/>
      <c r="L830" s="108"/>
      <c r="M830" s="108"/>
      <c r="N830" s="108"/>
      <c r="O830" s="108"/>
    </row>
    <row r="831" spans="1:15" s="139" customFormat="1">
      <c r="A831" s="230"/>
      <c r="B831" s="101"/>
      <c r="C831" s="227"/>
      <c r="D831" s="228"/>
      <c r="E831" s="104"/>
      <c r="F831" s="230"/>
      <c r="G831" s="286"/>
      <c r="H831" s="107"/>
      <c r="I831" s="108"/>
      <c r="J831" s="108"/>
      <c r="K831" s="108"/>
      <c r="L831" s="108"/>
      <c r="M831" s="108"/>
      <c r="N831" s="108"/>
      <c r="O831" s="108"/>
    </row>
    <row r="832" spans="1:15" s="139" customFormat="1">
      <c r="A832" s="230"/>
      <c r="B832" s="101"/>
      <c r="C832" s="227"/>
      <c r="D832" s="228"/>
      <c r="E832" s="104"/>
      <c r="F832" s="230"/>
      <c r="G832" s="286"/>
      <c r="H832" s="107"/>
      <c r="I832" s="108"/>
      <c r="J832" s="108"/>
      <c r="K832" s="108"/>
      <c r="L832" s="108"/>
      <c r="M832" s="108"/>
      <c r="N832" s="108"/>
      <c r="O832" s="108"/>
    </row>
    <row r="833" spans="1:15" s="139" customFormat="1">
      <c r="A833" s="230"/>
      <c r="B833" s="101"/>
      <c r="C833" s="227"/>
      <c r="D833" s="228"/>
      <c r="E833" s="104"/>
      <c r="F833" s="230"/>
      <c r="G833" s="286"/>
      <c r="H833" s="107"/>
      <c r="I833" s="108"/>
      <c r="J833" s="108"/>
      <c r="K833" s="108"/>
      <c r="L833" s="108"/>
      <c r="M833" s="108"/>
      <c r="N833" s="108"/>
      <c r="O833" s="108"/>
    </row>
    <row r="834" spans="1:15" s="139" customFormat="1">
      <c r="A834" s="230"/>
      <c r="B834" s="101"/>
      <c r="C834" s="227"/>
      <c r="D834" s="228"/>
      <c r="E834" s="104"/>
      <c r="F834" s="230"/>
      <c r="G834" s="286"/>
      <c r="H834" s="107"/>
      <c r="I834" s="108"/>
      <c r="J834" s="108"/>
      <c r="K834" s="108"/>
      <c r="L834" s="108"/>
      <c r="M834" s="108"/>
      <c r="N834" s="108"/>
      <c r="O834" s="108"/>
    </row>
    <row r="835" spans="1:15" s="139" customFormat="1">
      <c r="A835" s="230"/>
      <c r="B835" s="101"/>
      <c r="C835" s="227"/>
      <c r="D835" s="228"/>
      <c r="E835" s="104"/>
      <c r="F835" s="233"/>
      <c r="G835" s="106"/>
      <c r="H835" s="107"/>
      <c r="I835" s="108"/>
      <c r="J835" s="108"/>
      <c r="K835" s="108"/>
      <c r="L835" s="108"/>
      <c r="M835" s="108"/>
      <c r="N835" s="108"/>
      <c r="O835" s="108"/>
    </row>
  </sheetData>
  <phoneticPr fontId="3" type="noConversion"/>
  <pageMargins left="0.23622047244094491" right="0.23622047244094491" top="0.74803149606299213" bottom="0.35433070866141736" header="0.31496062992125984" footer="0.31496062992125984"/>
  <pageSetup paperSize="9" scale="66" fitToHeight="55" orientation="portrait" r:id="rId1"/>
  <headerFooter>
    <oddFooter xml:space="preserve">&amp;R
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V944"/>
  <sheetViews>
    <sheetView zoomScale="90" zoomScaleNormal="90" workbookViewId="0">
      <selection activeCell="K636" sqref="K636:P643"/>
    </sheetView>
  </sheetViews>
  <sheetFormatPr defaultColWidth="9" defaultRowHeight="13.5"/>
  <cols>
    <col min="1" max="1" width="6.75" style="230" bestFit="1" customWidth="1"/>
    <col min="2" max="2" width="10.875" style="101" bestFit="1" customWidth="1"/>
    <col min="3" max="3" width="7.5" style="227" bestFit="1" customWidth="1"/>
    <col min="4" max="4" width="6.625" style="228" bestFit="1" customWidth="1"/>
    <col min="5" max="5" width="14" style="104" bestFit="1" customWidth="1"/>
    <col min="6" max="6" width="9.125" style="233" bestFit="1" customWidth="1"/>
    <col min="7" max="7" width="8" style="106" customWidth="1"/>
    <col min="8" max="8" width="21.375" style="107" customWidth="1"/>
    <col min="9" max="10" width="11.875" style="108" customWidth="1"/>
    <col min="11" max="11" width="13.875" style="108" customWidth="1"/>
    <col min="12" max="12" width="5" style="108" customWidth="1"/>
    <col min="13" max="14" width="11.875" style="108" customWidth="1"/>
    <col min="15" max="15" width="8" style="108" customWidth="1"/>
    <col min="16" max="16" width="13.375" style="3" bestFit="1" customWidth="1"/>
    <col min="17" max="17" width="14.25" style="3" bestFit="1" customWidth="1"/>
    <col min="18" max="18" width="13" style="3" bestFit="1" customWidth="1"/>
    <col min="19" max="37" width="9" style="3"/>
    <col min="38" max="16384" width="9" style="158"/>
  </cols>
  <sheetData>
    <row r="1" spans="1:15" ht="24.75" thickTop="1" thickBot="1">
      <c r="A1" s="291" t="s">
        <v>0</v>
      </c>
      <c r="B1" s="292"/>
      <c r="C1" s="292"/>
      <c r="D1" s="292"/>
      <c r="E1" s="292"/>
      <c r="F1" s="292"/>
      <c r="G1" s="292"/>
      <c r="H1" s="292"/>
      <c r="I1" s="292"/>
      <c r="J1" s="292"/>
      <c r="K1" s="292"/>
      <c r="L1" s="292"/>
      <c r="M1" s="292"/>
      <c r="N1" s="293"/>
      <c r="O1" s="1"/>
    </row>
    <row r="2" spans="1:15" ht="14.25" thickTop="1">
      <c r="A2" s="4"/>
      <c r="B2" s="5" t="s">
        <v>1</v>
      </c>
      <c r="C2" s="6" t="s">
        <v>2</v>
      </c>
      <c r="D2" s="7" t="s">
        <v>3</v>
      </c>
      <c r="E2" s="8" t="s">
        <v>4</v>
      </c>
      <c r="F2" s="9" t="s">
        <v>5</v>
      </c>
      <c r="G2" s="10" t="s">
        <v>6</v>
      </c>
      <c r="H2" s="11" t="s">
        <v>7</v>
      </c>
      <c r="I2" s="12" t="s">
        <v>8</v>
      </c>
      <c r="J2" s="12" t="s">
        <v>9</v>
      </c>
      <c r="K2" s="12" t="s">
        <v>10</v>
      </c>
      <c r="L2" s="12" t="s">
        <v>11</v>
      </c>
      <c r="M2" s="12" t="s">
        <v>12</v>
      </c>
      <c r="N2" s="13" t="s">
        <v>13</v>
      </c>
      <c r="O2" s="14" t="s">
        <v>14</v>
      </c>
    </row>
    <row r="3" spans="1:15" s="3" customFormat="1">
      <c r="A3" s="16">
        <v>1</v>
      </c>
      <c r="B3" s="17">
        <v>43091</v>
      </c>
      <c r="C3" s="18" t="s">
        <v>15</v>
      </c>
      <c r="D3" s="19" t="s">
        <v>16</v>
      </c>
      <c r="E3" s="20" t="s">
        <v>17</v>
      </c>
      <c r="F3" s="21" t="s">
        <v>18</v>
      </c>
      <c r="G3" s="22">
        <v>1706</v>
      </c>
      <c r="H3" s="23">
        <v>505080</v>
      </c>
      <c r="I3" s="24"/>
      <c r="J3" s="24">
        <f>SUM(H3)/1.05</f>
        <v>481028.57142857142</v>
      </c>
      <c r="K3" s="25">
        <f t="shared" ref="K3:K66" si="0">I3+J3</f>
        <v>481028.57142857142</v>
      </c>
      <c r="L3" s="26"/>
      <c r="M3" s="24">
        <f t="shared" ref="M3:M66" si="1">K3*L3</f>
        <v>0</v>
      </c>
      <c r="N3" s="27">
        <f t="shared" ref="N3:N66" si="2">K3-M3</f>
        <v>481028.57142857142</v>
      </c>
      <c r="O3" s="28"/>
    </row>
    <row r="4" spans="1:15" s="3" customFormat="1">
      <c r="A4" s="16">
        <v>2</v>
      </c>
      <c r="B4" s="29">
        <v>42702</v>
      </c>
      <c r="C4" s="18"/>
      <c r="D4" s="19" t="s">
        <v>19</v>
      </c>
      <c r="E4" s="20" t="s">
        <v>20</v>
      </c>
      <c r="F4" s="30" t="s">
        <v>21</v>
      </c>
      <c r="G4" s="31">
        <v>1603</v>
      </c>
      <c r="H4" s="23">
        <f>4500</f>
        <v>4500</v>
      </c>
      <c r="I4" s="24">
        <v>560667</v>
      </c>
      <c r="J4" s="24"/>
      <c r="K4" s="25">
        <f t="shared" si="0"/>
        <v>560667</v>
      </c>
      <c r="L4" s="26"/>
      <c r="M4" s="24">
        <f t="shared" si="1"/>
        <v>0</v>
      </c>
      <c r="N4" s="27">
        <f t="shared" si="2"/>
        <v>560667</v>
      </c>
      <c r="O4" s="28"/>
    </row>
    <row r="5" spans="1:15" s="3" customFormat="1">
      <c r="A5" s="16">
        <v>3</v>
      </c>
      <c r="B5" s="29">
        <v>42711</v>
      </c>
      <c r="C5" s="18"/>
      <c r="D5" s="19" t="s">
        <v>19</v>
      </c>
      <c r="E5" s="20" t="s">
        <v>20</v>
      </c>
      <c r="F5" s="32" t="s">
        <v>22</v>
      </c>
      <c r="G5" s="33">
        <v>1606</v>
      </c>
      <c r="H5" s="34">
        <f>4500</f>
        <v>4500</v>
      </c>
      <c r="I5" s="35">
        <v>560667</v>
      </c>
      <c r="J5" s="24"/>
      <c r="K5" s="25">
        <f t="shared" si="0"/>
        <v>560667</v>
      </c>
      <c r="L5" s="36"/>
      <c r="M5" s="24">
        <f t="shared" si="1"/>
        <v>0</v>
      </c>
      <c r="N5" s="27">
        <f t="shared" si="2"/>
        <v>560667</v>
      </c>
      <c r="O5" s="28"/>
    </row>
    <row r="6" spans="1:15" s="3" customFormat="1">
      <c r="A6" s="16">
        <v>4</v>
      </c>
      <c r="B6" s="29">
        <v>43081</v>
      </c>
      <c r="C6" s="18"/>
      <c r="D6" s="19" t="s">
        <v>23</v>
      </c>
      <c r="E6" s="20" t="s">
        <v>24</v>
      </c>
      <c r="F6" s="37" t="s">
        <v>25</v>
      </c>
      <c r="G6" s="33">
        <v>1611</v>
      </c>
      <c r="H6" s="34">
        <f>9600+413080</f>
        <v>422680</v>
      </c>
      <c r="I6" s="35"/>
      <c r="J6" s="24">
        <f t="shared" ref="J6:J22" si="3">SUM(H6)/1.05</f>
        <v>402552.38095238095</v>
      </c>
      <c r="K6" s="25">
        <f t="shared" si="0"/>
        <v>402552.38095238095</v>
      </c>
      <c r="L6" s="36"/>
      <c r="M6" s="24">
        <f t="shared" si="1"/>
        <v>0</v>
      </c>
      <c r="N6" s="27">
        <f t="shared" si="2"/>
        <v>402552.38095238095</v>
      </c>
      <c r="O6" s="28"/>
    </row>
    <row r="7" spans="1:15" s="3" customFormat="1">
      <c r="A7" s="16">
        <v>5</v>
      </c>
      <c r="B7" s="17">
        <v>43081</v>
      </c>
      <c r="C7" s="18"/>
      <c r="D7" s="19" t="s">
        <v>23</v>
      </c>
      <c r="E7" s="20" t="s">
        <v>24</v>
      </c>
      <c r="F7" s="21" t="s">
        <v>26</v>
      </c>
      <c r="G7" s="33">
        <v>1611</v>
      </c>
      <c r="H7" s="34">
        <v>413080</v>
      </c>
      <c r="I7" s="35"/>
      <c r="J7" s="24">
        <f t="shared" si="3"/>
        <v>393409.52380952379</v>
      </c>
      <c r="K7" s="25">
        <f t="shared" si="0"/>
        <v>393409.52380952379</v>
      </c>
      <c r="L7" s="36"/>
      <c r="M7" s="24">
        <f t="shared" si="1"/>
        <v>0</v>
      </c>
      <c r="N7" s="27">
        <f t="shared" si="2"/>
        <v>393409.52380952379</v>
      </c>
      <c r="O7" s="28"/>
    </row>
    <row r="8" spans="1:15" s="3" customFormat="1">
      <c r="A8" s="16">
        <v>6</v>
      </c>
      <c r="B8" s="29">
        <v>43081</v>
      </c>
      <c r="C8" s="18"/>
      <c r="D8" s="19" t="s">
        <v>23</v>
      </c>
      <c r="E8" s="20" t="s">
        <v>24</v>
      </c>
      <c r="F8" s="32" t="s">
        <v>27</v>
      </c>
      <c r="G8" s="33">
        <v>1611</v>
      </c>
      <c r="H8" s="34">
        <v>413080</v>
      </c>
      <c r="I8" s="24"/>
      <c r="J8" s="24">
        <f t="shared" si="3"/>
        <v>393409.52380952379</v>
      </c>
      <c r="K8" s="25">
        <f t="shared" si="0"/>
        <v>393409.52380952379</v>
      </c>
      <c r="L8" s="36"/>
      <c r="M8" s="24">
        <f t="shared" si="1"/>
        <v>0</v>
      </c>
      <c r="N8" s="27">
        <f t="shared" si="2"/>
        <v>393409.52380952379</v>
      </c>
      <c r="O8" s="28"/>
    </row>
    <row r="9" spans="1:15" s="3" customFormat="1">
      <c r="A9" s="16">
        <v>7</v>
      </c>
      <c r="B9" s="29">
        <v>43081</v>
      </c>
      <c r="C9" s="18"/>
      <c r="D9" s="19" t="s">
        <v>23</v>
      </c>
      <c r="E9" s="20" t="s">
        <v>24</v>
      </c>
      <c r="F9" s="32" t="s">
        <v>28</v>
      </c>
      <c r="G9" s="22">
        <v>1611</v>
      </c>
      <c r="H9" s="23">
        <f>9600+413080</f>
        <v>422680</v>
      </c>
      <c r="I9" s="24"/>
      <c r="J9" s="24">
        <f t="shared" si="3"/>
        <v>402552.38095238095</v>
      </c>
      <c r="K9" s="25">
        <f t="shared" si="0"/>
        <v>402552.38095238095</v>
      </c>
      <c r="L9" s="26"/>
      <c r="M9" s="24">
        <f t="shared" si="1"/>
        <v>0</v>
      </c>
      <c r="N9" s="27">
        <f t="shared" si="2"/>
        <v>402552.38095238095</v>
      </c>
      <c r="O9" s="28"/>
    </row>
    <row r="10" spans="1:15" s="3" customFormat="1">
      <c r="A10" s="16">
        <v>8</v>
      </c>
      <c r="B10" s="38">
        <v>43089</v>
      </c>
      <c r="C10" s="39"/>
      <c r="D10" s="40" t="s">
        <v>29</v>
      </c>
      <c r="E10" s="41" t="s">
        <v>30</v>
      </c>
      <c r="F10" s="42" t="s">
        <v>31</v>
      </c>
      <c r="G10" s="43">
        <v>1703</v>
      </c>
      <c r="H10" s="44">
        <v>238280</v>
      </c>
      <c r="I10" s="45"/>
      <c r="J10" s="45">
        <f>SUM(H10)/1.05</f>
        <v>226933.33333333331</v>
      </c>
      <c r="K10" s="46">
        <f>I10+J10</f>
        <v>226933.33333333331</v>
      </c>
      <c r="L10" s="47"/>
      <c r="M10" s="45">
        <f>K10*L10</f>
        <v>0</v>
      </c>
      <c r="N10" s="48">
        <f>K10-M10</f>
        <v>226933.33333333331</v>
      </c>
      <c r="O10" s="28"/>
    </row>
    <row r="11" spans="1:15" s="3" customFormat="1">
      <c r="A11" s="16">
        <v>9</v>
      </c>
      <c r="B11" s="29">
        <v>43090</v>
      </c>
      <c r="C11" s="18"/>
      <c r="D11" s="19" t="s">
        <v>29</v>
      </c>
      <c r="E11" s="20" t="s">
        <v>30</v>
      </c>
      <c r="F11" s="32" t="s">
        <v>32</v>
      </c>
      <c r="G11" s="22">
        <v>1703</v>
      </c>
      <c r="H11" s="23">
        <v>238280</v>
      </c>
      <c r="I11" s="24"/>
      <c r="J11" s="24">
        <f t="shared" si="3"/>
        <v>226933.33333333331</v>
      </c>
      <c r="K11" s="25">
        <f t="shared" si="0"/>
        <v>226933.33333333331</v>
      </c>
      <c r="L11" s="26"/>
      <c r="M11" s="24">
        <f t="shared" si="1"/>
        <v>0</v>
      </c>
      <c r="N11" s="27">
        <f t="shared" si="2"/>
        <v>226933.33333333331</v>
      </c>
      <c r="O11" s="28"/>
    </row>
    <row r="12" spans="1:15" s="3" customFormat="1">
      <c r="A12" s="16">
        <v>10</v>
      </c>
      <c r="B12" s="29">
        <v>43090</v>
      </c>
      <c r="C12" s="18"/>
      <c r="D12" s="19" t="s">
        <v>29</v>
      </c>
      <c r="E12" s="20" t="s">
        <v>30</v>
      </c>
      <c r="F12" s="32" t="s">
        <v>33</v>
      </c>
      <c r="G12" s="22">
        <v>1703</v>
      </c>
      <c r="H12" s="23">
        <v>238280</v>
      </c>
      <c r="I12" s="24"/>
      <c r="J12" s="24">
        <f t="shared" si="3"/>
        <v>226933.33333333331</v>
      </c>
      <c r="K12" s="25">
        <f t="shared" si="0"/>
        <v>226933.33333333331</v>
      </c>
      <c r="L12" s="26"/>
      <c r="M12" s="24">
        <f t="shared" si="1"/>
        <v>0</v>
      </c>
      <c r="N12" s="27">
        <f t="shared" si="2"/>
        <v>226933.33333333331</v>
      </c>
      <c r="O12" s="28"/>
    </row>
    <row r="13" spans="1:15" s="3" customFormat="1">
      <c r="A13" s="16">
        <v>11</v>
      </c>
      <c r="B13" s="29">
        <v>43089</v>
      </c>
      <c r="C13" s="18"/>
      <c r="D13" s="19" t="s">
        <v>29</v>
      </c>
      <c r="E13" s="20" t="s">
        <v>30</v>
      </c>
      <c r="F13" s="32" t="s">
        <v>34</v>
      </c>
      <c r="G13" s="22">
        <v>1703</v>
      </c>
      <c r="H13" s="23">
        <v>238280</v>
      </c>
      <c r="I13" s="24"/>
      <c r="J13" s="24">
        <f t="shared" si="3"/>
        <v>226933.33333333331</v>
      </c>
      <c r="K13" s="25">
        <f t="shared" si="0"/>
        <v>226933.33333333331</v>
      </c>
      <c r="L13" s="26"/>
      <c r="M13" s="24">
        <f t="shared" si="1"/>
        <v>0</v>
      </c>
      <c r="N13" s="27">
        <f t="shared" si="2"/>
        <v>226933.33333333331</v>
      </c>
      <c r="O13" s="28"/>
    </row>
    <row r="14" spans="1:15" s="3" customFormat="1">
      <c r="A14" s="16">
        <v>12</v>
      </c>
      <c r="B14" s="29">
        <v>43090</v>
      </c>
      <c r="C14" s="18"/>
      <c r="D14" s="19" t="s">
        <v>29</v>
      </c>
      <c r="E14" s="20" t="s">
        <v>30</v>
      </c>
      <c r="F14" s="32" t="s">
        <v>35</v>
      </c>
      <c r="G14" s="22">
        <v>1703</v>
      </c>
      <c r="H14" s="23">
        <v>238280</v>
      </c>
      <c r="I14" s="35"/>
      <c r="J14" s="24">
        <f t="shared" si="3"/>
        <v>226933.33333333331</v>
      </c>
      <c r="K14" s="25">
        <f t="shared" si="0"/>
        <v>226933.33333333331</v>
      </c>
      <c r="L14" s="26"/>
      <c r="M14" s="24">
        <f t="shared" si="1"/>
        <v>0</v>
      </c>
      <c r="N14" s="27">
        <f t="shared" si="2"/>
        <v>226933.33333333331</v>
      </c>
      <c r="O14" s="28"/>
    </row>
    <row r="15" spans="1:15" s="3" customFormat="1">
      <c r="A15" s="16">
        <v>13</v>
      </c>
      <c r="B15" s="49">
        <v>43090</v>
      </c>
      <c r="C15" s="39"/>
      <c r="D15" s="40" t="s">
        <v>29</v>
      </c>
      <c r="E15" s="41" t="s">
        <v>30</v>
      </c>
      <c r="F15" s="50" t="s">
        <v>36</v>
      </c>
      <c r="G15" s="51">
        <v>1703</v>
      </c>
      <c r="H15" s="52">
        <v>238280</v>
      </c>
      <c r="I15" s="53"/>
      <c r="J15" s="45">
        <f>SUM(H15)/1.05</f>
        <v>226933.33333333331</v>
      </c>
      <c r="K15" s="54">
        <f>I15+J15</f>
        <v>226933.33333333331</v>
      </c>
      <c r="L15" s="55"/>
      <c r="M15" s="53">
        <f>K15*L15</f>
        <v>0</v>
      </c>
      <c r="N15" s="48">
        <f>K15-M15</f>
        <v>226933.33333333331</v>
      </c>
      <c r="O15" s="28"/>
    </row>
    <row r="16" spans="1:15" s="3" customFormat="1">
      <c r="A16" s="16">
        <v>14</v>
      </c>
      <c r="B16" s="29">
        <v>43090</v>
      </c>
      <c r="C16" s="18"/>
      <c r="D16" s="19" t="s">
        <v>29</v>
      </c>
      <c r="E16" s="20" t="s">
        <v>30</v>
      </c>
      <c r="F16" s="32" t="s">
        <v>37</v>
      </c>
      <c r="G16" s="33">
        <v>1704</v>
      </c>
      <c r="H16" s="34">
        <v>238280</v>
      </c>
      <c r="I16" s="35"/>
      <c r="J16" s="24">
        <f t="shared" si="3"/>
        <v>226933.33333333331</v>
      </c>
      <c r="K16" s="25">
        <f t="shared" si="0"/>
        <v>226933.33333333331</v>
      </c>
      <c r="L16" s="36"/>
      <c r="M16" s="24">
        <f t="shared" si="1"/>
        <v>0</v>
      </c>
      <c r="N16" s="27">
        <f t="shared" si="2"/>
        <v>226933.33333333331</v>
      </c>
      <c r="O16" s="28"/>
    </row>
    <row r="17" spans="1:15" s="3" customFormat="1">
      <c r="A17" s="16">
        <v>15</v>
      </c>
      <c r="B17" s="56">
        <v>43090</v>
      </c>
      <c r="C17" s="18"/>
      <c r="D17" s="19" t="s">
        <v>29</v>
      </c>
      <c r="E17" s="20" t="s">
        <v>30</v>
      </c>
      <c r="F17" s="57" t="s">
        <v>38</v>
      </c>
      <c r="G17" s="58">
        <v>1705</v>
      </c>
      <c r="H17" s="23">
        <v>238280</v>
      </c>
      <c r="I17" s="24"/>
      <c r="J17" s="24">
        <f t="shared" si="3"/>
        <v>226933.33333333331</v>
      </c>
      <c r="K17" s="25">
        <f t="shared" si="0"/>
        <v>226933.33333333331</v>
      </c>
      <c r="L17" s="26"/>
      <c r="M17" s="24">
        <f t="shared" si="1"/>
        <v>0</v>
      </c>
      <c r="N17" s="59">
        <f t="shared" si="2"/>
        <v>226933.33333333331</v>
      </c>
      <c r="O17" s="28"/>
    </row>
    <row r="18" spans="1:15" s="3" customFormat="1">
      <c r="A18" s="16">
        <v>16</v>
      </c>
      <c r="B18" s="60">
        <v>43095</v>
      </c>
      <c r="C18" s="18"/>
      <c r="D18" s="19" t="s">
        <v>29</v>
      </c>
      <c r="E18" s="20" t="s">
        <v>30</v>
      </c>
      <c r="F18" s="61" t="s">
        <v>39</v>
      </c>
      <c r="G18" s="58">
        <v>1709</v>
      </c>
      <c r="H18" s="23">
        <v>238280</v>
      </c>
      <c r="I18" s="24"/>
      <c r="J18" s="24">
        <f t="shared" si="3"/>
        <v>226933.33333333331</v>
      </c>
      <c r="K18" s="25">
        <f t="shared" si="0"/>
        <v>226933.33333333331</v>
      </c>
      <c r="L18" s="26"/>
      <c r="M18" s="24">
        <f t="shared" si="1"/>
        <v>0</v>
      </c>
      <c r="N18" s="59">
        <f t="shared" si="2"/>
        <v>226933.33333333331</v>
      </c>
      <c r="O18" s="28"/>
    </row>
    <row r="19" spans="1:15" s="3" customFormat="1">
      <c r="A19" s="16">
        <v>17</v>
      </c>
      <c r="B19" s="60">
        <v>43095</v>
      </c>
      <c r="C19" s="18"/>
      <c r="D19" s="19" t="s">
        <v>29</v>
      </c>
      <c r="E19" s="20" t="s">
        <v>30</v>
      </c>
      <c r="F19" s="61" t="s">
        <v>40</v>
      </c>
      <c r="G19" s="58">
        <v>1709</v>
      </c>
      <c r="H19" s="23">
        <v>238280</v>
      </c>
      <c r="I19" s="24"/>
      <c r="J19" s="24">
        <f t="shared" si="3"/>
        <v>226933.33333333331</v>
      </c>
      <c r="K19" s="25">
        <f t="shared" si="0"/>
        <v>226933.33333333331</v>
      </c>
      <c r="L19" s="26"/>
      <c r="M19" s="24">
        <f t="shared" si="1"/>
        <v>0</v>
      </c>
      <c r="N19" s="59">
        <f t="shared" si="2"/>
        <v>226933.33333333331</v>
      </c>
      <c r="O19" s="28"/>
    </row>
    <row r="20" spans="1:15" s="3" customFormat="1">
      <c r="A20" s="16">
        <v>18</v>
      </c>
      <c r="B20" s="60">
        <v>43095</v>
      </c>
      <c r="C20" s="18"/>
      <c r="D20" s="19" t="s">
        <v>29</v>
      </c>
      <c r="E20" s="20" t="s">
        <v>30</v>
      </c>
      <c r="F20" s="61" t="s">
        <v>41</v>
      </c>
      <c r="G20" s="58">
        <v>1709</v>
      </c>
      <c r="H20" s="23">
        <v>238280</v>
      </c>
      <c r="I20" s="24"/>
      <c r="J20" s="24">
        <f t="shared" si="3"/>
        <v>226933.33333333331</v>
      </c>
      <c r="K20" s="25">
        <f t="shared" si="0"/>
        <v>226933.33333333331</v>
      </c>
      <c r="L20" s="26"/>
      <c r="M20" s="24">
        <f t="shared" si="1"/>
        <v>0</v>
      </c>
      <c r="N20" s="59">
        <f t="shared" si="2"/>
        <v>226933.33333333331</v>
      </c>
      <c r="O20" s="28"/>
    </row>
    <row r="21" spans="1:15" s="3" customFormat="1">
      <c r="A21" s="16">
        <v>19</v>
      </c>
      <c r="B21" s="60">
        <v>43095</v>
      </c>
      <c r="C21" s="18"/>
      <c r="D21" s="19" t="s">
        <v>29</v>
      </c>
      <c r="E21" s="20" t="s">
        <v>30</v>
      </c>
      <c r="F21" s="61" t="s">
        <v>42</v>
      </c>
      <c r="G21" s="58">
        <v>1709</v>
      </c>
      <c r="H21" s="23">
        <v>238280</v>
      </c>
      <c r="I21" s="24"/>
      <c r="J21" s="24">
        <f t="shared" si="3"/>
        <v>226933.33333333331</v>
      </c>
      <c r="K21" s="25">
        <f t="shared" si="0"/>
        <v>226933.33333333331</v>
      </c>
      <c r="L21" s="26"/>
      <c r="M21" s="24">
        <f t="shared" si="1"/>
        <v>0</v>
      </c>
      <c r="N21" s="59">
        <f t="shared" si="2"/>
        <v>226933.33333333331</v>
      </c>
      <c r="O21" s="28"/>
    </row>
    <row r="22" spans="1:15" s="3" customFormat="1">
      <c r="A22" s="16">
        <v>20</v>
      </c>
      <c r="B22" s="60">
        <v>43095</v>
      </c>
      <c r="C22" s="18"/>
      <c r="D22" s="19" t="s">
        <v>29</v>
      </c>
      <c r="E22" s="20" t="s">
        <v>30</v>
      </c>
      <c r="F22" s="61" t="s">
        <v>43</v>
      </c>
      <c r="G22" s="58">
        <v>1709</v>
      </c>
      <c r="H22" s="23">
        <v>238280</v>
      </c>
      <c r="I22" s="24"/>
      <c r="J22" s="24">
        <f t="shared" si="3"/>
        <v>226933.33333333331</v>
      </c>
      <c r="K22" s="25">
        <f t="shared" si="0"/>
        <v>226933.33333333331</v>
      </c>
      <c r="L22" s="26"/>
      <c r="M22" s="24">
        <f t="shared" si="1"/>
        <v>0</v>
      </c>
      <c r="N22" s="59">
        <f t="shared" si="2"/>
        <v>226933.33333333331</v>
      </c>
      <c r="O22" s="28"/>
    </row>
    <row r="23" spans="1:15" s="3" customFormat="1">
      <c r="A23" s="16">
        <v>21</v>
      </c>
      <c r="B23" s="56">
        <v>42931</v>
      </c>
      <c r="C23" s="18"/>
      <c r="D23" s="19" t="s">
        <v>44</v>
      </c>
      <c r="E23" s="20" t="s">
        <v>45</v>
      </c>
      <c r="F23" s="62" t="s">
        <v>46</v>
      </c>
      <c r="G23" s="63">
        <v>1601</v>
      </c>
      <c r="H23" s="23"/>
      <c r="I23" s="24">
        <v>1269600</v>
      </c>
      <c r="J23" s="24"/>
      <c r="K23" s="25">
        <f t="shared" si="0"/>
        <v>1269600</v>
      </c>
      <c r="L23" s="26"/>
      <c r="M23" s="24">
        <f t="shared" si="1"/>
        <v>0</v>
      </c>
      <c r="N23" s="59">
        <f t="shared" si="2"/>
        <v>1269600</v>
      </c>
      <c r="O23" s="28"/>
    </row>
    <row r="24" spans="1:15" s="3" customFormat="1">
      <c r="A24" s="16">
        <v>22</v>
      </c>
      <c r="B24" s="64">
        <v>43061</v>
      </c>
      <c r="C24" s="65"/>
      <c r="D24" s="66" t="s">
        <v>47</v>
      </c>
      <c r="E24" s="67" t="s">
        <v>48</v>
      </c>
      <c r="F24" s="68" t="s">
        <v>49</v>
      </c>
      <c r="G24" s="69">
        <v>1704</v>
      </c>
      <c r="H24" s="34">
        <f>9900+754400</f>
        <v>764300</v>
      </c>
      <c r="I24" s="35">
        <v>727905</v>
      </c>
      <c r="J24" s="24"/>
      <c r="K24" s="25">
        <f t="shared" si="0"/>
        <v>727905</v>
      </c>
      <c r="L24" s="26"/>
      <c r="M24" s="24">
        <f t="shared" si="1"/>
        <v>0</v>
      </c>
      <c r="N24" s="59">
        <f t="shared" si="2"/>
        <v>727905</v>
      </c>
      <c r="O24" s="28"/>
    </row>
    <row r="25" spans="1:15" s="3" customFormat="1">
      <c r="A25" s="16">
        <v>23</v>
      </c>
      <c r="B25" s="70">
        <v>43061</v>
      </c>
      <c r="C25" s="65"/>
      <c r="D25" s="66" t="s">
        <v>47</v>
      </c>
      <c r="E25" s="67" t="s">
        <v>48</v>
      </c>
      <c r="F25" s="68" t="s">
        <v>50</v>
      </c>
      <c r="G25" s="69">
        <v>1704</v>
      </c>
      <c r="H25" s="34">
        <v>754400</v>
      </c>
      <c r="I25" s="35">
        <v>718476</v>
      </c>
      <c r="J25" s="24"/>
      <c r="K25" s="25">
        <f t="shared" si="0"/>
        <v>718476</v>
      </c>
      <c r="L25" s="26"/>
      <c r="M25" s="24">
        <f t="shared" si="1"/>
        <v>0</v>
      </c>
      <c r="N25" s="59">
        <f t="shared" si="2"/>
        <v>718476</v>
      </c>
      <c r="O25" s="28"/>
    </row>
    <row r="26" spans="1:15" s="3" customFormat="1">
      <c r="A26" s="16">
        <v>24</v>
      </c>
      <c r="B26" s="64">
        <v>43061</v>
      </c>
      <c r="C26" s="65"/>
      <c r="D26" s="66" t="s">
        <v>47</v>
      </c>
      <c r="E26" s="67" t="s">
        <v>48</v>
      </c>
      <c r="F26" s="71" t="s">
        <v>51</v>
      </c>
      <c r="G26" s="69">
        <v>1704</v>
      </c>
      <c r="H26" s="34">
        <v>754400</v>
      </c>
      <c r="I26" s="35">
        <v>718476</v>
      </c>
      <c r="J26" s="24"/>
      <c r="K26" s="25">
        <f t="shared" si="0"/>
        <v>718476</v>
      </c>
      <c r="L26" s="26"/>
      <c r="M26" s="24">
        <f t="shared" si="1"/>
        <v>0</v>
      </c>
      <c r="N26" s="59">
        <f t="shared" si="2"/>
        <v>718476</v>
      </c>
      <c r="O26" s="28"/>
    </row>
    <row r="27" spans="1:15" s="3" customFormat="1">
      <c r="A27" s="16">
        <v>25</v>
      </c>
      <c r="B27" s="64">
        <v>43061</v>
      </c>
      <c r="C27" s="65"/>
      <c r="D27" s="66" t="s">
        <v>47</v>
      </c>
      <c r="E27" s="67" t="s">
        <v>48</v>
      </c>
      <c r="F27" s="71" t="s">
        <v>52</v>
      </c>
      <c r="G27" s="69">
        <v>1704</v>
      </c>
      <c r="H27" s="34">
        <v>754400</v>
      </c>
      <c r="I27" s="35">
        <v>718476</v>
      </c>
      <c r="J27" s="24"/>
      <c r="K27" s="25">
        <f t="shared" si="0"/>
        <v>718476</v>
      </c>
      <c r="L27" s="26"/>
      <c r="M27" s="24">
        <f t="shared" si="1"/>
        <v>0</v>
      </c>
      <c r="N27" s="59">
        <f t="shared" si="2"/>
        <v>718476</v>
      </c>
      <c r="O27" s="28"/>
    </row>
    <row r="28" spans="1:15" s="3" customFormat="1">
      <c r="A28" s="16">
        <v>26</v>
      </c>
      <c r="B28" s="64">
        <v>43061</v>
      </c>
      <c r="C28" s="65"/>
      <c r="D28" s="66" t="s">
        <v>47</v>
      </c>
      <c r="E28" s="67" t="s">
        <v>48</v>
      </c>
      <c r="F28" s="72" t="s">
        <v>53</v>
      </c>
      <c r="G28" s="69">
        <v>1704</v>
      </c>
      <c r="H28" s="34">
        <v>754400</v>
      </c>
      <c r="I28" s="35">
        <v>718476</v>
      </c>
      <c r="J28" s="24"/>
      <c r="K28" s="25">
        <f t="shared" si="0"/>
        <v>718476</v>
      </c>
      <c r="L28" s="26"/>
      <c r="M28" s="24">
        <f t="shared" si="1"/>
        <v>0</v>
      </c>
      <c r="N28" s="59">
        <f t="shared" si="2"/>
        <v>718476</v>
      </c>
      <c r="O28" s="28"/>
    </row>
    <row r="29" spans="1:15" s="3" customFormat="1">
      <c r="A29" s="16">
        <v>27</v>
      </c>
      <c r="B29" s="64">
        <v>43061</v>
      </c>
      <c r="C29" s="65"/>
      <c r="D29" s="66" t="s">
        <v>47</v>
      </c>
      <c r="E29" s="67" t="s">
        <v>54</v>
      </c>
      <c r="F29" s="71" t="s">
        <v>55</v>
      </c>
      <c r="G29" s="69">
        <v>1703</v>
      </c>
      <c r="H29" s="34">
        <v>579600</v>
      </c>
      <c r="I29" s="35">
        <v>552000</v>
      </c>
      <c r="J29" s="24"/>
      <c r="K29" s="25">
        <f t="shared" si="0"/>
        <v>552000</v>
      </c>
      <c r="L29" s="26"/>
      <c r="M29" s="24">
        <f t="shared" si="1"/>
        <v>0</v>
      </c>
      <c r="N29" s="59">
        <f t="shared" si="2"/>
        <v>552000</v>
      </c>
      <c r="O29" s="28"/>
    </row>
    <row r="30" spans="1:15" s="3" customFormat="1">
      <c r="A30" s="16">
        <v>28</v>
      </c>
      <c r="B30" s="64">
        <v>43061</v>
      </c>
      <c r="C30" s="65"/>
      <c r="D30" s="66" t="s">
        <v>47</v>
      </c>
      <c r="E30" s="67" t="s">
        <v>54</v>
      </c>
      <c r="F30" s="71" t="s">
        <v>56</v>
      </c>
      <c r="G30" s="69">
        <v>1706</v>
      </c>
      <c r="H30" s="34">
        <f>579600+14400</f>
        <v>594000</v>
      </c>
      <c r="I30" s="35">
        <v>565714</v>
      </c>
      <c r="J30" s="24"/>
      <c r="K30" s="25">
        <f t="shared" si="0"/>
        <v>565714</v>
      </c>
      <c r="L30" s="26"/>
      <c r="M30" s="24">
        <f t="shared" si="1"/>
        <v>0</v>
      </c>
      <c r="N30" s="59">
        <f t="shared" si="2"/>
        <v>565714</v>
      </c>
      <c r="O30" s="28"/>
    </row>
    <row r="31" spans="1:15" s="3" customFormat="1">
      <c r="A31" s="16">
        <v>29</v>
      </c>
      <c r="B31" s="64">
        <v>42993</v>
      </c>
      <c r="C31" s="65"/>
      <c r="D31" s="66" t="s">
        <v>47</v>
      </c>
      <c r="E31" s="67" t="s">
        <v>57</v>
      </c>
      <c r="F31" s="71" t="s">
        <v>58</v>
      </c>
      <c r="G31" s="69">
        <v>1705</v>
      </c>
      <c r="H31" s="34">
        <v>955880</v>
      </c>
      <c r="I31" s="35">
        <v>910362</v>
      </c>
      <c r="J31" s="24"/>
      <c r="K31" s="25">
        <f t="shared" si="0"/>
        <v>910362</v>
      </c>
      <c r="L31" s="26"/>
      <c r="M31" s="24">
        <f t="shared" si="1"/>
        <v>0</v>
      </c>
      <c r="N31" s="59">
        <f t="shared" si="2"/>
        <v>910362</v>
      </c>
      <c r="O31" s="28"/>
    </row>
    <row r="32" spans="1:15" s="3" customFormat="1">
      <c r="A32" s="16">
        <v>30</v>
      </c>
      <c r="B32" s="64">
        <v>43083</v>
      </c>
      <c r="C32" s="65"/>
      <c r="D32" s="66" t="s">
        <v>47</v>
      </c>
      <c r="E32" s="67" t="s">
        <v>57</v>
      </c>
      <c r="F32" s="71" t="s">
        <v>59</v>
      </c>
      <c r="G32" s="69">
        <v>1706</v>
      </c>
      <c r="H32" s="34">
        <v>955880</v>
      </c>
      <c r="I32" s="35"/>
      <c r="J32" s="24">
        <f>SUM(H32)/1.05</f>
        <v>910361.90476190473</v>
      </c>
      <c r="K32" s="25">
        <f t="shared" si="0"/>
        <v>910361.90476190473</v>
      </c>
      <c r="L32" s="26"/>
      <c r="M32" s="24">
        <f t="shared" si="1"/>
        <v>0</v>
      </c>
      <c r="N32" s="59">
        <f t="shared" si="2"/>
        <v>910361.90476190473</v>
      </c>
      <c r="O32" s="28"/>
    </row>
    <row r="33" spans="1:15" s="3" customFormat="1">
      <c r="A33" s="16">
        <v>31</v>
      </c>
      <c r="B33" s="64">
        <v>43084</v>
      </c>
      <c r="C33" s="65"/>
      <c r="D33" s="66" t="s">
        <v>47</v>
      </c>
      <c r="E33" s="67" t="s">
        <v>57</v>
      </c>
      <c r="F33" s="71" t="s">
        <v>60</v>
      </c>
      <c r="G33" s="69">
        <v>1706</v>
      </c>
      <c r="H33" s="34">
        <v>955880</v>
      </c>
      <c r="I33" s="35"/>
      <c r="J33" s="24">
        <f>SUM(H33)/1.05</f>
        <v>910361.90476190473</v>
      </c>
      <c r="K33" s="25">
        <f t="shared" si="0"/>
        <v>910361.90476190473</v>
      </c>
      <c r="L33" s="26"/>
      <c r="M33" s="24">
        <f t="shared" si="1"/>
        <v>0</v>
      </c>
      <c r="N33" s="59">
        <f t="shared" si="2"/>
        <v>910361.90476190473</v>
      </c>
      <c r="O33" s="28"/>
    </row>
    <row r="34" spans="1:15" s="3" customFormat="1">
      <c r="A34" s="16">
        <v>32</v>
      </c>
      <c r="B34" s="64">
        <v>43083</v>
      </c>
      <c r="C34" s="65"/>
      <c r="D34" s="66" t="s">
        <v>47</v>
      </c>
      <c r="E34" s="67" t="s">
        <v>61</v>
      </c>
      <c r="F34" s="72" t="s">
        <v>62</v>
      </c>
      <c r="G34" s="69">
        <v>1705</v>
      </c>
      <c r="H34" s="34">
        <v>791200</v>
      </c>
      <c r="I34" s="35"/>
      <c r="J34" s="24">
        <f>SUM(H34)/1.05</f>
        <v>753523.80952380947</v>
      </c>
      <c r="K34" s="25">
        <f t="shared" si="0"/>
        <v>753523.80952380947</v>
      </c>
      <c r="L34" s="26"/>
      <c r="M34" s="24">
        <f t="shared" si="1"/>
        <v>0</v>
      </c>
      <c r="N34" s="59">
        <f t="shared" si="2"/>
        <v>753523.80952380947</v>
      </c>
      <c r="O34" s="28"/>
    </row>
    <row r="35" spans="1:15" s="3" customFormat="1">
      <c r="A35" s="16">
        <v>33</v>
      </c>
      <c r="B35" s="64">
        <v>42990</v>
      </c>
      <c r="C35" s="65"/>
      <c r="D35" s="66" t="s">
        <v>47</v>
      </c>
      <c r="E35" s="67" t="s">
        <v>63</v>
      </c>
      <c r="F35" s="71" t="s">
        <v>64</v>
      </c>
      <c r="G35" s="69">
        <v>1704</v>
      </c>
      <c r="H35" s="34">
        <v>974280</v>
      </c>
      <c r="I35" s="35">
        <v>927886</v>
      </c>
      <c r="J35" s="24"/>
      <c r="K35" s="25">
        <f t="shared" si="0"/>
        <v>927886</v>
      </c>
      <c r="L35" s="26"/>
      <c r="M35" s="24">
        <f t="shared" si="1"/>
        <v>0</v>
      </c>
      <c r="N35" s="59">
        <f t="shared" si="2"/>
        <v>927886</v>
      </c>
      <c r="O35" s="28"/>
    </row>
    <row r="36" spans="1:15" s="3" customFormat="1">
      <c r="A36" s="16">
        <v>34</v>
      </c>
      <c r="B36" s="64">
        <v>43003</v>
      </c>
      <c r="C36" s="65"/>
      <c r="D36" s="66" t="s">
        <v>47</v>
      </c>
      <c r="E36" s="67" t="s">
        <v>63</v>
      </c>
      <c r="F36" s="73" t="s">
        <v>65</v>
      </c>
      <c r="G36" s="74">
        <v>1706</v>
      </c>
      <c r="H36" s="34">
        <v>974280</v>
      </c>
      <c r="I36" s="75">
        <v>927886</v>
      </c>
      <c r="J36" s="35"/>
      <c r="K36" s="25">
        <f t="shared" si="0"/>
        <v>927886</v>
      </c>
      <c r="L36" s="36"/>
      <c r="M36" s="24">
        <f t="shared" si="1"/>
        <v>0</v>
      </c>
      <c r="N36" s="59">
        <f t="shared" si="2"/>
        <v>927886</v>
      </c>
      <c r="O36" s="28"/>
    </row>
    <row r="37" spans="1:15" s="3" customFormat="1">
      <c r="A37" s="16">
        <v>35</v>
      </c>
      <c r="B37" s="64">
        <v>43084</v>
      </c>
      <c r="C37" s="65"/>
      <c r="D37" s="66" t="s">
        <v>47</v>
      </c>
      <c r="E37" s="67" t="s">
        <v>63</v>
      </c>
      <c r="F37" s="73" t="s">
        <v>66</v>
      </c>
      <c r="G37" s="74">
        <v>1706</v>
      </c>
      <c r="H37" s="34">
        <f>20700+974280</f>
        <v>994980</v>
      </c>
      <c r="I37" s="35"/>
      <c r="J37" s="35">
        <f>SUM(H37)/1.05</f>
        <v>947600</v>
      </c>
      <c r="K37" s="25">
        <f t="shared" si="0"/>
        <v>947600</v>
      </c>
      <c r="L37" s="36"/>
      <c r="M37" s="24">
        <f t="shared" si="1"/>
        <v>0</v>
      </c>
      <c r="N37" s="59">
        <f t="shared" si="2"/>
        <v>947600</v>
      </c>
      <c r="O37" s="28"/>
    </row>
    <row r="38" spans="1:15" s="3" customFormat="1">
      <c r="A38" s="16">
        <v>36</v>
      </c>
      <c r="B38" s="64">
        <v>43084</v>
      </c>
      <c r="C38" s="65"/>
      <c r="D38" s="66" t="s">
        <v>47</v>
      </c>
      <c r="E38" s="67" t="s">
        <v>63</v>
      </c>
      <c r="F38" s="68" t="s">
        <v>67</v>
      </c>
      <c r="G38" s="69">
        <v>1706</v>
      </c>
      <c r="H38" s="34">
        <f>20700+974280</f>
        <v>994980</v>
      </c>
      <c r="I38" s="35"/>
      <c r="J38" s="35">
        <f>SUM(H38)/1.05</f>
        <v>947600</v>
      </c>
      <c r="K38" s="25">
        <f t="shared" si="0"/>
        <v>947600</v>
      </c>
      <c r="L38" s="36"/>
      <c r="M38" s="24">
        <f t="shared" si="1"/>
        <v>0</v>
      </c>
      <c r="N38" s="59">
        <f t="shared" si="2"/>
        <v>947600</v>
      </c>
      <c r="O38" s="28"/>
    </row>
    <row r="39" spans="1:15" s="3" customFormat="1">
      <c r="A39" s="76">
        <v>37</v>
      </c>
      <c r="B39" s="64">
        <v>42990</v>
      </c>
      <c r="C39" s="65"/>
      <c r="D39" s="66" t="s">
        <v>47</v>
      </c>
      <c r="E39" s="67" t="s">
        <v>68</v>
      </c>
      <c r="F39" s="73" t="s">
        <v>69</v>
      </c>
      <c r="G39" s="74">
        <v>1701</v>
      </c>
      <c r="H39" s="34">
        <f>716680+72900</f>
        <v>789580</v>
      </c>
      <c r="I39" s="35">
        <v>751981</v>
      </c>
      <c r="J39" s="35"/>
      <c r="K39" s="25">
        <f t="shared" si="0"/>
        <v>751981</v>
      </c>
      <c r="L39" s="36"/>
      <c r="M39" s="24">
        <f t="shared" si="1"/>
        <v>0</v>
      </c>
      <c r="N39" s="59">
        <f t="shared" si="2"/>
        <v>751981</v>
      </c>
      <c r="O39" s="28"/>
    </row>
    <row r="40" spans="1:15" s="3" customFormat="1">
      <c r="A40" s="76">
        <v>38</v>
      </c>
      <c r="B40" s="64">
        <v>43007</v>
      </c>
      <c r="C40" s="65"/>
      <c r="D40" s="66" t="s">
        <v>47</v>
      </c>
      <c r="E40" s="67" t="s">
        <v>70</v>
      </c>
      <c r="F40" s="72" t="s">
        <v>71</v>
      </c>
      <c r="G40" s="69">
        <v>1701</v>
      </c>
      <c r="H40" s="34">
        <f>16200+799480</f>
        <v>815680</v>
      </c>
      <c r="I40" s="35">
        <v>776838</v>
      </c>
      <c r="J40" s="35"/>
      <c r="K40" s="75">
        <f t="shared" si="0"/>
        <v>776838</v>
      </c>
      <c r="L40" s="36"/>
      <c r="M40" s="24">
        <f t="shared" si="1"/>
        <v>0</v>
      </c>
      <c r="N40" s="59">
        <f t="shared" si="2"/>
        <v>776838</v>
      </c>
      <c r="O40" s="28"/>
    </row>
    <row r="41" spans="1:15" s="3" customFormat="1">
      <c r="A41" s="76">
        <v>39</v>
      </c>
      <c r="B41" s="77">
        <v>42975</v>
      </c>
      <c r="C41" s="65"/>
      <c r="D41" s="66" t="s">
        <v>47</v>
      </c>
      <c r="E41" s="67" t="s">
        <v>70</v>
      </c>
      <c r="F41" s="68" t="s">
        <v>72</v>
      </c>
      <c r="G41" s="69">
        <v>1702</v>
      </c>
      <c r="H41" s="34"/>
      <c r="I41" s="35">
        <v>761410</v>
      </c>
      <c r="J41" s="35"/>
      <c r="K41" s="75">
        <f t="shared" si="0"/>
        <v>761410</v>
      </c>
      <c r="L41" s="36"/>
      <c r="M41" s="24">
        <f t="shared" si="1"/>
        <v>0</v>
      </c>
      <c r="N41" s="59">
        <f t="shared" si="2"/>
        <v>761410</v>
      </c>
      <c r="O41" s="28"/>
    </row>
    <row r="42" spans="1:15" s="3" customFormat="1">
      <c r="A42" s="76">
        <v>40</v>
      </c>
      <c r="B42" s="29">
        <v>43083</v>
      </c>
      <c r="C42" s="65"/>
      <c r="D42" s="66" t="s">
        <v>47</v>
      </c>
      <c r="E42" s="67" t="s">
        <v>70</v>
      </c>
      <c r="F42" s="32" t="s">
        <v>73</v>
      </c>
      <c r="G42" s="22">
        <v>1705</v>
      </c>
      <c r="H42" s="23">
        <f>16200+754400</f>
        <v>770600</v>
      </c>
      <c r="I42" s="35"/>
      <c r="J42" s="35">
        <f>SUM(H42)/1.05</f>
        <v>733904.76190476189</v>
      </c>
      <c r="K42" s="25">
        <f t="shared" si="0"/>
        <v>733904.76190476189</v>
      </c>
      <c r="L42" s="26"/>
      <c r="M42" s="24">
        <f t="shared" si="1"/>
        <v>0</v>
      </c>
      <c r="N42" s="59">
        <f t="shared" si="2"/>
        <v>733904.76190476189</v>
      </c>
      <c r="O42" s="28"/>
    </row>
    <row r="43" spans="1:15" s="3" customFormat="1">
      <c r="A43" s="76">
        <v>41</v>
      </c>
      <c r="B43" s="78">
        <v>42969</v>
      </c>
      <c r="C43" s="65"/>
      <c r="D43" s="66" t="s">
        <v>47</v>
      </c>
      <c r="E43" s="67" t="s">
        <v>74</v>
      </c>
      <c r="F43" s="21" t="s">
        <v>75</v>
      </c>
      <c r="G43" s="33">
        <v>1703</v>
      </c>
      <c r="H43" s="34"/>
      <c r="I43" s="35">
        <v>761410</v>
      </c>
      <c r="J43" s="35"/>
      <c r="K43" s="25">
        <f t="shared" si="0"/>
        <v>761410</v>
      </c>
      <c r="L43" s="36"/>
      <c r="M43" s="24">
        <f t="shared" si="1"/>
        <v>0</v>
      </c>
      <c r="N43" s="59">
        <f t="shared" si="2"/>
        <v>761410</v>
      </c>
      <c r="O43" s="28"/>
    </row>
    <row r="44" spans="1:15" s="3" customFormat="1">
      <c r="A44" s="76">
        <v>42</v>
      </c>
      <c r="B44" s="17">
        <v>42965</v>
      </c>
      <c r="C44" s="65"/>
      <c r="D44" s="66" t="s">
        <v>47</v>
      </c>
      <c r="E44" s="67" t="s">
        <v>74</v>
      </c>
      <c r="F44" s="21" t="s">
        <v>76</v>
      </c>
      <c r="G44" s="33">
        <v>1703</v>
      </c>
      <c r="H44" s="34"/>
      <c r="I44" s="35">
        <v>761410</v>
      </c>
      <c r="J44" s="35"/>
      <c r="K44" s="25">
        <f t="shared" si="0"/>
        <v>761410</v>
      </c>
      <c r="L44" s="36"/>
      <c r="M44" s="24">
        <f t="shared" si="1"/>
        <v>0</v>
      </c>
      <c r="N44" s="59">
        <f t="shared" si="2"/>
        <v>761410</v>
      </c>
      <c r="O44" s="28"/>
    </row>
    <row r="45" spans="1:15" s="3" customFormat="1">
      <c r="A45" s="16">
        <v>43</v>
      </c>
      <c r="B45" s="78">
        <v>43031</v>
      </c>
      <c r="C45" s="65"/>
      <c r="D45" s="66" t="s">
        <v>47</v>
      </c>
      <c r="E45" s="67" t="s">
        <v>77</v>
      </c>
      <c r="F45" s="21" t="s">
        <v>78</v>
      </c>
      <c r="G45" s="33">
        <v>1703</v>
      </c>
      <c r="H45" s="34">
        <v>754400</v>
      </c>
      <c r="I45" s="35">
        <v>718476</v>
      </c>
      <c r="J45" s="35"/>
      <c r="K45" s="25">
        <f t="shared" si="0"/>
        <v>718476</v>
      </c>
      <c r="L45" s="36"/>
      <c r="M45" s="24">
        <f t="shared" si="1"/>
        <v>0</v>
      </c>
      <c r="N45" s="59">
        <f t="shared" si="2"/>
        <v>718476</v>
      </c>
      <c r="O45" s="28"/>
    </row>
    <row r="46" spans="1:15" s="3" customFormat="1">
      <c r="A46" s="16">
        <v>44</v>
      </c>
      <c r="B46" s="29">
        <v>43084</v>
      </c>
      <c r="C46" s="65"/>
      <c r="D46" s="66" t="s">
        <v>47</v>
      </c>
      <c r="E46" s="67" t="s">
        <v>79</v>
      </c>
      <c r="F46" s="32" t="s">
        <v>80</v>
      </c>
      <c r="G46" s="33">
        <v>1703</v>
      </c>
      <c r="H46" s="34">
        <v>569480</v>
      </c>
      <c r="I46" s="35"/>
      <c r="J46" s="35">
        <f>SUM(H46)/1.05</f>
        <v>542361.90476190473</v>
      </c>
      <c r="K46" s="25">
        <f t="shared" si="0"/>
        <v>542361.90476190473</v>
      </c>
      <c r="L46" s="36"/>
      <c r="M46" s="24">
        <f t="shared" si="1"/>
        <v>0</v>
      </c>
      <c r="N46" s="59">
        <f t="shared" si="2"/>
        <v>542361.90476190473</v>
      </c>
      <c r="O46" s="28"/>
    </row>
    <row r="47" spans="1:15" s="3" customFormat="1">
      <c r="A47" s="16">
        <v>45</v>
      </c>
      <c r="B47" s="78">
        <v>43084</v>
      </c>
      <c r="C47" s="65"/>
      <c r="D47" s="66" t="s">
        <v>47</v>
      </c>
      <c r="E47" s="67" t="s">
        <v>79</v>
      </c>
      <c r="F47" s="21" t="s">
        <v>81</v>
      </c>
      <c r="G47" s="33">
        <v>1703</v>
      </c>
      <c r="H47" s="34">
        <v>569480</v>
      </c>
      <c r="I47" s="35"/>
      <c r="J47" s="35">
        <f>SUM(H47)/1.05</f>
        <v>542361.90476190473</v>
      </c>
      <c r="K47" s="25">
        <f t="shared" si="0"/>
        <v>542361.90476190473</v>
      </c>
      <c r="L47" s="36"/>
      <c r="M47" s="24">
        <f t="shared" si="1"/>
        <v>0</v>
      </c>
      <c r="N47" s="59">
        <f t="shared" si="2"/>
        <v>542361.90476190473</v>
      </c>
      <c r="O47" s="28"/>
    </row>
    <row r="48" spans="1:15" s="3" customFormat="1">
      <c r="A48" s="16">
        <v>46</v>
      </c>
      <c r="B48" s="29">
        <v>43084</v>
      </c>
      <c r="C48" s="65"/>
      <c r="D48" s="66" t="s">
        <v>47</v>
      </c>
      <c r="E48" s="67" t="s">
        <v>79</v>
      </c>
      <c r="F48" s="30" t="s">
        <v>82</v>
      </c>
      <c r="G48" s="79">
        <v>1704</v>
      </c>
      <c r="H48" s="34">
        <v>569480</v>
      </c>
      <c r="I48" s="75"/>
      <c r="J48" s="35">
        <f>SUM(H48)/1.05</f>
        <v>542361.90476190473</v>
      </c>
      <c r="K48" s="25">
        <f t="shared" si="0"/>
        <v>542361.90476190473</v>
      </c>
      <c r="L48" s="36"/>
      <c r="M48" s="24">
        <f t="shared" si="1"/>
        <v>0</v>
      </c>
      <c r="N48" s="59">
        <f t="shared" si="2"/>
        <v>542361.90476190473</v>
      </c>
      <c r="O48" s="28"/>
    </row>
    <row r="49" spans="1:15" s="3" customFormat="1">
      <c r="A49" s="16">
        <v>47</v>
      </c>
      <c r="B49" s="29">
        <v>43083</v>
      </c>
      <c r="C49" s="65"/>
      <c r="D49" s="66" t="s">
        <v>47</v>
      </c>
      <c r="E49" s="67" t="s">
        <v>79</v>
      </c>
      <c r="F49" s="32" t="s">
        <v>83</v>
      </c>
      <c r="G49" s="33">
        <v>1704</v>
      </c>
      <c r="H49" s="34">
        <v>569480</v>
      </c>
      <c r="I49" s="35"/>
      <c r="J49" s="35">
        <f>SUM(H49)/1.05</f>
        <v>542361.90476190473</v>
      </c>
      <c r="K49" s="25">
        <f t="shared" si="0"/>
        <v>542361.90476190473</v>
      </c>
      <c r="L49" s="36"/>
      <c r="M49" s="24">
        <f t="shared" si="1"/>
        <v>0</v>
      </c>
      <c r="N49" s="59">
        <f t="shared" si="2"/>
        <v>542361.90476190473</v>
      </c>
      <c r="O49" s="28"/>
    </row>
    <row r="50" spans="1:15" s="3" customFormat="1">
      <c r="A50" s="16">
        <v>48</v>
      </c>
      <c r="B50" s="29">
        <v>43088</v>
      </c>
      <c r="C50" s="65"/>
      <c r="D50" s="66" t="s">
        <v>47</v>
      </c>
      <c r="E50" s="67" t="s">
        <v>84</v>
      </c>
      <c r="F50" s="32" t="s">
        <v>85</v>
      </c>
      <c r="G50" s="33">
        <v>1703</v>
      </c>
      <c r="H50" s="34">
        <v>690000</v>
      </c>
      <c r="I50" s="35"/>
      <c r="J50" s="35">
        <f>SUM(H50)/1.05</f>
        <v>657142.85714285716</v>
      </c>
      <c r="K50" s="25">
        <f t="shared" si="0"/>
        <v>657142.85714285716</v>
      </c>
      <c r="L50" s="36"/>
      <c r="M50" s="24">
        <f t="shared" si="1"/>
        <v>0</v>
      </c>
      <c r="N50" s="59">
        <f t="shared" si="2"/>
        <v>657142.85714285716</v>
      </c>
      <c r="O50" s="28"/>
    </row>
    <row r="51" spans="1:15" s="3" customFormat="1">
      <c r="A51" s="16">
        <v>49</v>
      </c>
      <c r="B51" s="17">
        <v>42970</v>
      </c>
      <c r="C51" s="65"/>
      <c r="D51" s="66" t="s">
        <v>47</v>
      </c>
      <c r="E51" s="67" t="s">
        <v>86</v>
      </c>
      <c r="F51" s="21" t="s">
        <v>87</v>
      </c>
      <c r="G51" s="33">
        <v>1703</v>
      </c>
      <c r="H51" s="34"/>
      <c r="I51" s="35">
        <v>700076</v>
      </c>
      <c r="J51" s="35"/>
      <c r="K51" s="25">
        <f t="shared" si="0"/>
        <v>700076</v>
      </c>
      <c r="L51" s="36"/>
      <c r="M51" s="24">
        <f t="shared" si="1"/>
        <v>0</v>
      </c>
      <c r="N51" s="59">
        <f t="shared" si="2"/>
        <v>700076</v>
      </c>
      <c r="O51" s="28"/>
    </row>
    <row r="52" spans="1:15" s="3" customFormat="1">
      <c r="A52" s="16">
        <v>50</v>
      </c>
      <c r="B52" s="29">
        <v>43088</v>
      </c>
      <c r="C52" s="65"/>
      <c r="D52" s="66" t="s">
        <v>47</v>
      </c>
      <c r="E52" s="67" t="s">
        <v>84</v>
      </c>
      <c r="F52" s="32" t="s">
        <v>88</v>
      </c>
      <c r="G52" s="33">
        <v>1704</v>
      </c>
      <c r="H52" s="34">
        <v>690000</v>
      </c>
      <c r="I52" s="35"/>
      <c r="J52" s="35">
        <f>SUM(H52)/1.05</f>
        <v>657142.85714285716</v>
      </c>
      <c r="K52" s="25">
        <f t="shared" si="0"/>
        <v>657142.85714285716</v>
      </c>
      <c r="L52" s="36"/>
      <c r="M52" s="24">
        <f t="shared" si="1"/>
        <v>0</v>
      </c>
      <c r="N52" s="59">
        <f t="shared" si="2"/>
        <v>657142.85714285716</v>
      </c>
      <c r="O52" s="28"/>
    </row>
    <row r="53" spans="1:15" s="3" customFormat="1">
      <c r="A53" s="16">
        <v>51</v>
      </c>
      <c r="B53" s="29">
        <v>42895</v>
      </c>
      <c r="C53" s="65"/>
      <c r="D53" s="66" t="s">
        <v>47</v>
      </c>
      <c r="E53" s="67" t="s">
        <v>89</v>
      </c>
      <c r="F53" s="30" t="s">
        <v>90</v>
      </c>
      <c r="G53" s="79">
        <v>1702</v>
      </c>
      <c r="H53" s="34">
        <f>59400</f>
        <v>59400</v>
      </c>
      <c r="I53" s="75">
        <v>730362</v>
      </c>
      <c r="J53" s="75"/>
      <c r="K53" s="25">
        <f t="shared" si="0"/>
        <v>730362</v>
      </c>
      <c r="L53" s="36"/>
      <c r="M53" s="24">
        <f t="shared" si="1"/>
        <v>0</v>
      </c>
      <c r="N53" s="59">
        <f t="shared" si="2"/>
        <v>730362</v>
      </c>
      <c r="O53" s="28"/>
    </row>
    <row r="54" spans="1:15" s="3" customFormat="1">
      <c r="A54" s="16">
        <v>52</v>
      </c>
      <c r="B54" s="29">
        <v>43088</v>
      </c>
      <c r="C54" s="65"/>
      <c r="D54" s="66" t="s">
        <v>47</v>
      </c>
      <c r="E54" s="67" t="s">
        <v>91</v>
      </c>
      <c r="F54" s="32" t="s">
        <v>92</v>
      </c>
      <c r="G54" s="33">
        <v>1703</v>
      </c>
      <c r="H54" s="34">
        <f>41400+653200</f>
        <v>694600</v>
      </c>
      <c r="I54" s="35"/>
      <c r="J54" s="35">
        <f>SUM(H54)/1.05</f>
        <v>661523.80952380947</v>
      </c>
      <c r="K54" s="25">
        <f t="shared" si="0"/>
        <v>661523.80952380947</v>
      </c>
      <c r="L54" s="36"/>
      <c r="M54" s="24">
        <f t="shared" si="1"/>
        <v>0</v>
      </c>
      <c r="N54" s="59">
        <f t="shared" si="2"/>
        <v>661523.80952380947</v>
      </c>
      <c r="O54" s="28"/>
    </row>
    <row r="55" spans="1:15" s="3" customFormat="1">
      <c r="A55" s="16">
        <v>53</v>
      </c>
      <c r="B55" s="17">
        <v>43000</v>
      </c>
      <c r="C55" s="65"/>
      <c r="D55" s="66" t="s">
        <v>47</v>
      </c>
      <c r="E55" s="67" t="s">
        <v>91</v>
      </c>
      <c r="F55" s="21" t="s">
        <v>93</v>
      </c>
      <c r="G55" s="33">
        <v>1704</v>
      </c>
      <c r="H55" s="34">
        <v>653200</v>
      </c>
      <c r="I55" s="35">
        <v>622095</v>
      </c>
      <c r="J55" s="35"/>
      <c r="K55" s="25">
        <f t="shared" si="0"/>
        <v>622095</v>
      </c>
      <c r="L55" s="36"/>
      <c r="M55" s="24">
        <f t="shared" si="1"/>
        <v>0</v>
      </c>
      <c r="N55" s="59">
        <f t="shared" si="2"/>
        <v>622095</v>
      </c>
      <c r="O55" s="28"/>
    </row>
    <row r="56" spans="1:15" s="3" customFormat="1">
      <c r="A56" s="16">
        <v>54</v>
      </c>
      <c r="B56" s="29">
        <v>43088</v>
      </c>
      <c r="C56" s="65"/>
      <c r="D56" s="66" t="s">
        <v>47</v>
      </c>
      <c r="E56" s="67" t="s">
        <v>91</v>
      </c>
      <c r="F56" s="32" t="s">
        <v>94</v>
      </c>
      <c r="G56" s="33">
        <v>1704</v>
      </c>
      <c r="H56" s="34">
        <v>653200</v>
      </c>
      <c r="I56" s="35"/>
      <c r="J56" s="35">
        <f>SUM(H56)/1.05</f>
        <v>622095.23809523811</v>
      </c>
      <c r="K56" s="25">
        <f t="shared" si="0"/>
        <v>622095.23809523811</v>
      </c>
      <c r="L56" s="36"/>
      <c r="M56" s="24">
        <f t="shared" si="1"/>
        <v>0</v>
      </c>
      <c r="N56" s="59">
        <f t="shared" si="2"/>
        <v>622095.23809523811</v>
      </c>
      <c r="O56" s="28"/>
    </row>
    <row r="57" spans="1:15" s="3" customFormat="1">
      <c r="A57" s="16">
        <v>55</v>
      </c>
      <c r="B57" s="29">
        <v>43088</v>
      </c>
      <c r="C57" s="65"/>
      <c r="D57" s="66" t="s">
        <v>47</v>
      </c>
      <c r="E57" s="67" t="s">
        <v>91</v>
      </c>
      <c r="F57" s="32" t="s">
        <v>95</v>
      </c>
      <c r="G57" s="33">
        <v>1704</v>
      </c>
      <c r="H57" s="34">
        <f>41400+653200</f>
        <v>694600</v>
      </c>
      <c r="I57" s="35"/>
      <c r="J57" s="35">
        <f>SUM(H57)/1.05</f>
        <v>661523.80952380947</v>
      </c>
      <c r="K57" s="25">
        <f t="shared" si="0"/>
        <v>661523.80952380947</v>
      </c>
      <c r="L57" s="36"/>
      <c r="M57" s="24">
        <f t="shared" si="1"/>
        <v>0</v>
      </c>
      <c r="N57" s="59">
        <f t="shared" si="2"/>
        <v>661523.80952380947</v>
      </c>
      <c r="O57" s="28"/>
    </row>
    <row r="58" spans="1:15" s="3" customFormat="1">
      <c r="A58" s="80">
        <v>1</v>
      </c>
      <c r="B58" s="29">
        <v>42992</v>
      </c>
      <c r="C58" s="18"/>
      <c r="D58" s="19" t="s">
        <v>16</v>
      </c>
      <c r="E58" s="20" t="s">
        <v>96</v>
      </c>
      <c r="F58" s="32" t="s">
        <v>97</v>
      </c>
      <c r="G58" s="22" t="s">
        <v>98</v>
      </c>
      <c r="H58" s="23">
        <v>505080</v>
      </c>
      <c r="I58" s="24">
        <v>481029</v>
      </c>
      <c r="J58" s="35"/>
      <c r="K58" s="25">
        <f t="shared" si="0"/>
        <v>481029</v>
      </c>
      <c r="L58" s="26">
        <v>1</v>
      </c>
      <c r="M58" s="24">
        <f t="shared" si="1"/>
        <v>481029</v>
      </c>
      <c r="N58" s="27">
        <f t="shared" si="2"/>
        <v>0</v>
      </c>
      <c r="O58" s="28"/>
    </row>
    <row r="59" spans="1:15" s="3" customFormat="1">
      <c r="A59" s="80">
        <v>2</v>
      </c>
      <c r="B59" s="29">
        <v>43028</v>
      </c>
      <c r="C59" s="18"/>
      <c r="D59" s="19" t="s">
        <v>16</v>
      </c>
      <c r="E59" s="20" t="s">
        <v>99</v>
      </c>
      <c r="F59" s="30" t="s">
        <v>100</v>
      </c>
      <c r="G59" s="31">
        <v>1703</v>
      </c>
      <c r="H59" s="23">
        <v>423200</v>
      </c>
      <c r="I59" s="24">
        <v>403048</v>
      </c>
      <c r="J59" s="35"/>
      <c r="K59" s="25">
        <f t="shared" si="0"/>
        <v>403048</v>
      </c>
      <c r="L59" s="26">
        <v>1</v>
      </c>
      <c r="M59" s="24">
        <f t="shared" si="1"/>
        <v>403048</v>
      </c>
      <c r="N59" s="27">
        <f t="shared" si="2"/>
        <v>0</v>
      </c>
      <c r="O59" s="28"/>
    </row>
    <row r="60" spans="1:15" s="3" customFormat="1">
      <c r="A60" s="80">
        <v>3</v>
      </c>
      <c r="B60" s="29">
        <v>43028</v>
      </c>
      <c r="C60" s="18"/>
      <c r="D60" s="19" t="s">
        <v>16</v>
      </c>
      <c r="E60" s="20" t="s">
        <v>99</v>
      </c>
      <c r="F60" s="30" t="s">
        <v>101</v>
      </c>
      <c r="G60" s="31">
        <v>1703</v>
      </c>
      <c r="H60" s="23">
        <v>423200</v>
      </c>
      <c r="I60" s="35">
        <v>403048</v>
      </c>
      <c r="J60" s="35"/>
      <c r="K60" s="25">
        <f t="shared" si="0"/>
        <v>403048</v>
      </c>
      <c r="L60" s="26">
        <v>1</v>
      </c>
      <c r="M60" s="24">
        <f t="shared" si="1"/>
        <v>403048</v>
      </c>
      <c r="N60" s="27">
        <f t="shared" si="2"/>
        <v>0</v>
      </c>
      <c r="O60" s="28"/>
    </row>
    <row r="61" spans="1:15" s="3" customFormat="1">
      <c r="A61" s="80">
        <v>4</v>
      </c>
      <c r="B61" s="29">
        <v>43028</v>
      </c>
      <c r="C61" s="18"/>
      <c r="D61" s="19" t="s">
        <v>16</v>
      </c>
      <c r="E61" s="20" t="s">
        <v>99</v>
      </c>
      <c r="F61" s="30" t="s">
        <v>102</v>
      </c>
      <c r="G61" s="31">
        <v>1703</v>
      </c>
      <c r="H61" s="23">
        <v>423200</v>
      </c>
      <c r="I61" s="35">
        <v>403048</v>
      </c>
      <c r="J61" s="35"/>
      <c r="K61" s="25">
        <f t="shared" si="0"/>
        <v>403048</v>
      </c>
      <c r="L61" s="26">
        <v>1</v>
      </c>
      <c r="M61" s="24">
        <f t="shared" si="1"/>
        <v>403048</v>
      </c>
      <c r="N61" s="27">
        <f t="shared" si="2"/>
        <v>0</v>
      </c>
      <c r="O61" s="28"/>
    </row>
    <row r="62" spans="1:15" s="3" customFormat="1">
      <c r="A62" s="80">
        <v>5</v>
      </c>
      <c r="B62" s="29">
        <v>42919</v>
      </c>
      <c r="C62" s="18"/>
      <c r="D62" s="19" t="s">
        <v>16</v>
      </c>
      <c r="E62" s="20" t="s">
        <v>99</v>
      </c>
      <c r="F62" s="37" t="s">
        <v>103</v>
      </c>
      <c r="G62" s="22">
        <v>1703</v>
      </c>
      <c r="H62" s="23"/>
      <c r="I62" s="35">
        <v>437219</v>
      </c>
      <c r="J62" s="35"/>
      <c r="K62" s="25">
        <f t="shared" si="0"/>
        <v>437219</v>
      </c>
      <c r="L62" s="26">
        <v>1</v>
      </c>
      <c r="M62" s="24">
        <f t="shared" si="1"/>
        <v>437219</v>
      </c>
      <c r="N62" s="27">
        <f t="shared" si="2"/>
        <v>0</v>
      </c>
      <c r="O62" s="28"/>
    </row>
    <row r="63" spans="1:15" s="3" customFormat="1">
      <c r="A63" s="80">
        <v>6</v>
      </c>
      <c r="B63" s="77">
        <v>42964</v>
      </c>
      <c r="C63" s="65"/>
      <c r="D63" s="19" t="s">
        <v>16</v>
      </c>
      <c r="E63" s="67" t="s">
        <v>99</v>
      </c>
      <c r="F63" s="68" t="s">
        <v>104</v>
      </c>
      <c r="G63" s="69">
        <v>1704</v>
      </c>
      <c r="H63" s="34"/>
      <c r="I63" s="35">
        <v>428457</v>
      </c>
      <c r="J63" s="35"/>
      <c r="K63" s="75">
        <f t="shared" si="0"/>
        <v>428457</v>
      </c>
      <c r="L63" s="36">
        <v>1</v>
      </c>
      <c r="M63" s="35">
        <f t="shared" si="1"/>
        <v>428457</v>
      </c>
      <c r="N63" s="27">
        <f t="shared" si="2"/>
        <v>0</v>
      </c>
      <c r="O63" s="28"/>
    </row>
    <row r="64" spans="1:15" s="3" customFormat="1">
      <c r="A64" s="80">
        <v>7</v>
      </c>
      <c r="B64" s="64">
        <v>42990</v>
      </c>
      <c r="C64" s="65"/>
      <c r="D64" s="19" t="s">
        <v>16</v>
      </c>
      <c r="E64" s="67" t="s">
        <v>99</v>
      </c>
      <c r="F64" s="71" t="s">
        <v>105</v>
      </c>
      <c r="G64" s="69">
        <v>1705</v>
      </c>
      <c r="H64" s="34">
        <v>449880</v>
      </c>
      <c r="I64" s="35">
        <v>428457</v>
      </c>
      <c r="J64" s="35"/>
      <c r="K64" s="75">
        <f t="shared" si="0"/>
        <v>428457</v>
      </c>
      <c r="L64" s="36">
        <v>1</v>
      </c>
      <c r="M64" s="35">
        <f t="shared" si="1"/>
        <v>428457</v>
      </c>
      <c r="N64" s="27">
        <f t="shared" si="2"/>
        <v>0</v>
      </c>
      <c r="O64" s="28"/>
    </row>
    <row r="65" spans="1:15" s="3" customFormat="1">
      <c r="A65" s="80">
        <v>8</v>
      </c>
      <c r="B65" s="64">
        <v>43069</v>
      </c>
      <c r="C65" s="65" t="s">
        <v>106</v>
      </c>
      <c r="D65" s="19" t="s">
        <v>16</v>
      </c>
      <c r="E65" s="67" t="s">
        <v>17</v>
      </c>
      <c r="F65" s="71" t="s">
        <v>107</v>
      </c>
      <c r="G65" s="69">
        <v>1704</v>
      </c>
      <c r="H65" s="34">
        <v>505080</v>
      </c>
      <c r="I65" s="35">
        <v>481029</v>
      </c>
      <c r="J65" s="35"/>
      <c r="K65" s="75">
        <f t="shared" si="0"/>
        <v>481029</v>
      </c>
      <c r="L65" s="36">
        <v>1</v>
      </c>
      <c r="M65" s="35">
        <f t="shared" si="1"/>
        <v>481029</v>
      </c>
      <c r="N65" s="27">
        <f t="shared" si="2"/>
        <v>0</v>
      </c>
      <c r="O65" s="28"/>
    </row>
    <row r="66" spans="1:15" s="3" customFormat="1">
      <c r="A66" s="80">
        <v>9</v>
      </c>
      <c r="B66" s="64">
        <v>43069</v>
      </c>
      <c r="C66" s="65" t="s">
        <v>106</v>
      </c>
      <c r="D66" s="19" t="s">
        <v>16</v>
      </c>
      <c r="E66" s="67" t="s">
        <v>17</v>
      </c>
      <c r="F66" s="71" t="s">
        <v>108</v>
      </c>
      <c r="G66" s="69">
        <v>1704</v>
      </c>
      <c r="H66" s="34">
        <v>505080</v>
      </c>
      <c r="I66" s="35">
        <v>481029</v>
      </c>
      <c r="J66" s="35"/>
      <c r="K66" s="75">
        <f t="shared" si="0"/>
        <v>481029</v>
      </c>
      <c r="L66" s="36">
        <v>1</v>
      </c>
      <c r="M66" s="35">
        <f t="shared" si="1"/>
        <v>481029</v>
      </c>
      <c r="N66" s="27">
        <f t="shared" si="2"/>
        <v>0</v>
      </c>
      <c r="O66" s="28"/>
    </row>
    <row r="67" spans="1:15" s="3" customFormat="1">
      <c r="A67" s="80">
        <v>10</v>
      </c>
      <c r="B67" s="64">
        <v>43069</v>
      </c>
      <c r="C67" s="65" t="s">
        <v>106</v>
      </c>
      <c r="D67" s="19" t="s">
        <v>16</v>
      </c>
      <c r="E67" s="67" t="s">
        <v>17</v>
      </c>
      <c r="F67" s="71" t="s">
        <v>109</v>
      </c>
      <c r="G67" s="69">
        <v>1704</v>
      </c>
      <c r="H67" s="34">
        <v>505080</v>
      </c>
      <c r="I67" s="35">
        <v>481029</v>
      </c>
      <c r="J67" s="35"/>
      <c r="K67" s="75">
        <f t="shared" ref="K67:K110" si="4">I67+J67</f>
        <v>481029</v>
      </c>
      <c r="L67" s="36">
        <v>1</v>
      </c>
      <c r="M67" s="35">
        <f t="shared" ref="M67:M110" si="5">K67*L67</f>
        <v>481029</v>
      </c>
      <c r="N67" s="27">
        <f t="shared" ref="N67:N110" si="6">K67-M67</f>
        <v>0</v>
      </c>
      <c r="O67" s="28"/>
    </row>
    <row r="68" spans="1:15" s="3" customFormat="1">
      <c r="A68" s="80">
        <v>11</v>
      </c>
      <c r="B68" s="64">
        <v>43069</v>
      </c>
      <c r="C68" s="65" t="s">
        <v>106</v>
      </c>
      <c r="D68" s="19" t="s">
        <v>16</v>
      </c>
      <c r="E68" s="67" t="s">
        <v>17</v>
      </c>
      <c r="F68" s="72" t="s">
        <v>110</v>
      </c>
      <c r="G68" s="69">
        <v>1704</v>
      </c>
      <c r="H68" s="34">
        <v>505080</v>
      </c>
      <c r="I68" s="35">
        <v>481029</v>
      </c>
      <c r="J68" s="35"/>
      <c r="K68" s="75">
        <f t="shared" si="4"/>
        <v>481029</v>
      </c>
      <c r="L68" s="36">
        <v>1</v>
      </c>
      <c r="M68" s="35">
        <f t="shared" si="5"/>
        <v>481029</v>
      </c>
      <c r="N68" s="27">
        <f t="shared" si="6"/>
        <v>0</v>
      </c>
      <c r="O68" s="28"/>
    </row>
    <row r="69" spans="1:15" s="3" customFormat="1">
      <c r="A69" s="80">
        <v>12</v>
      </c>
      <c r="B69" s="64">
        <v>43066</v>
      </c>
      <c r="C69" s="65" t="s">
        <v>15</v>
      </c>
      <c r="D69" s="19" t="s">
        <v>16</v>
      </c>
      <c r="E69" s="67" t="s">
        <v>111</v>
      </c>
      <c r="F69" s="71" t="s">
        <v>112</v>
      </c>
      <c r="G69" s="69">
        <v>1706</v>
      </c>
      <c r="H69" s="34">
        <v>505080</v>
      </c>
      <c r="I69" s="35">
        <v>481029</v>
      </c>
      <c r="J69" s="35"/>
      <c r="K69" s="75">
        <f t="shared" si="4"/>
        <v>481029</v>
      </c>
      <c r="L69" s="36">
        <v>1</v>
      </c>
      <c r="M69" s="35">
        <f t="shared" si="5"/>
        <v>481029</v>
      </c>
      <c r="N69" s="27">
        <f t="shared" si="6"/>
        <v>0</v>
      </c>
      <c r="O69" s="28"/>
    </row>
    <row r="70" spans="1:15" s="3" customFormat="1">
      <c r="A70" s="80">
        <v>13</v>
      </c>
      <c r="B70" s="77">
        <v>43091</v>
      </c>
      <c r="C70" s="65" t="s">
        <v>15</v>
      </c>
      <c r="D70" s="66" t="s">
        <v>16</v>
      </c>
      <c r="E70" s="67" t="s">
        <v>17</v>
      </c>
      <c r="F70" s="68" t="s">
        <v>113</v>
      </c>
      <c r="G70" s="69">
        <v>1706</v>
      </c>
      <c r="H70" s="34">
        <v>505080</v>
      </c>
      <c r="I70" s="35"/>
      <c r="J70" s="35">
        <f t="shared" ref="J70:J103" si="7">SUM(H70)/1.05</f>
        <v>481028.57142857142</v>
      </c>
      <c r="K70" s="75">
        <f t="shared" si="4"/>
        <v>481028.57142857142</v>
      </c>
      <c r="L70" s="36">
        <v>1</v>
      </c>
      <c r="M70" s="35">
        <f t="shared" si="5"/>
        <v>481028.57142857142</v>
      </c>
      <c r="N70" s="27">
        <f t="shared" si="6"/>
        <v>0</v>
      </c>
      <c r="O70" s="28"/>
    </row>
    <row r="71" spans="1:15" s="3" customFormat="1">
      <c r="A71" s="80">
        <v>14</v>
      </c>
      <c r="B71" s="77">
        <v>43070</v>
      </c>
      <c r="C71" s="65" t="s">
        <v>15</v>
      </c>
      <c r="D71" s="66" t="s">
        <v>23</v>
      </c>
      <c r="E71" s="67" t="s">
        <v>114</v>
      </c>
      <c r="F71" s="68" t="s">
        <v>115</v>
      </c>
      <c r="G71" s="69">
        <v>1606</v>
      </c>
      <c r="H71" s="34">
        <f>413080+6300</f>
        <v>419380</v>
      </c>
      <c r="I71" s="35"/>
      <c r="J71" s="35">
        <f t="shared" si="7"/>
        <v>399409.52380952379</v>
      </c>
      <c r="K71" s="75">
        <f t="shared" si="4"/>
        <v>399409.52380952379</v>
      </c>
      <c r="L71" s="36">
        <v>1</v>
      </c>
      <c r="M71" s="35">
        <f t="shared" si="5"/>
        <v>399409.52380952379</v>
      </c>
      <c r="N71" s="27">
        <f t="shared" si="6"/>
        <v>0</v>
      </c>
      <c r="O71" s="28"/>
    </row>
    <row r="72" spans="1:15" s="3" customFormat="1">
      <c r="A72" s="80">
        <v>15</v>
      </c>
      <c r="B72" s="64">
        <v>43090</v>
      </c>
      <c r="C72" s="65"/>
      <c r="D72" s="66" t="s">
        <v>29</v>
      </c>
      <c r="E72" s="67" t="s">
        <v>30</v>
      </c>
      <c r="F72" s="71" t="s">
        <v>116</v>
      </c>
      <c r="G72" s="69">
        <v>1703</v>
      </c>
      <c r="H72" s="34">
        <v>238280</v>
      </c>
      <c r="I72" s="35"/>
      <c r="J72" s="35">
        <f t="shared" si="7"/>
        <v>226933.33333333331</v>
      </c>
      <c r="K72" s="75">
        <f t="shared" si="4"/>
        <v>226933.33333333331</v>
      </c>
      <c r="L72" s="36">
        <v>1</v>
      </c>
      <c r="M72" s="35">
        <f t="shared" si="5"/>
        <v>226933.33333333331</v>
      </c>
      <c r="N72" s="27">
        <f t="shared" si="6"/>
        <v>0</v>
      </c>
      <c r="O72" s="28"/>
    </row>
    <row r="73" spans="1:15" s="3" customFormat="1">
      <c r="A73" s="80">
        <v>16</v>
      </c>
      <c r="B73" s="64">
        <v>43090</v>
      </c>
      <c r="C73" s="65"/>
      <c r="D73" s="66" t="s">
        <v>29</v>
      </c>
      <c r="E73" s="67" t="s">
        <v>30</v>
      </c>
      <c r="F73" s="71" t="s">
        <v>117</v>
      </c>
      <c r="G73" s="69">
        <v>1703</v>
      </c>
      <c r="H73" s="34">
        <v>238280</v>
      </c>
      <c r="I73" s="35"/>
      <c r="J73" s="35">
        <f t="shared" si="7"/>
        <v>226933.33333333331</v>
      </c>
      <c r="K73" s="75">
        <f t="shared" si="4"/>
        <v>226933.33333333331</v>
      </c>
      <c r="L73" s="36">
        <v>1</v>
      </c>
      <c r="M73" s="35">
        <f t="shared" si="5"/>
        <v>226933.33333333331</v>
      </c>
      <c r="N73" s="27">
        <f t="shared" si="6"/>
        <v>0</v>
      </c>
      <c r="O73" s="28"/>
    </row>
    <row r="74" spans="1:15" s="3" customFormat="1">
      <c r="A74" s="80">
        <v>17</v>
      </c>
      <c r="B74" s="64">
        <v>43090</v>
      </c>
      <c r="C74" s="65"/>
      <c r="D74" s="66" t="s">
        <v>29</v>
      </c>
      <c r="E74" s="67" t="s">
        <v>30</v>
      </c>
      <c r="F74" s="71" t="s">
        <v>118</v>
      </c>
      <c r="G74" s="69">
        <v>1703</v>
      </c>
      <c r="H74" s="34">
        <v>238280</v>
      </c>
      <c r="I74" s="35"/>
      <c r="J74" s="35">
        <f t="shared" si="7"/>
        <v>226933.33333333331</v>
      </c>
      <c r="K74" s="75">
        <f t="shared" si="4"/>
        <v>226933.33333333331</v>
      </c>
      <c r="L74" s="36">
        <v>1</v>
      </c>
      <c r="M74" s="35">
        <f t="shared" si="5"/>
        <v>226933.33333333331</v>
      </c>
      <c r="N74" s="27">
        <f t="shared" si="6"/>
        <v>0</v>
      </c>
      <c r="O74" s="28"/>
    </row>
    <row r="75" spans="1:15" s="3" customFormat="1">
      <c r="A75" s="80">
        <v>18</v>
      </c>
      <c r="B75" s="81">
        <v>43089</v>
      </c>
      <c r="C75" s="65"/>
      <c r="D75" s="66" t="s">
        <v>29</v>
      </c>
      <c r="E75" s="67" t="s">
        <v>30</v>
      </c>
      <c r="F75" s="71" t="s">
        <v>119</v>
      </c>
      <c r="G75" s="69">
        <v>1703</v>
      </c>
      <c r="H75" s="34">
        <v>238280</v>
      </c>
      <c r="I75" s="35"/>
      <c r="J75" s="35">
        <f t="shared" si="7"/>
        <v>226933.33333333331</v>
      </c>
      <c r="K75" s="75">
        <f t="shared" si="4"/>
        <v>226933.33333333331</v>
      </c>
      <c r="L75" s="36">
        <v>1</v>
      </c>
      <c r="M75" s="35">
        <f t="shared" si="5"/>
        <v>226933.33333333331</v>
      </c>
      <c r="N75" s="27">
        <f t="shared" si="6"/>
        <v>0</v>
      </c>
      <c r="O75" s="28"/>
    </row>
    <row r="76" spans="1:15" s="3" customFormat="1">
      <c r="A76" s="80">
        <v>19</v>
      </c>
      <c r="B76" s="64">
        <v>43090</v>
      </c>
      <c r="C76" s="65"/>
      <c r="D76" s="66" t="s">
        <v>29</v>
      </c>
      <c r="E76" s="67" t="s">
        <v>30</v>
      </c>
      <c r="F76" s="71" t="s">
        <v>120</v>
      </c>
      <c r="G76" s="69">
        <v>1703</v>
      </c>
      <c r="H76" s="34">
        <v>238280</v>
      </c>
      <c r="I76" s="35"/>
      <c r="J76" s="35">
        <f t="shared" si="7"/>
        <v>226933.33333333331</v>
      </c>
      <c r="K76" s="75">
        <f t="shared" si="4"/>
        <v>226933.33333333331</v>
      </c>
      <c r="L76" s="36">
        <v>1</v>
      </c>
      <c r="M76" s="35">
        <f t="shared" si="5"/>
        <v>226933.33333333331</v>
      </c>
      <c r="N76" s="27">
        <f t="shared" si="6"/>
        <v>0</v>
      </c>
      <c r="O76" s="28"/>
    </row>
    <row r="77" spans="1:15" s="3" customFormat="1">
      <c r="A77" s="80">
        <v>20</v>
      </c>
      <c r="B77" s="64">
        <v>43090</v>
      </c>
      <c r="C77" s="65"/>
      <c r="D77" s="66" t="s">
        <v>29</v>
      </c>
      <c r="E77" s="67" t="s">
        <v>30</v>
      </c>
      <c r="F77" s="71" t="s">
        <v>121</v>
      </c>
      <c r="G77" s="69">
        <v>1703</v>
      </c>
      <c r="H77" s="34">
        <v>238280</v>
      </c>
      <c r="I77" s="35"/>
      <c r="J77" s="35">
        <f t="shared" si="7"/>
        <v>226933.33333333331</v>
      </c>
      <c r="K77" s="75">
        <f t="shared" si="4"/>
        <v>226933.33333333331</v>
      </c>
      <c r="L77" s="36">
        <v>1</v>
      </c>
      <c r="M77" s="35">
        <f t="shared" si="5"/>
        <v>226933.33333333331</v>
      </c>
      <c r="N77" s="27">
        <f t="shared" si="6"/>
        <v>0</v>
      </c>
      <c r="O77" s="28"/>
    </row>
    <row r="78" spans="1:15" s="3" customFormat="1">
      <c r="A78" s="80">
        <v>21</v>
      </c>
      <c r="B78" s="64">
        <v>43089</v>
      </c>
      <c r="C78" s="65"/>
      <c r="D78" s="66" t="s">
        <v>29</v>
      </c>
      <c r="E78" s="67" t="s">
        <v>30</v>
      </c>
      <c r="F78" s="71" t="s">
        <v>122</v>
      </c>
      <c r="G78" s="69">
        <v>1703</v>
      </c>
      <c r="H78" s="34">
        <v>238280</v>
      </c>
      <c r="I78" s="35"/>
      <c r="J78" s="35">
        <f t="shared" si="7"/>
        <v>226933.33333333331</v>
      </c>
      <c r="K78" s="75">
        <f t="shared" si="4"/>
        <v>226933.33333333331</v>
      </c>
      <c r="L78" s="36">
        <v>1</v>
      </c>
      <c r="M78" s="35">
        <f t="shared" si="5"/>
        <v>226933.33333333331</v>
      </c>
      <c r="N78" s="27">
        <f t="shared" si="6"/>
        <v>0</v>
      </c>
      <c r="O78" s="28"/>
    </row>
    <row r="79" spans="1:15" s="3" customFormat="1">
      <c r="A79" s="80">
        <v>22</v>
      </c>
      <c r="B79" s="64">
        <v>43090</v>
      </c>
      <c r="C79" s="65"/>
      <c r="D79" s="66" t="s">
        <v>29</v>
      </c>
      <c r="E79" s="67" t="s">
        <v>30</v>
      </c>
      <c r="F79" s="71" t="s">
        <v>123</v>
      </c>
      <c r="G79" s="69">
        <v>1703</v>
      </c>
      <c r="H79" s="34">
        <v>238280</v>
      </c>
      <c r="I79" s="35"/>
      <c r="J79" s="35">
        <f t="shared" si="7"/>
        <v>226933.33333333331</v>
      </c>
      <c r="K79" s="75">
        <f t="shared" si="4"/>
        <v>226933.33333333331</v>
      </c>
      <c r="L79" s="36">
        <v>1</v>
      </c>
      <c r="M79" s="35">
        <f t="shared" si="5"/>
        <v>226933.33333333331</v>
      </c>
      <c r="N79" s="27">
        <f t="shared" si="6"/>
        <v>0</v>
      </c>
      <c r="O79" s="28"/>
    </row>
    <row r="80" spans="1:15" s="3" customFormat="1">
      <c r="A80" s="80">
        <v>23</v>
      </c>
      <c r="B80" s="64">
        <v>43090</v>
      </c>
      <c r="C80" s="65"/>
      <c r="D80" s="66" t="s">
        <v>29</v>
      </c>
      <c r="E80" s="67" t="s">
        <v>30</v>
      </c>
      <c r="F80" s="71" t="s">
        <v>124</v>
      </c>
      <c r="G80" s="69">
        <v>1703</v>
      </c>
      <c r="H80" s="34">
        <v>238280</v>
      </c>
      <c r="I80" s="35"/>
      <c r="J80" s="35">
        <f t="shared" si="7"/>
        <v>226933.33333333331</v>
      </c>
      <c r="K80" s="75">
        <f t="shared" si="4"/>
        <v>226933.33333333331</v>
      </c>
      <c r="L80" s="36">
        <v>1</v>
      </c>
      <c r="M80" s="35">
        <f t="shared" si="5"/>
        <v>226933.33333333331</v>
      </c>
      <c r="N80" s="27">
        <f t="shared" si="6"/>
        <v>0</v>
      </c>
      <c r="O80" s="28"/>
    </row>
    <row r="81" spans="1:15" s="3" customFormat="1">
      <c r="A81" s="80">
        <v>24</v>
      </c>
      <c r="B81" s="64">
        <v>43089</v>
      </c>
      <c r="C81" s="65"/>
      <c r="D81" s="66" t="s">
        <v>29</v>
      </c>
      <c r="E81" s="67" t="s">
        <v>30</v>
      </c>
      <c r="F81" s="73" t="s">
        <v>125</v>
      </c>
      <c r="G81" s="74">
        <v>1703</v>
      </c>
      <c r="H81" s="34">
        <v>238280</v>
      </c>
      <c r="I81" s="35"/>
      <c r="J81" s="35">
        <f t="shared" si="7"/>
        <v>226933.33333333331</v>
      </c>
      <c r="K81" s="75">
        <f t="shared" si="4"/>
        <v>226933.33333333331</v>
      </c>
      <c r="L81" s="36">
        <v>1</v>
      </c>
      <c r="M81" s="35">
        <f t="shared" si="5"/>
        <v>226933.33333333331</v>
      </c>
      <c r="N81" s="27">
        <f t="shared" si="6"/>
        <v>0</v>
      </c>
      <c r="O81" s="28"/>
    </row>
    <row r="82" spans="1:15" s="3" customFormat="1">
      <c r="A82" s="80">
        <v>25</v>
      </c>
      <c r="B82" s="64">
        <v>43090</v>
      </c>
      <c r="C82" s="65"/>
      <c r="D82" s="66" t="s">
        <v>29</v>
      </c>
      <c r="E82" s="67" t="s">
        <v>30</v>
      </c>
      <c r="F82" s="82" t="s">
        <v>126</v>
      </c>
      <c r="G82" s="58">
        <v>1703</v>
      </c>
      <c r="H82" s="23">
        <v>238280</v>
      </c>
      <c r="I82" s="24"/>
      <c r="J82" s="35">
        <f t="shared" si="7"/>
        <v>226933.33333333331</v>
      </c>
      <c r="K82" s="25">
        <f t="shared" si="4"/>
        <v>226933.33333333331</v>
      </c>
      <c r="L82" s="26">
        <v>1</v>
      </c>
      <c r="M82" s="24">
        <f t="shared" si="5"/>
        <v>226933.33333333331</v>
      </c>
      <c r="N82" s="27">
        <f t="shared" si="6"/>
        <v>0</v>
      </c>
      <c r="O82" s="28"/>
    </row>
    <row r="83" spans="1:15" s="3" customFormat="1">
      <c r="A83" s="80">
        <v>26</v>
      </c>
      <c r="B83" s="64">
        <v>43090</v>
      </c>
      <c r="C83" s="65"/>
      <c r="D83" s="66" t="s">
        <v>29</v>
      </c>
      <c r="E83" s="67" t="s">
        <v>30</v>
      </c>
      <c r="F83" s="82" t="s">
        <v>127</v>
      </c>
      <c r="G83" s="58">
        <v>1703</v>
      </c>
      <c r="H83" s="23">
        <v>238280</v>
      </c>
      <c r="I83" s="24"/>
      <c r="J83" s="35">
        <f t="shared" si="7"/>
        <v>226933.33333333331</v>
      </c>
      <c r="K83" s="25">
        <f t="shared" si="4"/>
        <v>226933.33333333331</v>
      </c>
      <c r="L83" s="26">
        <v>1</v>
      </c>
      <c r="M83" s="24">
        <f t="shared" si="5"/>
        <v>226933.33333333331</v>
      </c>
      <c r="N83" s="27">
        <f t="shared" si="6"/>
        <v>0</v>
      </c>
      <c r="O83" s="28"/>
    </row>
    <row r="84" spans="1:15" s="3" customFormat="1">
      <c r="A84" s="16">
        <v>27</v>
      </c>
      <c r="B84" s="64">
        <v>43090</v>
      </c>
      <c r="C84" s="65"/>
      <c r="D84" s="66" t="s">
        <v>29</v>
      </c>
      <c r="E84" s="67" t="s">
        <v>30</v>
      </c>
      <c r="F84" s="57" t="s">
        <v>128</v>
      </c>
      <c r="G84" s="58">
        <v>1703</v>
      </c>
      <c r="H84" s="23">
        <v>238280</v>
      </c>
      <c r="I84" s="24"/>
      <c r="J84" s="35">
        <f t="shared" si="7"/>
        <v>226933.33333333331</v>
      </c>
      <c r="K84" s="25">
        <f t="shared" si="4"/>
        <v>226933.33333333331</v>
      </c>
      <c r="L84" s="26">
        <v>1</v>
      </c>
      <c r="M84" s="24">
        <f t="shared" si="5"/>
        <v>226933.33333333331</v>
      </c>
      <c r="N84" s="27">
        <f t="shared" si="6"/>
        <v>0</v>
      </c>
      <c r="O84" s="28"/>
    </row>
    <row r="85" spans="1:15" s="3" customFormat="1">
      <c r="A85" s="16">
        <v>28</v>
      </c>
      <c r="B85" s="81">
        <v>43090</v>
      </c>
      <c r="C85" s="65"/>
      <c r="D85" s="66" t="s">
        <v>29</v>
      </c>
      <c r="E85" s="67" t="s">
        <v>30</v>
      </c>
      <c r="F85" s="61" t="s">
        <v>129</v>
      </c>
      <c r="G85" s="58">
        <v>1703</v>
      </c>
      <c r="H85" s="23">
        <v>238280</v>
      </c>
      <c r="I85" s="24"/>
      <c r="J85" s="35">
        <f t="shared" si="7"/>
        <v>226933.33333333331</v>
      </c>
      <c r="K85" s="25">
        <f t="shared" si="4"/>
        <v>226933.33333333331</v>
      </c>
      <c r="L85" s="26">
        <v>1</v>
      </c>
      <c r="M85" s="24">
        <f t="shared" si="5"/>
        <v>226933.33333333331</v>
      </c>
      <c r="N85" s="27">
        <f t="shared" si="6"/>
        <v>0</v>
      </c>
      <c r="O85" s="28"/>
    </row>
    <row r="86" spans="1:15" s="3" customFormat="1">
      <c r="A86" s="80">
        <v>29</v>
      </c>
      <c r="B86" s="56">
        <v>43090</v>
      </c>
      <c r="C86" s="18"/>
      <c r="D86" s="66" t="s">
        <v>29</v>
      </c>
      <c r="E86" s="20" t="s">
        <v>30</v>
      </c>
      <c r="F86" s="82" t="s">
        <v>130</v>
      </c>
      <c r="G86" s="58">
        <v>1706</v>
      </c>
      <c r="H86" s="23">
        <v>238280</v>
      </c>
      <c r="I86" s="24"/>
      <c r="J86" s="35">
        <f t="shared" si="7"/>
        <v>226933.33333333331</v>
      </c>
      <c r="K86" s="25">
        <f t="shared" si="4"/>
        <v>226933.33333333331</v>
      </c>
      <c r="L86" s="26">
        <v>1</v>
      </c>
      <c r="M86" s="24">
        <f t="shared" si="5"/>
        <v>226933.33333333331</v>
      </c>
      <c r="N86" s="27">
        <f t="shared" si="6"/>
        <v>0</v>
      </c>
      <c r="O86" s="28"/>
    </row>
    <row r="87" spans="1:15" s="3" customFormat="1">
      <c r="A87" s="80">
        <v>30</v>
      </c>
      <c r="B87" s="56">
        <v>43090</v>
      </c>
      <c r="C87" s="18"/>
      <c r="D87" s="66" t="s">
        <v>29</v>
      </c>
      <c r="E87" s="20" t="s">
        <v>30</v>
      </c>
      <c r="F87" s="57" t="s">
        <v>131</v>
      </c>
      <c r="G87" s="58">
        <v>1703</v>
      </c>
      <c r="H87" s="23">
        <v>238280</v>
      </c>
      <c r="I87" s="24"/>
      <c r="J87" s="35">
        <f t="shared" si="7"/>
        <v>226933.33333333331</v>
      </c>
      <c r="K87" s="25">
        <f t="shared" si="4"/>
        <v>226933.33333333331</v>
      </c>
      <c r="L87" s="26">
        <v>1</v>
      </c>
      <c r="M87" s="24">
        <f t="shared" si="5"/>
        <v>226933.33333333331</v>
      </c>
      <c r="N87" s="27">
        <f t="shared" si="6"/>
        <v>0</v>
      </c>
      <c r="O87" s="28"/>
    </row>
    <row r="88" spans="1:15" s="3" customFormat="1">
      <c r="A88" s="80">
        <v>31</v>
      </c>
      <c r="B88" s="60">
        <v>43090</v>
      </c>
      <c r="C88" s="18"/>
      <c r="D88" s="66" t="s">
        <v>29</v>
      </c>
      <c r="E88" s="20" t="s">
        <v>30</v>
      </c>
      <c r="F88" s="61" t="s">
        <v>132</v>
      </c>
      <c r="G88" s="58">
        <v>1704</v>
      </c>
      <c r="H88" s="23">
        <v>238280</v>
      </c>
      <c r="I88" s="24"/>
      <c r="J88" s="35">
        <f t="shared" si="7"/>
        <v>226933.33333333331</v>
      </c>
      <c r="K88" s="25">
        <f t="shared" si="4"/>
        <v>226933.33333333331</v>
      </c>
      <c r="L88" s="26">
        <v>1</v>
      </c>
      <c r="M88" s="24">
        <f t="shared" si="5"/>
        <v>226933.33333333331</v>
      </c>
      <c r="N88" s="27">
        <f t="shared" si="6"/>
        <v>0</v>
      </c>
      <c r="O88" s="28"/>
    </row>
    <row r="89" spans="1:15" s="3" customFormat="1">
      <c r="A89" s="80">
        <v>32</v>
      </c>
      <c r="B89" s="60">
        <v>43090</v>
      </c>
      <c r="C89" s="18"/>
      <c r="D89" s="66" t="s">
        <v>29</v>
      </c>
      <c r="E89" s="20" t="s">
        <v>30</v>
      </c>
      <c r="F89" s="61" t="s">
        <v>133</v>
      </c>
      <c r="G89" s="58">
        <v>1704</v>
      </c>
      <c r="H89" s="23">
        <v>238280</v>
      </c>
      <c r="I89" s="24"/>
      <c r="J89" s="35">
        <f t="shared" si="7"/>
        <v>226933.33333333331</v>
      </c>
      <c r="K89" s="25">
        <f t="shared" si="4"/>
        <v>226933.33333333331</v>
      </c>
      <c r="L89" s="26">
        <v>1</v>
      </c>
      <c r="M89" s="24">
        <f t="shared" si="5"/>
        <v>226933.33333333331</v>
      </c>
      <c r="N89" s="27">
        <f t="shared" si="6"/>
        <v>0</v>
      </c>
      <c r="O89" s="28"/>
    </row>
    <row r="90" spans="1:15" s="3" customFormat="1">
      <c r="A90" s="80">
        <v>33</v>
      </c>
      <c r="B90" s="56">
        <v>43089</v>
      </c>
      <c r="C90" s="18"/>
      <c r="D90" s="66" t="s">
        <v>29</v>
      </c>
      <c r="E90" s="20" t="s">
        <v>30</v>
      </c>
      <c r="F90" s="82" t="s">
        <v>134</v>
      </c>
      <c r="G90" s="58">
        <v>1704</v>
      </c>
      <c r="H90" s="23">
        <v>238280</v>
      </c>
      <c r="I90" s="24"/>
      <c r="J90" s="35">
        <f t="shared" si="7"/>
        <v>226933.33333333331</v>
      </c>
      <c r="K90" s="25">
        <f t="shared" si="4"/>
        <v>226933.33333333331</v>
      </c>
      <c r="L90" s="26">
        <v>1</v>
      </c>
      <c r="M90" s="24">
        <f t="shared" si="5"/>
        <v>226933.33333333331</v>
      </c>
      <c r="N90" s="27">
        <f t="shared" si="6"/>
        <v>0</v>
      </c>
      <c r="O90" s="28"/>
    </row>
    <row r="91" spans="1:15" s="3" customFormat="1">
      <c r="A91" s="80">
        <v>34</v>
      </c>
      <c r="B91" s="56">
        <v>43090</v>
      </c>
      <c r="C91" s="18"/>
      <c r="D91" s="66" t="s">
        <v>29</v>
      </c>
      <c r="E91" s="20" t="s">
        <v>30</v>
      </c>
      <c r="F91" s="82" t="s">
        <v>135</v>
      </c>
      <c r="G91" s="58">
        <v>1704</v>
      </c>
      <c r="H91" s="23">
        <v>238280</v>
      </c>
      <c r="I91" s="24"/>
      <c r="J91" s="35">
        <f t="shared" si="7"/>
        <v>226933.33333333331</v>
      </c>
      <c r="K91" s="25">
        <f t="shared" si="4"/>
        <v>226933.33333333331</v>
      </c>
      <c r="L91" s="26">
        <v>1</v>
      </c>
      <c r="M91" s="24">
        <f t="shared" si="5"/>
        <v>226933.33333333331</v>
      </c>
      <c r="N91" s="27">
        <f t="shared" si="6"/>
        <v>0</v>
      </c>
      <c r="O91" s="28"/>
    </row>
    <row r="92" spans="1:15" s="3" customFormat="1">
      <c r="A92" s="80">
        <v>35</v>
      </c>
      <c r="B92" s="60">
        <v>43090</v>
      </c>
      <c r="C92" s="18"/>
      <c r="D92" s="66" t="s">
        <v>29</v>
      </c>
      <c r="E92" s="20" t="s">
        <v>30</v>
      </c>
      <c r="F92" s="61" t="s">
        <v>136</v>
      </c>
      <c r="G92" s="58">
        <v>1705</v>
      </c>
      <c r="H92" s="23">
        <v>238280</v>
      </c>
      <c r="I92" s="24"/>
      <c r="J92" s="35">
        <f t="shared" si="7"/>
        <v>226933.33333333331</v>
      </c>
      <c r="K92" s="25">
        <f t="shared" si="4"/>
        <v>226933.33333333331</v>
      </c>
      <c r="L92" s="26">
        <v>1</v>
      </c>
      <c r="M92" s="24">
        <f t="shared" si="5"/>
        <v>226933.33333333331</v>
      </c>
      <c r="N92" s="27">
        <f t="shared" si="6"/>
        <v>0</v>
      </c>
      <c r="O92" s="28"/>
    </row>
    <row r="93" spans="1:15" s="3" customFormat="1">
      <c r="A93" s="80">
        <v>36</v>
      </c>
      <c r="B93" s="56">
        <v>43090</v>
      </c>
      <c r="C93" s="18"/>
      <c r="D93" s="66" t="s">
        <v>29</v>
      </c>
      <c r="E93" s="20" t="s">
        <v>30</v>
      </c>
      <c r="F93" s="62" t="s">
        <v>137</v>
      </c>
      <c r="G93" s="63">
        <v>1705</v>
      </c>
      <c r="H93" s="23">
        <v>238280</v>
      </c>
      <c r="I93" s="24"/>
      <c r="J93" s="35">
        <f t="shared" si="7"/>
        <v>226933.33333333331</v>
      </c>
      <c r="K93" s="25">
        <f t="shared" si="4"/>
        <v>226933.33333333331</v>
      </c>
      <c r="L93" s="26">
        <v>1</v>
      </c>
      <c r="M93" s="24">
        <f t="shared" si="5"/>
        <v>226933.33333333331</v>
      </c>
      <c r="N93" s="27">
        <f t="shared" si="6"/>
        <v>0</v>
      </c>
      <c r="O93" s="28"/>
    </row>
    <row r="94" spans="1:15" s="3" customFormat="1">
      <c r="A94" s="80">
        <v>37</v>
      </c>
      <c r="B94" s="83">
        <v>43090</v>
      </c>
      <c r="C94" s="18"/>
      <c r="D94" s="66" t="s">
        <v>29</v>
      </c>
      <c r="E94" s="20" t="s">
        <v>30</v>
      </c>
      <c r="F94" s="61" t="s">
        <v>138</v>
      </c>
      <c r="G94" s="58">
        <v>1705</v>
      </c>
      <c r="H94" s="23">
        <v>238280</v>
      </c>
      <c r="I94" s="24"/>
      <c r="J94" s="35">
        <f t="shared" si="7"/>
        <v>226933.33333333331</v>
      </c>
      <c r="K94" s="25">
        <f t="shared" si="4"/>
        <v>226933.33333333331</v>
      </c>
      <c r="L94" s="26">
        <v>1</v>
      </c>
      <c r="M94" s="24">
        <f t="shared" si="5"/>
        <v>226933.33333333331</v>
      </c>
      <c r="N94" s="27">
        <f t="shared" si="6"/>
        <v>0</v>
      </c>
      <c r="O94" s="28"/>
    </row>
    <row r="95" spans="1:15" s="3" customFormat="1">
      <c r="A95" s="80">
        <v>38</v>
      </c>
      <c r="B95" s="60">
        <v>43095</v>
      </c>
      <c r="C95" s="18"/>
      <c r="D95" s="66" t="s">
        <v>29</v>
      </c>
      <c r="E95" s="20" t="s">
        <v>30</v>
      </c>
      <c r="F95" s="61" t="s">
        <v>139</v>
      </c>
      <c r="G95" s="58">
        <v>1709</v>
      </c>
      <c r="H95" s="23">
        <v>238280</v>
      </c>
      <c r="I95" s="24"/>
      <c r="J95" s="24">
        <f t="shared" si="7"/>
        <v>226933.33333333331</v>
      </c>
      <c r="K95" s="25">
        <f t="shared" si="4"/>
        <v>226933.33333333331</v>
      </c>
      <c r="L95" s="26">
        <v>1</v>
      </c>
      <c r="M95" s="24">
        <f t="shared" si="5"/>
        <v>226933.33333333331</v>
      </c>
      <c r="N95" s="59">
        <f t="shared" si="6"/>
        <v>0</v>
      </c>
      <c r="O95" s="28"/>
    </row>
    <row r="96" spans="1:15" s="3" customFormat="1">
      <c r="A96" s="80">
        <v>39</v>
      </c>
      <c r="B96" s="60">
        <v>43095</v>
      </c>
      <c r="C96" s="18"/>
      <c r="D96" s="66" t="s">
        <v>29</v>
      </c>
      <c r="E96" s="20" t="s">
        <v>30</v>
      </c>
      <c r="F96" s="61" t="s">
        <v>140</v>
      </c>
      <c r="G96" s="58">
        <v>1709</v>
      </c>
      <c r="H96" s="23">
        <v>238280</v>
      </c>
      <c r="I96" s="24"/>
      <c r="J96" s="24">
        <f t="shared" si="7"/>
        <v>226933.33333333331</v>
      </c>
      <c r="K96" s="25">
        <f t="shared" si="4"/>
        <v>226933.33333333331</v>
      </c>
      <c r="L96" s="26">
        <v>1</v>
      </c>
      <c r="M96" s="24">
        <f t="shared" si="5"/>
        <v>226933.33333333331</v>
      </c>
      <c r="N96" s="59">
        <f t="shared" si="6"/>
        <v>0</v>
      </c>
      <c r="O96" s="28"/>
    </row>
    <row r="97" spans="1:15" s="3" customFormat="1">
      <c r="A97" s="80">
        <v>40</v>
      </c>
      <c r="B97" s="60">
        <v>43095</v>
      </c>
      <c r="C97" s="18"/>
      <c r="D97" s="66" t="s">
        <v>29</v>
      </c>
      <c r="E97" s="20" t="s">
        <v>30</v>
      </c>
      <c r="F97" s="61" t="s">
        <v>141</v>
      </c>
      <c r="G97" s="58">
        <v>1709</v>
      </c>
      <c r="H97" s="23">
        <v>238280</v>
      </c>
      <c r="I97" s="24"/>
      <c r="J97" s="24">
        <f t="shared" si="7"/>
        <v>226933.33333333331</v>
      </c>
      <c r="K97" s="25">
        <f t="shared" si="4"/>
        <v>226933.33333333331</v>
      </c>
      <c r="L97" s="26">
        <v>1</v>
      </c>
      <c r="M97" s="24">
        <f t="shared" si="5"/>
        <v>226933.33333333331</v>
      </c>
      <c r="N97" s="59">
        <f t="shared" si="6"/>
        <v>0</v>
      </c>
      <c r="O97" s="28"/>
    </row>
    <row r="98" spans="1:15" s="3" customFormat="1">
      <c r="A98" s="80">
        <v>41</v>
      </c>
      <c r="B98" s="60">
        <v>43095</v>
      </c>
      <c r="C98" s="18"/>
      <c r="D98" s="66" t="s">
        <v>29</v>
      </c>
      <c r="E98" s="20" t="s">
        <v>30</v>
      </c>
      <c r="F98" s="61" t="s">
        <v>142</v>
      </c>
      <c r="G98" s="58">
        <v>1709</v>
      </c>
      <c r="H98" s="23">
        <v>238280</v>
      </c>
      <c r="I98" s="24"/>
      <c r="J98" s="24">
        <f t="shared" si="7"/>
        <v>226933.33333333331</v>
      </c>
      <c r="K98" s="25">
        <f t="shared" si="4"/>
        <v>226933.33333333331</v>
      </c>
      <c r="L98" s="26">
        <v>1</v>
      </c>
      <c r="M98" s="24">
        <f t="shared" si="5"/>
        <v>226933.33333333331</v>
      </c>
      <c r="N98" s="59">
        <f t="shared" si="6"/>
        <v>0</v>
      </c>
      <c r="O98" s="28"/>
    </row>
    <row r="99" spans="1:15" s="3" customFormat="1">
      <c r="A99" s="80">
        <v>42</v>
      </c>
      <c r="B99" s="60">
        <v>43095</v>
      </c>
      <c r="C99" s="18"/>
      <c r="D99" s="66" t="s">
        <v>29</v>
      </c>
      <c r="E99" s="20" t="s">
        <v>30</v>
      </c>
      <c r="F99" s="61" t="s">
        <v>143</v>
      </c>
      <c r="G99" s="58">
        <v>1709</v>
      </c>
      <c r="H99" s="23">
        <v>238280</v>
      </c>
      <c r="I99" s="24"/>
      <c r="J99" s="24">
        <f t="shared" si="7"/>
        <v>226933.33333333331</v>
      </c>
      <c r="K99" s="25">
        <f t="shared" si="4"/>
        <v>226933.33333333331</v>
      </c>
      <c r="L99" s="26">
        <v>1</v>
      </c>
      <c r="M99" s="24">
        <f t="shared" si="5"/>
        <v>226933.33333333331</v>
      </c>
      <c r="N99" s="59">
        <f t="shared" si="6"/>
        <v>0</v>
      </c>
      <c r="O99" s="28"/>
    </row>
    <row r="100" spans="1:15" s="3" customFormat="1">
      <c r="A100" s="80">
        <v>43</v>
      </c>
      <c r="B100" s="60">
        <v>43095</v>
      </c>
      <c r="C100" s="18"/>
      <c r="D100" s="66" t="s">
        <v>29</v>
      </c>
      <c r="E100" s="20" t="s">
        <v>30</v>
      </c>
      <c r="F100" s="61" t="s">
        <v>144</v>
      </c>
      <c r="G100" s="58">
        <v>1709</v>
      </c>
      <c r="H100" s="23">
        <v>238280</v>
      </c>
      <c r="I100" s="24"/>
      <c r="J100" s="24">
        <f t="shared" si="7"/>
        <v>226933.33333333331</v>
      </c>
      <c r="K100" s="25">
        <f t="shared" si="4"/>
        <v>226933.33333333331</v>
      </c>
      <c r="L100" s="26">
        <v>1</v>
      </c>
      <c r="M100" s="24">
        <f t="shared" si="5"/>
        <v>226933.33333333331</v>
      </c>
      <c r="N100" s="59">
        <f t="shared" si="6"/>
        <v>0</v>
      </c>
      <c r="O100" s="28"/>
    </row>
    <row r="101" spans="1:15" s="3" customFormat="1">
      <c r="A101" s="80">
        <v>44</v>
      </c>
      <c r="B101" s="60">
        <v>43095</v>
      </c>
      <c r="C101" s="18"/>
      <c r="D101" s="66" t="s">
        <v>29</v>
      </c>
      <c r="E101" s="20" t="s">
        <v>30</v>
      </c>
      <c r="F101" s="61" t="s">
        <v>145</v>
      </c>
      <c r="G101" s="58">
        <v>1709</v>
      </c>
      <c r="H101" s="23">
        <v>238280</v>
      </c>
      <c r="I101" s="24"/>
      <c r="J101" s="24">
        <f t="shared" si="7"/>
        <v>226933.33333333331</v>
      </c>
      <c r="K101" s="25">
        <f t="shared" si="4"/>
        <v>226933.33333333331</v>
      </c>
      <c r="L101" s="26">
        <v>1</v>
      </c>
      <c r="M101" s="24">
        <f t="shared" si="5"/>
        <v>226933.33333333331</v>
      </c>
      <c r="N101" s="27">
        <f t="shared" si="6"/>
        <v>0</v>
      </c>
      <c r="O101" s="28"/>
    </row>
    <row r="102" spans="1:15" s="3" customFormat="1">
      <c r="A102" s="80">
        <v>45</v>
      </c>
      <c r="B102" s="60">
        <v>43095</v>
      </c>
      <c r="C102" s="18"/>
      <c r="D102" s="66" t="s">
        <v>29</v>
      </c>
      <c r="E102" s="20" t="s">
        <v>30</v>
      </c>
      <c r="F102" s="61" t="s">
        <v>146</v>
      </c>
      <c r="G102" s="58">
        <v>1709</v>
      </c>
      <c r="H102" s="23">
        <v>238280</v>
      </c>
      <c r="I102" s="24"/>
      <c r="J102" s="24">
        <f t="shared" si="7"/>
        <v>226933.33333333331</v>
      </c>
      <c r="K102" s="25">
        <f t="shared" si="4"/>
        <v>226933.33333333331</v>
      </c>
      <c r="L102" s="26">
        <v>1</v>
      </c>
      <c r="M102" s="24">
        <f t="shared" si="5"/>
        <v>226933.33333333331</v>
      </c>
      <c r="N102" s="27">
        <f t="shared" si="6"/>
        <v>0</v>
      </c>
      <c r="O102" s="28"/>
    </row>
    <row r="103" spans="1:15" s="3" customFormat="1">
      <c r="A103" s="80">
        <v>46</v>
      </c>
      <c r="B103" s="60">
        <v>43095</v>
      </c>
      <c r="C103" s="18"/>
      <c r="D103" s="66" t="s">
        <v>29</v>
      </c>
      <c r="E103" s="20" t="s">
        <v>30</v>
      </c>
      <c r="F103" s="21" t="s">
        <v>147</v>
      </c>
      <c r="G103" s="22">
        <v>1709</v>
      </c>
      <c r="H103" s="23">
        <v>238280</v>
      </c>
      <c r="I103" s="24"/>
      <c r="J103" s="24">
        <f t="shared" si="7"/>
        <v>226933.33333333331</v>
      </c>
      <c r="K103" s="25">
        <f t="shared" si="4"/>
        <v>226933.33333333331</v>
      </c>
      <c r="L103" s="26">
        <v>1</v>
      </c>
      <c r="M103" s="24">
        <f t="shared" si="5"/>
        <v>226933.33333333331</v>
      </c>
      <c r="N103" s="27">
        <f t="shared" si="6"/>
        <v>0</v>
      </c>
      <c r="O103" s="28"/>
    </row>
    <row r="104" spans="1:15" s="3" customFormat="1">
      <c r="A104" s="80">
        <v>47</v>
      </c>
      <c r="B104" s="17">
        <v>43061</v>
      </c>
      <c r="C104" s="18"/>
      <c r="D104" s="19" t="s">
        <v>47</v>
      </c>
      <c r="E104" s="20" t="s">
        <v>48</v>
      </c>
      <c r="F104" s="37" t="s">
        <v>148</v>
      </c>
      <c r="G104" s="22">
        <v>1703</v>
      </c>
      <c r="H104" s="23">
        <v>754400</v>
      </c>
      <c r="I104" s="24">
        <v>718476</v>
      </c>
      <c r="J104" s="24"/>
      <c r="K104" s="25">
        <f t="shared" si="4"/>
        <v>718476</v>
      </c>
      <c r="L104" s="26">
        <v>1</v>
      </c>
      <c r="M104" s="24">
        <f t="shared" si="5"/>
        <v>718476</v>
      </c>
      <c r="N104" s="27">
        <f t="shared" si="6"/>
        <v>0</v>
      </c>
      <c r="O104" s="28"/>
    </row>
    <row r="105" spans="1:15" s="3" customFormat="1">
      <c r="A105" s="80">
        <v>48</v>
      </c>
      <c r="B105" s="17">
        <v>42964</v>
      </c>
      <c r="C105" s="18"/>
      <c r="D105" s="19" t="s">
        <v>47</v>
      </c>
      <c r="E105" s="20" t="s">
        <v>70</v>
      </c>
      <c r="F105" s="21" t="s">
        <v>149</v>
      </c>
      <c r="G105" s="22">
        <v>1705</v>
      </c>
      <c r="H105" s="23">
        <f>16200</f>
        <v>16200</v>
      </c>
      <c r="I105" s="24">
        <v>776838</v>
      </c>
      <c r="J105" s="24"/>
      <c r="K105" s="25">
        <f t="shared" si="4"/>
        <v>776838</v>
      </c>
      <c r="L105" s="26">
        <v>1</v>
      </c>
      <c r="M105" s="24">
        <f t="shared" si="5"/>
        <v>776838</v>
      </c>
      <c r="N105" s="27">
        <f t="shared" si="6"/>
        <v>0</v>
      </c>
      <c r="O105" s="28"/>
    </row>
    <row r="106" spans="1:15" s="3" customFormat="1">
      <c r="A106" s="80">
        <v>49</v>
      </c>
      <c r="B106" s="78">
        <v>42969</v>
      </c>
      <c r="C106" s="18"/>
      <c r="D106" s="19" t="s">
        <v>47</v>
      </c>
      <c r="E106" s="20" t="s">
        <v>74</v>
      </c>
      <c r="F106" s="21" t="s">
        <v>150</v>
      </c>
      <c r="G106" s="22">
        <v>1703</v>
      </c>
      <c r="H106" s="23">
        <f>9900</f>
        <v>9900</v>
      </c>
      <c r="I106" s="24">
        <v>770838</v>
      </c>
      <c r="J106" s="24"/>
      <c r="K106" s="25">
        <f t="shared" si="4"/>
        <v>770838</v>
      </c>
      <c r="L106" s="26">
        <v>1</v>
      </c>
      <c r="M106" s="24">
        <f t="shared" si="5"/>
        <v>770838</v>
      </c>
      <c r="N106" s="27">
        <f t="shared" si="6"/>
        <v>0</v>
      </c>
      <c r="O106" s="28"/>
    </row>
    <row r="107" spans="1:15" s="3" customFormat="1">
      <c r="A107" s="80">
        <v>50</v>
      </c>
      <c r="B107" s="17">
        <v>43000</v>
      </c>
      <c r="C107" s="18"/>
      <c r="D107" s="19" t="s">
        <v>47</v>
      </c>
      <c r="E107" s="20" t="s">
        <v>91</v>
      </c>
      <c r="F107" s="21" t="s">
        <v>151</v>
      </c>
      <c r="G107" s="22">
        <v>1704</v>
      </c>
      <c r="H107" s="23">
        <v>653200</v>
      </c>
      <c r="I107" s="24">
        <v>622095</v>
      </c>
      <c r="J107" s="24"/>
      <c r="K107" s="25">
        <f t="shared" si="4"/>
        <v>622095</v>
      </c>
      <c r="L107" s="26">
        <v>1</v>
      </c>
      <c r="M107" s="24">
        <f t="shared" si="5"/>
        <v>622095</v>
      </c>
      <c r="N107" s="27">
        <f t="shared" si="6"/>
        <v>0</v>
      </c>
      <c r="O107" s="28"/>
    </row>
    <row r="108" spans="1:15" s="3" customFormat="1">
      <c r="A108" s="84">
        <v>1</v>
      </c>
      <c r="B108" s="78">
        <v>43028</v>
      </c>
      <c r="C108" s="18"/>
      <c r="D108" s="19" t="s">
        <v>16</v>
      </c>
      <c r="E108" s="20" t="s">
        <v>99</v>
      </c>
      <c r="F108" s="30" t="s">
        <v>152</v>
      </c>
      <c r="G108" s="79">
        <v>1703</v>
      </c>
      <c r="H108" s="34">
        <v>423200</v>
      </c>
      <c r="I108" s="24">
        <v>403048</v>
      </c>
      <c r="J108" s="35"/>
      <c r="K108" s="25">
        <f t="shared" si="4"/>
        <v>403048</v>
      </c>
      <c r="L108" s="36">
        <v>1</v>
      </c>
      <c r="M108" s="24">
        <f t="shared" si="5"/>
        <v>403048</v>
      </c>
      <c r="N108" s="27">
        <f t="shared" si="6"/>
        <v>0</v>
      </c>
      <c r="O108" s="85" t="s">
        <v>15</v>
      </c>
    </row>
    <row r="109" spans="1:15" s="3" customFormat="1">
      <c r="A109" s="84">
        <v>2</v>
      </c>
      <c r="B109" s="17">
        <v>42964</v>
      </c>
      <c r="C109" s="18"/>
      <c r="D109" s="19" t="s">
        <v>16</v>
      </c>
      <c r="E109" s="20" t="s">
        <v>99</v>
      </c>
      <c r="F109" s="21" t="s">
        <v>153</v>
      </c>
      <c r="G109" s="33">
        <v>1704</v>
      </c>
      <c r="H109" s="34"/>
      <c r="I109" s="24">
        <v>428457</v>
      </c>
      <c r="J109" s="35"/>
      <c r="K109" s="25">
        <f t="shared" si="4"/>
        <v>428457</v>
      </c>
      <c r="L109" s="36">
        <v>1</v>
      </c>
      <c r="M109" s="24">
        <f t="shared" si="5"/>
        <v>428457</v>
      </c>
      <c r="N109" s="27">
        <f t="shared" si="6"/>
        <v>0</v>
      </c>
      <c r="O109" s="85" t="s">
        <v>15</v>
      </c>
    </row>
    <row r="110" spans="1:15" s="3" customFormat="1">
      <c r="A110" s="86">
        <v>1</v>
      </c>
      <c r="B110" s="78">
        <v>43031</v>
      </c>
      <c r="C110" s="18"/>
      <c r="D110" s="19" t="s">
        <v>16</v>
      </c>
      <c r="E110" s="20" t="s">
        <v>99</v>
      </c>
      <c r="F110" s="21" t="s">
        <v>154</v>
      </c>
      <c r="G110" s="22">
        <v>1608</v>
      </c>
      <c r="H110" s="23">
        <v>423200</v>
      </c>
      <c r="I110" s="24">
        <v>403048</v>
      </c>
      <c r="J110" s="35"/>
      <c r="K110" s="25">
        <f t="shared" si="4"/>
        <v>403048</v>
      </c>
      <c r="L110" s="26">
        <v>1</v>
      </c>
      <c r="M110" s="24">
        <f t="shared" si="5"/>
        <v>403048</v>
      </c>
      <c r="N110" s="27">
        <f t="shared" si="6"/>
        <v>0</v>
      </c>
      <c r="O110" s="87" t="s">
        <v>155</v>
      </c>
    </row>
    <row r="111" spans="1:15" s="3" customFormat="1" ht="14.25" thickBot="1">
      <c r="A111" s="88" t="s">
        <v>156</v>
      </c>
      <c r="B111" s="89"/>
      <c r="C111" s="90"/>
      <c r="D111" s="91"/>
      <c r="E111" s="92"/>
      <c r="F111" s="93" t="s">
        <v>10</v>
      </c>
      <c r="G111" s="94"/>
      <c r="H111" s="95"/>
      <c r="I111" s="96">
        <f t="shared" ref="I111:N111" si="8">SUM(I3:I110)</f>
        <v>25972900</v>
      </c>
      <c r="J111" s="96">
        <f t="shared" si="8"/>
        <v>23797619.047619011</v>
      </c>
      <c r="K111" s="96">
        <f t="shared" si="8"/>
        <v>49770519.047619127</v>
      </c>
      <c r="L111" s="96">
        <f t="shared" si="8"/>
        <v>53</v>
      </c>
      <c r="M111" s="96">
        <f t="shared" si="8"/>
        <v>17654555.761904772</v>
      </c>
      <c r="N111" s="97">
        <f t="shared" si="8"/>
        <v>32115963.28571428</v>
      </c>
      <c r="O111" s="98"/>
    </row>
    <row r="112" spans="1:15" s="3" customFormat="1" ht="14.25" thickTop="1">
      <c r="A112" s="100"/>
      <c r="B112" s="101"/>
      <c r="C112" s="102"/>
      <c r="D112" s="103"/>
      <c r="E112" s="104"/>
      <c r="F112" s="105"/>
      <c r="G112" s="106"/>
      <c r="H112" s="107"/>
      <c r="I112" s="108"/>
      <c r="J112" s="108"/>
      <c r="K112" s="108"/>
      <c r="L112" s="108"/>
      <c r="M112" s="108"/>
      <c r="N112" s="108"/>
      <c r="O112" s="108"/>
    </row>
    <row r="113" spans="1:256" s="3" customFormat="1" ht="14.25" customHeight="1">
      <c r="A113" s="100"/>
      <c r="B113" s="101"/>
      <c r="C113" s="102"/>
      <c r="D113" s="103"/>
      <c r="E113" s="104"/>
      <c r="F113" s="105"/>
      <c r="G113" s="106"/>
      <c r="H113" s="107"/>
      <c r="I113" s="108"/>
      <c r="J113" s="108"/>
      <c r="K113" s="108"/>
      <c r="L113" s="108"/>
      <c r="M113" s="108"/>
      <c r="N113" s="108"/>
      <c r="O113" s="108"/>
    </row>
    <row r="114" spans="1:256" s="3" customFormat="1" ht="14.25" customHeight="1">
      <c r="A114" s="100"/>
      <c r="B114" s="101"/>
      <c r="C114" s="102"/>
      <c r="D114" s="103"/>
      <c r="E114" s="104"/>
      <c r="F114" s="105"/>
      <c r="G114" s="106"/>
      <c r="H114" s="107"/>
      <c r="I114" s="108"/>
      <c r="J114" s="108"/>
      <c r="K114" s="108"/>
      <c r="L114" s="108"/>
      <c r="M114" s="108"/>
      <c r="N114" s="108"/>
      <c r="O114" s="108"/>
    </row>
    <row r="115" spans="1:256" s="3" customFormat="1" ht="14.25" customHeight="1">
      <c r="A115" s="100"/>
      <c r="B115" s="101"/>
      <c r="C115" s="102"/>
      <c r="D115" s="103"/>
      <c r="E115" s="104"/>
      <c r="F115" s="105"/>
      <c r="G115" s="106"/>
      <c r="H115" s="107"/>
      <c r="I115" s="108"/>
      <c r="J115" s="108"/>
      <c r="K115" s="108"/>
      <c r="L115" s="108"/>
      <c r="M115" s="108"/>
      <c r="N115" s="108"/>
      <c r="O115" s="108"/>
    </row>
    <row r="116" spans="1:256" s="3" customFormat="1" ht="14.25" customHeight="1">
      <c r="A116" s="100"/>
      <c r="B116" s="101"/>
      <c r="C116" s="102"/>
      <c r="D116" s="103"/>
      <c r="E116" s="104"/>
      <c r="F116" s="105"/>
      <c r="G116" s="106"/>
      <c r="H116" s="107"/>
      <c r="I116" s="108"/>
      <c r="J116" s="108"/>
      <c r="K116" s="108"/>
      <c r="L116" s="108"/>
      <c r="M116" s="108"/>
      <c r="N116" s="108"/>
      <c r="O116" s="108"/>
    </row>
    <row r="117" spans="1:256" s="3" customFormat="1" ht="14.25" customHeight="1" thickBot="1">
      <c r="A117" s="100"/>
      <c r="B117" s="101"/>
      <c r="C117" s="102"/>
      <c r="D117" s="103"/>
      <c r="E117" s="104"/>
      <c r="F117" s="105"/>
      <c r="G117" s="106"/>
      <c r="H117" s="107"/>
      <c r="I117" s="108"/>
      <c r="J117" s="108"/>
      <c r="K117" s="108"/>
      <c r="L117" s="98"/>
      <c r="M117" s="98"/>
      <c r="N117" s="98"/>
      <c r="O117" s="98"/>
    </row>
    <row r="118" spans="1:256" s="3" customFormat="1" ht="14.25" customHeight="1" thickTop="1" thickBot="1">
      <c r="A118" s="109"/>
      <c r="B118" s="110"/>
      <c r="C118" s="111"/>
      <c r="D118" s="112"/>
      <c r="E118" s="113"/>
      <c r="F118" s="109"/>
      <c r="G118" s="114"/>
      <c r="H118" s="115"/>
      <c r="I118" s="116"/>
      <c r="J118" s="116"/>
      <c r="K118" s="116"/>
      <c r="L118" s="116"/>
      <c r="M118" s="116"/>
      <c r="N118" s="117"/>
      <c r="O118" s="117"/>
    </row>
    <row r="119" spans="1:256" s="3" customFormat="1" ht="14.25" customHeight="1" thickTop="1">
      <c r="A119" s="118" t="s">
        <v>158</v>
      </c>
      <c r="B119" s="5" t="s">
        <v>159</v>
      </c>
      <c r="C119" s="6" t="s">
        <v>160</v>
      </c>
      <c r="D119" s="7" t="s">
        <v>3</v>
      </c>
      <c r="E119" s="8" t="s">
        <v>161</v>
      </c>
      <c r="F119" s="119" t="s">
        <v>5</v>
      </c>
      <c r="G119" s="10" t="s">
        <v>162</v>
      </c>
      <c r="H119" s="11" t="s">
        <v>163</v>
      </c>
      <c r="I119" s="12" t="s">
        <v>8</v>
      </c>
      <c r="J119" s="12" t="s">
        <v>9</v>
      </c>
      <c r="K119" s="12" t="s">
        <v>10</v>
      </c>
      <c r="L119" s="12" t="s">
        <v>11</v>
      </c>
      <c r="M119" s="12" t="s">
        <v>12</v>
      </c>
      <c r="N119" s="13" t="s">
        <v>13</v>
      </c>
      <c r="O119" s="14"/>
    </row>
    <row r="120" spans="1:256" s="3" customFormat="1">
      <c r="A120" s="16">
        <v>1</v>
      </c>
      <c r="B120" s="60">
        <v>43034</v>
      </c>
      <c r="C120" s="18"/>
      <c r="D120" s="19" t="s">
        <v>164</v>
      </c>
      <c r="E120" s="20" t="s">
        <v>165</v>
      </c>
      <c r="F120" s="120" t="s">
        <v>166</v>
      </c>
      <c r="G120" s="58">
        <v>1707</v>
      </c>
      <c r="H120" s="121">
        <v>1469400</v>
      </c>
      <c r="I120" s="24">
        <v>1399429</v>
      </c>
      <c r="J120" s="122"/>
      <c r="K120" s="24">
        <f t="shared" ref="K120:K183" si="9">I120+J120</f>
        <v>1399429</v>
      </c>
      <c r="L120" s="123"/>
      <c r="M120" s="24">
        <f t="shared" ref="M120:M183" si="10">K120*L120</f>
        <v>0</v>
      </c>
      <c r="N120" s="27">
        <f t="shared" ref="N120:N183" si="11">K120-M120</f>
        <v>1399429</v>
      </c>
      <c r="O120" s="85"/>
    </row>
    <row r="121" spans="1:256" s="3" customFormat="1">
      <c r="A121" s="16">
        <v>2</v>
      </c>
      <c r="B121" s="56">
        <v>43096</v>
      </c>
      <c r="C121" s="18"/>
      <c r="D121" s="19" t="s">
        <v>164</v>
      </c>
      <c r="E121" s="20" t="s">
        <v>165</v>
      </c>
      <c r="F121" s="120" t="s">
        <v>167</v>
      </c>
      <c r="G121" s="58">
        <v>1708</v>
      </c>
      <c r="H121" s="121">
        <v>1469400</v>
      </c>
      <c r="I121" s="24"/>
      <c r="J121" s="122">
        <f>SUM(H121)/1.05</f>
        <v>1399428.5714285714</v>
      </c>
      <c r="K121" s="24">
        <f t="shared" si="9"/>
        <v>1399428.5714285714</v>
      </c>
      <c r="L121" s="123"/>
      <c r="M121" s="24">
        <f t="shared" si="10"/>
        <v>0</v>
      </c>
      <c r="N121" s="124">
        <f t="shared" si="11"/>
        <v>1399428.5714285714</v>
      </c>
      <c r="O121" s="107"/>
      <c r="AF121" s="125"/>
      <c r="AG121" s="125"/>
      <c r="AH121" s="125"/>
      <c r="AI121" s="125"/>
      <c r="AJ121" s="125"/>
      <c r="AK121" s="125"/>
      <c r="AL121" s="125"/>
      <c r="AM121" s="125"/>
      <c r="AN121" s="125"/>
      <c r="AO121" s="125"/>
      <c r="AP121" s="125"/>
      <c r="AQ121" s="125"/>
      <c r="AR121" s="125"/>
      <c r="AS121" s="125"/>
      <c r="AT121" s="125"/>
      <c r="AU121" s="125"/>
      <c r="AV121" s="125"/>
      <c r="AW121" s="125"/>
      <c r="AX121" s="125"/>
      <c r="AY121" s="125"/>
      <c r="AZ121" s="125"/>
      <c r="BA121" s="125"/>
      <c r="BB121" s="125"/>
      <c r="BC121" s="125"/>
      <c r="BD121" s="125"/>
      <c r="BE121" s="125"/>
      <c r="BF121" s="125"/>
      <c r="BG121" s="125"/>
      <c r="BH121" s="125"/>
      <c r="BI121" s="125"/>
      <c r="BJ121" s="125"/>
      <c r="BK121" s="125"/>
      <c r="BL121" s="125"/>
      <c r="BM121" s="125"/>
      <c r="BN121" s="125"/>
      <c r="BO121" s="125"/>
      <c r="BP121" s="125"/>
      <c r="BQ121" s="125"/>
      <c r="BR121" s="125"/>
      <c r="BS121" s="125"/>
      <c r="BT121" s="125"/>
      <c r="BU121" s="125"/>
      <c r="BV121" s="125"/>
      <c r="BW121" s="125"/>
      <c r="BX121" s="125"/>
      <c r="BY121" s="125"/>
      <c r="BZ121" s="125"/>
      <c r="CA121" s="125"/>
      <c r="CB121" s="125"/>
      <c r="CC121" s="125"/>
      <c r="CD121" s="125"/>
      <c r="CE121" s="125"/>
      <c r="CF121" s="125"/>
      <c r="CG121" s="125"/>
      <c r="CH121" s="125"/>
      <c r="CI121" s="125"/>
      <c r="CJ121" s="125"/>
      <c r="CK121" s="125"/>
      <c r="CL121" s="125"/>
      <c r="CM121" s="125"/>
      <c r="CN121" s="125"/>
      <c r="CO121" s="125"/>
      <c r="CP121" s="125"/>
      <c r="CQ121" s="125"/>
      <c r="CR121" s="125"/>
      <c r="CS121" s="125"/>
      <c r="CT121" s="125"/>
      <c r="CU121" s="125"/>
      <c r="CV121" s="125"/>
      <c r="CW121" s="125"/>
      <c r="CX121" s="125"/>
      <c r="CY121" s="125"/>
      <c r="CZ121" s="125"/>
      <c r="DA121" s="125"/>
      <c r="DB121" s="125"/>
      <c r="DC121" s="125"/>
      <c r="DD121" s="125"/>
      <c r="DE121" s="125"/>
      <c r="DF121" s="125"/>
      <c r="DG121" s="125"/>
      <c r="DH121" s="125"/>
      <c r="DI121" s="125"/>
      <c r="DJ121" s="125"/>
      <c r="DK121" s="125"/>
      <c r="DL121" s="125"/>
      <c r="DM121" s="125"/>
      <c r="DN121" s="125"/>
      <c r="DO121" s="125"/>
      <c r="DP121" s="125"/>
      <c r="DQ121" s="125"/>
      <c r="DR121" s="125"/>
      <c r="DS121" s="125"/>
      <c r="DT121" s="125"/>
      <c r="DU121" s="125"/>
      <c r="DV121" s="125"/>
      <c r="DW121" s="125"/>
      <c r="DX121" s="125"/>
      <c r="DY121" s="125"/>
      <c r="DZ121" s="125"/>
      <c r="EA121" s="125"/>
      <c r="EB121" s="125"/>
      <c r="EC121" s="125"/>
      <c r="ED121" s="125"/>
      <c r="EE121" s="125"/>
      <c r="EF121" s="125"/>
      <c r="EG121" s="125"/>
      <c r="EH121" s="125"/>
      <c r="EI121" s="125"/>
      <c r="EJ121" s="125"/>
      <c r="EK121" s="125"/>
      <c r="EL121" s="125"/>
      <c r="EM121" s="125"/>
      <c r="EN121" s="125"/>
      <c r="EO121" s="125"/>
      <c r="EP121" s="125"/>
      <c r="EQ121" s="125"/>
      <c r="ER121" s="125"/>
      <c r="ES121" s="125"/>
      <c r="ET121" s="125"/>
      <c r="EU121" s="125"/>
      <c r="EV121" s="125"/>
      <c r="EW121" s="125"/>
      <c r="EX121" s="125"/>
      <c r="EY121" s="125"/>
      <c r="EZ121" s="125"/>
      <c r="FA121" s="125"/>
      <c r="FB121" s="125"/>
      <c r="FC121" s="125"/>
      <c r="FD121" s="125"/>
      <c r="FE121" s="125"/>
      <c r="FF121" s="125"/>
      <c r="FG121" s="125"/>
      <c r="FH121" s="125"/>
      <c r="FI121" s="125"/>
      <c r="FJ121" s="125"/>
      <c r="FK121" s="125"/>
      <c r="FL121" s="125"/>
      <c r="FM121" s="125"/>
      <c r="FN121" s="125"/>
      <c r="FO121" s="125"/>
      <c r="FP121" s="125"/>
      <c r="FQ121" s="125"/>
      <c r="FR121" s="125"/>
      <c r="FS121" s="125"/>
      <c r="FT121" s="125"/>
      <c r="FU121" s="125"/>
      <c r="FV121" s="125"/>
      <c r="FW121" s="125"/>
      <c r="FX121" s="125"/>
      <c r="FY121" s="125"/>
      <c r="FZ121" s="125"/>
      <c r="GA121" s="125"/>
      <c r="GB121" s="125"/>
      <c r="GC121" s="125"/>
      <c r="GD121" s="125"/>
      <c r="GE121" s="125"/>
      <c r="GF121" s="125"/>
      <c r="GG121" s="125"/>
      <c r="GH121" s="125"/>
      <c r="GI121" s="125"/>
      <c r="GJ121" s="125"/>
      <c r="GK121" s="125"/>
      <c r="GL121" s="125"/>
      <c r="GM121" s="125"/>
      <c r="GN121" s="125"/>
      <c r="GO121" s="125"/>
      <c r="GP121" s="125"/>
      <c r="GQ121" s="125"/>
      <c r="GR121" s="125"/>
      <c r="GS121" s="125"/>
      <c r="GT121" s="125"/>
      <c r="GU121" s="125"/>
      <c r="GV121" s="125"/>
      <c r="GW121" s="125"/>
      <c r="GX121" s="125"/>
      <c r="GY121" s="125"/>
      <c r="GZ121" s="125"/>
      <c r="HA121" s="125"/>
      <c r="HB121" s="125"/>
      <c r="HC121" s="125"/>
      <c r="HD121" s="125"/>
      <c r="HE121" s="125"/>
      <c r="HF121" s="125"/>
      <c r="HG121" s="125"/>
      <c r="HH121" s="125"/>
      <c r="HI121" s="125"/>
      <c r="HJ121" s="125"/>
      <c r="HK121" s="125"/>
      <c r="HL121" s="125"/>
      <c r="HM121" s="125"/>
      <c r="HN121" s="125"/>
      <c r="HO121" s="125"/>
      <c r="HP121" s="125"/>
      <c r="HQ121" s="125"/>
      <c r="HR121" s="125"/>
      <c r="HS121" s="125"/>
      <c r="HT121" s="125"/>
      <c r="HU121" s="125"/>
      <c r="HV121" s="125"/>
      <c r="HW121" s="125"/>
      <c r="HX121" s="125"/>
      <c r="HY121" s="125"/>
      <c r="HZ121" s="125"/>
      <c r="IA121" s="125"/>
      <c r="IB121" s="125"/>
      <c r="IC121" s="125"/>
      <c r="ID121" s="125"/>
      <c r="IE121" s="125"/>
      <c r="IF121" s="125"/>
      <c r="IG121" s="125"/>
      <c r="IH121" s="125"/>
      <c r="II121" s="125"/>
      <c r="IJ121" s="125"/>
      <c r="IK121" s="125"/>
      <c r="IL121" s="125"/>
      <c r="IM121" s="125"/>
      <c r="IN121" s="125"/>
      <c r="IO121" s="125"/>
      <c r="IP121" s="125"/>
      <c r="IQ121" s="125"/>
      <c r="IR121" s="125"/>
      <c r="IS121" s="125"/>
      <c r="IT121" s="125"/>
      <c r="IU121" s="125"/>
      <c r="IV121" s="125"/>
    </row>
    <row r="122" spans="1:256" s="3" customFormat="1">
      <c r="A122" s="16">
        <v>3</v>
      </c>
      <c r="B122" s="60">
        <v>43073</v>
      </c>
      <c r="C122" s="18"/>
      <c r="D122" s="19" t="s">
        <v>164</v>
      </c>
      <c r="E122" s="20" t="s">
        <v>165</v>
      </c>
      <c r="F122" s="62" t="s">
        <v>168</v>
      </c>
      <c r="G122" s="63">
        <v>1709</v>
      </c>
      <c r="H122" s="121">
        <f>20700+1469400</f>
        <v>1490100</v>
      </c>
      <c r="I122" s="24"/>
      <c r="J122" s="122">
        <f>SUM(H122)/1.05</f>
        <v>1419142.857142857</v>
      </c>
      <c r="K122" s="24">
        <f t="shared" si="9"/>
        <v>1419142.857142857</v>
      </c>
      <c r="L122" s="123"/>
      <c r="M122" s="24">
        <f t="shared" si="10"/>
        <v>0</v>
      </c>
      <c r="N122" s="124">
        <f t="shared" si="11"/>
        <v>1419142.857142857</v>
      </c>
      <c r="O122" s="107"/>
    </row>
    <row r="123" spans="1:256" s="3" customFormat="1">
      <c r="A123" s="16">
        <v>4</v>
      </c>
      <c r="B123" s="60">
        <v>43070</v>
      </c>
      <c r="C123" s="18"/>
      <c r="D123" s="19" t="s">
        <v>164</v>
      </c>
      <c r="E123" s="20" t="s">
        <v>169</v>
      </c>
      <c r="F123" s="120" t="s">
        <v>170</v>
      </c>
      <c r="G123" s="58">
        <v>1708</v>
      </c>
      <c r="H123" s="121">
        <v>1674000</v>
      </c>
      <c r="I123" s="24"/>
      <c r="J123" s="122">
        <f>SUM(H123)/1.05</f>
        <v>1594285.7142857143</v>
      </c>
      <c r="K123" s="24">
        <f t="shared" si="9"/>
        <v>1594285.7142857143</v>
      </c>
      <c r="L123" s="123"/>
      <c r="M123" s="24">
        <f t="shared" si="10"/>
        <v>0</v>
      </c>
      <c r="N123" s="124">
        <f t="shared" si="11"/>
        <v>1594285.7142857143</v>
      </c>
      <c r="O123" s="107"/>
      <c r="AF123" s="125"/>
      <c r="AG123" s="125"/>
      <c r="AH123" s="125"/>
      <c r="AI123" s="125"/>
      <c r="AJ123" s="125"/>
      <c r="AK123" s="125"/>
      <c r="AL123" s="125"/>
      <c r="AM123" s="125"/>
      <c r="AN123" s="125"/>
      <c r="AO123" s="125"/>
      <c r="AP123" s="125"/>
      <c r="AQ123" s="125"/>
      <c r="AR123" s="125"/>
      <c r="AS123" s="125"/>
      <c r="AT123" s="125"/>
      <c r="AU123" s="125"/>
      <c r="AV123" s="125"/>
      <c r="AW123" s="125"/>
      <c r="AX123" s="125"/>
      <c r="AY123" s="125"/>
      <c r="AZ123" s="125"/>
      <c r="BA123" s="125"/>
      <c r="BB123" s="125"/>
      <c r="BC123" s="125"/>
      <c r="BD123" s="125"/>
      <c r="BE123" s="125"/>
      <c r="BF123" s="125"/>
      <c r="BG123" s="125"/>
      <c r="BH123" s="125"/>
      <c r="BI123" s="125"/>
      <c r="BJ123" s="125"/>
      <c r="BK123" s="125"/>
      <c r="BL123" s="125"/>
      <c r="BM123" s="125"/>
      <c r="BN123" s="125"/>
      <c r="BO123" s="125"/>
      <c r="BP123" s="125"/>
      <c r="BQ123" s="125"/>
      <c r="BR123" s="125"/>
      <c r="BS123" s="125"/>
      <c r="BT123" s="125"/>
      <c r="BU123" s="125"/>
      <c r="BV123" s="125"/>
      <c r="BW123" s="125"/>
      <c r="BX123" s="125"/>
      <c r="BY123" s="125"/>
      <c r="BZ123" s="125"/>
      <c r="CA123" s="125"/>
      <c r="CB123" s="125"/>
      <c r="CC123" s="125"/>
      <c r="CD123" s="125"/>
      <c r="CE123" s="125"/>
      <c r="CF123" s="125"/>
      <c r="CG123" s="125"/>
      <c r="CH123" s="125"/>
      <c r="CI123" s="125"/>
      <c r="CJ123" s="125"/>
      <c r="CK123" s="125"/>
      <c r="CL123" s="125"/>
      <c r="CM123" s="125"/>
      <c r="CN123" s="125"/>
      <c r="CO123" s="125"/>
      <c r="CP123" s="125"/>
      <c r="CQ123" s="125"/>
      <c r="CR123" s="125"/>
      <c r="CS123" s="125"/>
      <c r="CT123" s="125"/>
      <c r="CU123" s="125"/>
      <c r="CV123" s="125"/>
      <c r="CW123" s="125"/>
      <c r="CX123" s="125"/>
      <c r="CY123" s="125"/>
      <c r="CZ123" s="125"/>
      <c r="DA123" s="125"/>
      <c r="DB123" s="125"/>
      <c r="DC123" s="125"/>
      <c r="DD123" s="125"/>
      <c r="DE123" s="125"/>
      <c r="DF123" s="125"/>
      <c r="DG123" s="125"/>
      <c r="DH123" s="125"/>
      <c r="DI123" s="125"/>
      <c r="DJ123" s="125"/>
      <c r="DK123" s="125"/>
      <c r="DL123" s="125"/>
      <c r="DM123" s="125"/>
      <c r="DN123" s="125"/>
      <c r="DO123" s="125"/>
      <c r="DP123" s="125"/>
      <c r="DQ123" s="125"/>
      <c r="DR123" s="125"/>
      <c r="DS123" s="125"/>
      <c r="DT123" s="125"/>
      <c r="DU123" s="125"/>
      <c r="DV123" s="125"/>
      <c r="DW123" s="125"/>
      <c r="DX123" s="125"/>
      <c r="DY123" s="125"/>
      <c r="DZ123" s="125"/>
      <c r="EA123" s="125"/>
      <c r="EB123" s="125"/>
      <c r="EC123" s="125"/>
      <c r="ED123" s="125"/>
      <c r="EE123" s="125"/>
      <c r="EF123" s="125"/>
      <c r="EG123" s="125"/>
      <c r="EH123" s="125"/>
      <c r="EI123" s="125"/>
      <c r="EJ123" s="125"/>
      <c r="EK123" s="125"/>
      <c r="EL123" s="125"/>
      <c r="EM123" s="125"/>
      <c r="EN123" s="125"/>
      <c r="EO123" s="125"/>
      <c r="EP123" s="125"/>
      <c r="EQ123" s="125"/>
      <c r="ER123" s="125"/>
      <c r="ES123" s="125"/>
      <c r="ET123" s="125"/>
      <c r="EU123" s="125"/>
      <c r="EV123" s="125"/>
      <c r="EW123" s="125"/>
      <c r="EX123" s="125"/>
      <c r="EY123" s="125"/>
      <c r="EZ123" s="125"/>
      <c r="FA123" s="125"/>
      <c r="FB123" s="125"/>
      <c r="FC123" s="125"/>
      <c r="FD123" s="125"/>
      <c r="FE123" s="125"/>
      <c r="FF123" s="125"/>
      <c r="FG123" s="125"/>
      <c r="FH123" s="125"/>
      <c r="FI123" s="125"/>
      <c r="FJ123" s="125"/>
      <c r="FK123" s="125"/>
      <c r="FL123" s="125"/>
      <c r="FM123" s="125"/>
      <c r="FN123" s="125"/>
      <c r="FO123" s="125"/>
      <c r="FP123" s="125"/>
      <c r="FQ123" s="125"/>
      <c r="FR123" s="125"/>
      <c r="FS123" s="125"/>
      <c r="FT123" s="125"/>
      <c r="FU123" s="125"/>
      <c r="FV123" s="125"/>
      <c r="FW123" s="125"/>
      <c r="FX123" s="125"/>
      <c r="FY123" s="125"/>
      <c r="FZ123" s="125"/>
      <c r="GA123" s="125"/>
      <c r="GB123" s="125"/>
      <c r="GC123" s="125"/>
      <c r="GD123" s="125"/>
      <c r="GE123" s="125"/>
      <c r="GF123" s="125"/>
      <c r="GG123" s="125"/>
      <c r="GH123" s="125"/>
      <c r="GI123" s="125"/>
      <c r="GJ123" s="125"/>
      <c r="GK123" s="125"/>
      <c r="GL123" s="125"/>
      <c r="GM123" s="125"/>
      <c r="GN123" s="125"/>
      <c r="GO123" s="125"/>
      <c r="GP123" s="125"/>
      <c r="GQ123" s="125"/>
      <c r="GR123" s="125"/>
      <c r="GS123" s="125"/>
      <c r="GT123" s="125"/>
      <c r="GU123" s="125"/>
      <c r="GV123" s="125"/>
      <c r="GW123" s="125"/>
      <c r="GX123" s="125"/>
      <c r="GY123" s="125"/>
      <c r="GZ123" s="125"/>
      <c r="HA123" s="125"/>
      <c r="HB123" s="125"/>
      <c r="HC123" s="125"/>
      <c r="HD123" s="125"/>
      <c r="HE123" s="125"/>
      <c r="HF123" s="125"/>
      <c r="HG123" s="125"/>
      <c r="HH123" s="125"/>
      <c r="HI123" s="125"/>
      <c r="HJ123" s="125"/>
      <c r="HK123" s="125"/>
      <c r="HL123" s="125"/>
      <c r="HM123" s="125"/>
      <c r="HN123" s="125"/>
      <c r="HO123" s="125"/>
      <c r="HP123" s="125"/>
      <c r="HQ123" s="125"/>
      <c r="HR123" s="125"/>
      <c r="HS123" s="125"/>
      <c r="HT123" s="125"/>
      <c r="HU123" s="125"/>
      <c r="HV123" s="125"/>
      <c r="HW123" s="125"/>
      <c r="HX123" s="125"/>
      <c r="HY123" s="125"/>
      <c r="HZ123" s="125"/>
      <c r="IA123" s="125"/>
      <c r="IB123" s="125"/>
      <c r="IC123" s="125"/>
      <c r="ID123" s="125"/>
      <c r="IE123" s="125"/>
      <c r="IF123" s="125"/>
      <c r="IG123" s="125"/>
      <c r="IH123" s="125"/>
      <c r="II123" s="125"/>
      <c r="IJ123" s="125"/>
      <c r="IK123" s="125"/>
      <c r="IL123" s="125"/>
      <c r="IM123" s="125"/>
      <c r="IN123" s="125"/>
      <c r="IO123" s="125"/>
      <c r="IP123" s="125"/>
      <c r="IQ123" s="125"/>
      <c r="IR123" s="125"/>
      <c r="IS123" s="125"/>
      <c r="IT123" s="125"/>
      <c r="IU123" s="125"/>
      <c r="IV123" s="125"/>
    </row>
    <row r="124" spans="1:256" s="3" customFormat="1">
      <c r="A124" s="16">
        <v>5</v>
      </c>
      <c r="B124" s="29">
        <v>43096</v>
      </c>
      <c r="C124" s="18"/>
      <c r="D124" s="19" t="s">
        <v>164</v>
      </c>
      <c r="E124" s="20" t="s">
        <v>169</v>
      </c>
      <c r="F124" s="82" t="s">
        <v>171</v>
      </c>
      <c r="G124" s="58">
        <v>1708</v>
      </c>
      <c r="H124" s="121">
        <f>6300+1674000</f>
        <v>1680300</v>
      </c>
      <c r="I124" s="24"/>
      <c r="J124" s="122">
        <f>SUM(H124)/1.05</f>
        <v>1600285.7142857143</v>
      </c>
      <c r="K124" s="24">
        <f t="shared" si="9"/>
        <v>1600285.7142857143</v>
      </c>
      <c r="L124" s="123"/>
      <c r="M124" s="24">
        <f t="shared" si="10"/>
        <v>0</v>
      </c>
      <c r="N124" s="27">
        <f t="shared" si="11"/>
        <v>1600285.7142857143</v>
      </c>
      <c r="O124" s="85"/>
      <c r="AF124" s="125"/>
      <c r="AG124" s="125"/>
      <c r="AH124" s="125"/>
      <c r="AI124" s="125"/>
      <c r="AJ124" s="125"/>
      <c r="AK124" s="125"/>
      <c r="AL124" s="125"/>
      <c r="AM124" s="125"/>
      <c r="AN124" s="125"/>
      <c r="AO124" s="125"/>
      <c r="AP124" s="125"/>
      <c r="AQ124" s="125"/>
      <c r="AR124" s="125"/>
      <c r="AS124" s="125"/>
      <c r="AT124" s="125"/>
      <c r="AU124" s="125"/>
      <c r="AV124" s="125"/>
      <c r="AW124" s="125"/>
      <c r="AX124" s="125"/>
      <c r="AY124" s="125"/>
      <c r="AZ124" s="125"/>
      <c r="BA124" s="125"/>
      <c r="BB124" s="125"/>
      <c r="BC124" s="125"/>
      <c r="BD124" s="125"/>
      <c r="BE124" s="125"/>
      <c r="BF124" s="125"/>
      <c r="BG124" s="125"/>
      <c r="BH124" s="125"/>
      <c r="BI124" s="125"/>
      <c r="BJ124" s="125"/>
      <c r="BK124" s="125"/>
      <c r="BL124" s="125"/>
      <c r="BM124" s="125"/>
      <c r="BN124" s="125"/>
      <c r="BO124" s="125"/>
      <c r="BP124" s="125"/>
      <c r="BQ124" s="125"/>
      <c r="BR124" s="125"/>
      <c r="BS124" s="125"/>
      <c r="BT124" s="125"/>
      <c r="BU124" s="125"/>
      <c r="BV124" s="125"/>
      <c r="BW124" s="125"/>
      <c r="BX124" s="125"/>
      <c r="BY124" s="125"/>
      <c r="BZ124" s="125"/>
      <c r="CA124" s="125"/>
      <c r="CB124" s="125"/>
      <c r="CC124" s="125"/>
      <c r="CD124" s="125"/>
      <c r="CE124" s="125"/>
      <c r="CF124" s="125"/>
      <c r="CG124" s="125"/>
      <c r="CH124" s="125"/>
      <c r="CI124" s="125"/>
      <c r="CJ124" s="125"/>
      <c r="CK124" s="125"/>
      <c r="CL124" s="125"/>
      <c r="CM124" s="125"/>
      <c r="CN124" s="125"/>
      <c r="CO124" s="125"/>
      <c r="CP124" s="125"/>
      <c r="CQ124" s="125"/>
      <c r="CR124" s="125"/>
      <c r="CS124" s="125"/>
      <c r="CT124" s="125"/>
      <c r="CU124" s="125"/>
      <c r="CV124" s="125"/>
      <c r="CW124" s="125"/>
      <c r="CX124" s="125"/>
      <c r="CY124" s="125"/>
      <c r="CZ124" s="125"/>
      <c r="DA124" s="125"/>
      <c r="DB124" s="125"/>
      <c r="DC124" s="125"/>
      <c r="DD124" s="125"/>
      <c r="DE124" s="125"/>
      <c r="DF124" s="125"/>
      <c r="DG124" s="125"/>
      <c r="DH124" s="125"/>
      <c r="DI124" s="125"/>
      <c r="DJ124" s="125"/>
      <c r="DK124" s="125"/>
      <c r="DL124" s="125"/>
      <c r="DM124" s="125"/>
      <c r="DN124" s="125"/>
      <c r="DO124" s="125"/>
      <c r="DP124" s="125"/>
      <c r="DQ124" s="125"/>
      <c r="DR124" s="125"/>
      <c r="DS124" s="125"/>
      <c r="DT124" s="125"/>
      <c r="DU124" s="125"/>
      <c r="DV124" s="125"/>
      <c r="DW124" s="125"/>
      <c r="DX124" s="125"/>
      <c r="DY124" s="125"/>
      <c r="DZ124" s="125"/>
      <c r="EA124" s="125"/>
      <c r="EB124" s="125"/>
      <c r="EC124" s="125"/>
      <c r="ED124" s="125"/>
      <c r="EE124" s="125"/>
      <c r="EF124" s="125"/>
      <c r="EG124" s="125"/>
      <c r="EH124" s="125"/>
      <c r="EI124" s="125"/>
      <c r="EJ124" s="125"/>
      <c r="EK124" s="125"/>
      <c r="EL124" s="125"/>
      <c r="EM124" s="125"/>
      <c r="EN124" s="125"/>
      <c r="EO124" s="125"/>
      <c r="EP124" s="125"/>
      <c r="EQ124" s="125"/>
      <c r="ER124" s="125"/>
      <c r="ES124" s="125"/>
      <c r="ET124" s="125"/>
      <c r="EU124" s="125"/>
      <c r="EV124" s="125"/>
      <c r="EW124" s="125"/>
      <c r="EX124" s="125"/>
      <c r="EY124" s="125"/>
      <c r="EZ124" s="125"/>
      <c r="FA124" s="125"/>
      <c r="FB124" s="125"/>
      <c r="FC124" s="125"/>
      <c r="FD124" s="125"/>
      <c r="FE124" s="125"/>
      <c r="FF124" s="125"/>
      <c r="FG124" s="125"/>
      <c r="FH124" s="125"/>
      <c r="FI124" s="125"/>
      <c r="FJ124" s="125"/>
      <c r="FK124" s="125"/>
      <c r="FL124" s="125"/>
      <c r="FM124" s="125"/>
      <c r="FN124" s="125"/>
      <c r="FO124" s="125"/>
      <c r="FP124" s="125"/>
      <c r="FQ124" s="125"/>
      <c r="FR124" s="125"/>
      <c r="FS124" s="125"/>
      <c r="FT124" s="125"/>
      <c r="FU124" s="125"/>
      <c r="FV124" s="125"/>
      <c r="FW124" s="125"/>
      <c r="FX124" s="125"/>
      <c r="FY124" s="125"/>
      <c r="FZ124" s="125"/>
      <c r="GA124" s="125"/>
      <c r="GB124" s="125"/>
      <c r="GC124" s="125"/>
      <c r="GD124" s="125"/>
      <c r="GE124" s="125"/>
      <c r="GF124" s="125"/>
      <c r="GG124" s="125"/>
      <c r="GH124" s="125"/>
      <c r="GI124" s="125"/>
      <c r="GJ124" s="125"/>
      <c r="GK124" s="125"/>
      <c r="GL124" s="125"/>
      <c r="GM124" s="125"/>
      <c r="GN124" s="125"/>
      <c r="GO124" s="125"/>
      <c r="GP124" s="125"/>
      <c r="GQ124" s="125"/>
      <c r="GR124" s="125"/>
      <c r="GS124" s="125"/>
      <c r="GT124" s="125"/>
      <c r="GU124" s="125"/>
      <c r="GV124" s="125"/>
      <c r="GW124" s="125"/>
      <c r="GX124" s="125"/>
      <c r="GY124" s="125"/>
      <c r="GZ124" s="125"/>
      <c r="HA124" s="125"/>
      <c r="HB124" s="125"/>
      <c r="HC124" s="125"/>
      <c r="HD124" s="125"/>
      <c r="HE124" s="125"/>
      <c r="HF124" s="125"/>
      <c r="HG124" s="125"/>
      <c r="HH124" s="125"/>
      <c r="HI124" s="125"/>
      <c r="HJ124" s="125"/>
      <c r="HK124" s="125"/>
      <c r="HL124" s="125"/>
      <c r="HM124" s="125"/>
      <c r="HN124" s="125"/>
      <c r="HO124" s="125"/>
      <c r="HP124" s="125"/>
      <c r="HQ124" s="125"/>
      <c r="HR124" s="125"/>
      <c r="HS124" s="125"/>
      <c r="HT124" s="125"/>
      <c r="HU124" s="125"/>
      <c r="HV124" s="125"/>
      <c r="HW124" s="125"/>
      <c r="HX124" s="125"/>
      <c r="HY124" s="125"/>
      <c r="HZ124" s="125"/>
      <c r="IA124" s="125"/>
      <c r="IB124" s="125"/>
      <c r="IC124" s="125"/>
      <c r="ID124" s="125"/>
      <c r="IE124" s="125"/>
      <c r="IF124" s="125"/>
      <c r="IG124" s="125"/>
      <c r="IH124" s="125"/>
      <c r="II124" s="125"/>
      <c r="IJ124" s="125"/>
      <c r="IK124" s="125"/>
      <c r="IL124" s="125"/>
      <c r="IM124" s="125"/>
      <c r="IN124" s="125"/>
      <c r="IO124" s="125"/>
      <c r="IP124" s="125"/>
      <c r="IQ124" s="125"/>
      <c r="IR124" s="125"/>
      <c r="IS124" s="125"/>
      <c r="IT124" s="125"/>
      <c r="IU124" s="125"/>
      <c r="IV124" s="125"/>
    </row>
    <row r="125" spans="1:256" s="125" customFormat="1">
      <c r="A125" s="16">
        <v>6</v>
      </c>
      <c r="B125" s="29">
        <v>43033</v>
      </c>
      <c r="C125" s="18"/>
      <c r="D125" s="19" t="s">
        <v>172</v>
      </c>
      <c r="E125" s="20" t="s">
        <v>173</v>
      </c>
      <c r="F125" s="82" t="s">
        <v>174</v>
      </c>
      <c r="G125" s="58">
        <v>1708</v>
      </c>
      <c r="H125" s="121">
        <f>90000+1302000</f>
        <v>1392000</v>
      </c>
      <c r="I125" s="24">
        <v>1325714</v>
      </c>
      <c r="J125" s="122"/>
      <c r="K125" s="24">
        <f t="shared" si="9"/>
        <v>1325714</v>
      </c>
      <c r="L125" s="123"/>
      <c r="M125" s="24">
        <f t="shared" si="10"/>
        <v>0</v>
      </c>
      <c r="N125" s="27">
        <f t="shared" si="11"/>
        <v>1325714</v>
      </c>
      <c r="O125" s="85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3"/>
      <c r="CV125" s="3"/>
      <c r="CW125" s="3"/>
      <c r="CX125" s="3"/>
      <c r="CY125" s="3"/>
      <c r="CZ125" s="3"/>
      <c r="DA125" s="3"/>
      <c r="DB125" s="3"/>
      <c r="DC125" s="3"/>
      <c r="DD125" s="3"/>
      <c r="DE125" s="3"/>
      <c r="DF125" s="3"/>
      <c r="DG125" s="3"/>
      <c r="DH125" s="3"/>
      <c r="DI125" s="3"/>
      <c r="DJ125" s="3"/>
      <c r="DK125" s="3"/>
      <c r="DL125" s="3"/>
      <c r="DM125" s="3"/>
      <c r="DN125" s="3"/>
      <c r="DO125" s="3"/>
      <c r="DP125" s="3"/>
      <c r="DQ125" s="3"/>
      <c r="DR125" s="3"/>
      <c r="DS125" s="3"/>
      <c r="DT125" s="3"/>
      <c r="DU125" s="3"/>
      <c r="DV125" s="3"/>
      <c r="DW125" s="3"/>
      <c r="DX125" s="3"/>
      <c r="DY125" s="3"/>
      <c r="DZ125" s="3"/>
      <c r="EA125" s="3"/>
      <c r="EB125" s="3"/>
      <c r="EC125" s="3"/>
      <c r="ED125" s="3"/>
      <c r="EE125" s="3"/>
      <c r="EF125" s="3"/>
      <c r="EG125" s="3"/>
      <c r="EH125" s="3"/>
      <c r="EI125" s="3"/>
      <c r="EJ125" s="3"/>
      <c r="EK125" s="3"/>
      <c r="EL125" s="3"/>
      <c r="EM125" s="3"/>
      <c r="EN125" s="3"/>
      <c r="EO125" s="3"/>
      <c r="EP125" s="3"/>
      <c r="EQ125" s="3"/>
      <c r="ER125" s="3"/>
      <c r="ES125" s="3"/>
      <c r="ET125" s="3"/>
      <c r="EU125" s="3"/>
      <c r="EV125" s="3"/>
      <c r="EW125" s="3"/>
      <c r="EX125" s="3"/>
      <c r="EY125" s="3"/>
      <c r="EZ125" s="3"/>
      <c r="FA125" s="3"/>
      <c r="FB125" s="3"/>
      <c r="FC125" s="3"/>
      <c r="FD125" s="3"/>
      <c r="FE125" s="3"/>
      <c r="FF125" s="3"/>
      <c r="FG125" s="3"/>
      <c r="FH125" s="3"/>
      <c r="FI125" s="3"/>
      <c r="FJ125" s="3"/>
      <c r="FK125" s="3"/>
      <c r="FL125" s="3"/>
      <c r="FM125" s="3"/>
      <c r="FN125" s="3"/>
      <c r="FO125" s="3"/>
      <c r="FP125" s="3"/>
      <c r="FQ125" s="3"/>
      <c r="FR125" s="3"/>
      <c r="FS125" s="3"/>
      <c r="FT125" s="3"/>
      <c r="FU125" s="3"/>
      <c r="FV125" s="3"/>
      <c r="FW125" s="3"/>
      <c r="FX125" s="3"/>
      <c r="FY125" s="3"/>
      <c r="FZ125" s="3"/>
      <c r="GA125" s="3"/>
      <c r="GB125" s="3"/>
      <c r="GC125" s="3"/>
      <c r="GD125" s="3"/>
      <c r="GE125" s="3"/>
      <c r="GF125" s="3"/>
      <c r="GG125" s="3"/>
      <c r="GH125" s="3"/>
      <c r="GI125" s="3"/>
      <c r="GJ125" s="3"/>
      <c r="GK125" s="3"/>
      <c r="GL125" s="3"/>
      <c r="GM125" s="3"/>
      <c r="GN125" s="3"/>
      <c r="GO125" s="3"/>
      <c r="GP125" s="3"/>
      <c r="GQ125" s="3"/>
      <c r="GR125" s="3"/>
      <c r="GS125" s="3"/>
      <c r="GT125" s="3"/>
      <c r="GU125" s="3"/>
      <c r="GV125" s="3"/>
      <c r="GW125" s="3"/>
      <c r="GX125" s="3"/>
      <c r="GY125" s="3"/>
      <c r="GZ125" s="3"/>
      <c r="HA125" s="3"/>
      <c r="HB125" s="3"/>
      <c r="HC125" s="3"/>
      <c r="HD125" s="3"/>
      <c r="HE125" s="3"/>
      <c r="HF125" s="3"/>
      <c r="HG125" s="3"/>
      <c r="HH125" s="3"/>
      <c r="HI125" s="3"/>
      <c r="HJ125" s="3"/>
      <c r="HK125" s="3"/>
      <c r="HL125" s="3"/>
      <c r="HM125" s="3"/>
      <c r="HN125" s="3"/>
      <c r="HO125" s="3"/>
      <c r="HP125" s="3"/>
      <c r="HQ125" s="3"/>
      <c r="HR125" s="3"/>
      <c r="HS125" s="3"/>
      <c r="HT125" s="3"/>
      <c r="HU125" s="3"/>
      <c r="HV125" s="3"/>
      <c r="HW125" s="3"/>
      <c r="HX125" s="3"/>
      <c r="HY125" s="3"/>
      <c r="HZ125" s="3"/>
      <c r="IA125" s="3"/>
      <c r="IB125" s="3"/>
      <c r="IC125" s="3"/>
      <c r="ID125" s="3"/>
      <c r="IE125" s="3"/>
      <c r="IF125" s="3"/>
      <c r="IG125" s="3"/>
      <c r="IH125" s="3"/>
      <c r="II125" s="3"/>
      <c r="IJ125" s="3"/>
      <c r="IK125" s="3"/>
      <c r="IL125" s="3"/>
      <c r="IM125" s="3"/>
      <c r="IN125" s="3"/>
      <c r="IO125" s="3"/>
      <c r="IP125" s="3"/>
      <c r="IQ125" s="3"/>
      <c r="IR125" s="3"/>
      <c r="IS125" s="3"/>
      <c r="IT125" s="3"/>
      <c r="IU125" s="3"/>
      <c r="IV125" s="3"/>
    </row>
    <row r="126" spans="1:256" s="125" customFormat="1">
      <c r="A126" s="16">
        <v>7</v>
      </c>
      <c r="B126" s="56">
        <v>43096</v>
      </c>
      <c r="C126" s="18"/>
      <c r="D126" s="19" t="s">
        <v>172</v>
      </c>
      <c r="E126" s="20" t="s">
        <v>175</v>
      </c>
      <c r="F126" s="82" t="s">
        <v>176</v>
      </c>
      <c r="G126" s="58">
        <v>1709</v>
      </c>
      <c r="H126" s="121">
        <f>40000+1069500</f>
        <v>1109500</v>
      </c>
      <c r="I126" s="24"/>
      <c r="J126" s="122">
        <f>SUM(H126)/1.05</f>
        <v>1056666.6666666665</v>
      </c>
      <c r="K126" s="24">
        <f t="shared" si="9"/>
        <v>1056666.6666666665</v>
      </c>
      <c r="L126" s="123"/>
      <c r="M126" s="24">
        <f t="shared" si="10"/>
        <v>0</v>
      </c>
      <c r="N126" s="124">
        <f t="shared" si="11"/>
        <v>1056666.6666666665</v>
      </c>
      <c r="O126" s="85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</row>
    <row r="127" spans="1:256" s="125" customFormat="1">
      <c r="A127" s="16">
        <v>8</v>
      </c>
      <c r="B127" s="60">
        <v>43074</v>
      </c>
      <c r="C127" s="18"/>
      <c r="D127" s="19" t="s">
        <v>172</v>
      </c>
      <c r="E127" s="20" t="s">
        <v>175</v>
      </c>
      <c r="F127" s="82" t="s">
        <v>177</v>
      </c>
      <c r="G127" s="58">
        <v>1709</v>
      </c>
      <c r="H127" s="121">
        <f>40000+1069500</f>
        <v>1109500</v>
      </c>
      <c r="I127" s="24"/>
      <c r="J127" s="122">
        <f>SUM(H127)/1.05</f>
        <v>1056666.6666666665</v>
      </c>
      <c r="K127" s="24">
        <f t="shared" si="9"/>
        <v>1056666.6666666665</v>
      </c>
      <c r="L127" s="123"/>
      <c r="M127" s="24">
        <f t="shared" si="10"/>
        <v>0</v>
      </c>
      <c r="N127" s="124">
        <f t="shared" si="11"/>
        <v>1056666.6666666665</v>
      </c>
      <c r="O127" s="107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3"/>
      <c r="DG127" s="3"/>
      <c r="DH127" s="3"/>
      <c r="DI127" s="3"/>
      <c r="DJ127" s="3"/>
      <c r="DK127" s="3"/>
      <c r="DL127" s="3"/>
      <c r="DM127" s="3"/>
      <c r="DN127" s="3"/>
      <c r="DO127" s="3"/>
      <c r="DP127" s="3"/>
      <c r="DQ127" s="3"/>
      <c r="DR127" s="3"/>
      <c r="DS127" s="3"/>
      <c r="DT127" s="3"/>
      <c r="DU127" s="3"/>
      <c r="DV127" s="3"/>
      <c r="DW127" s="3"/>
      <c r="DX127" s="3"/>
      <c r="DY127" s="3"/>
      <c r="DZ127" s="3"/>
      <c r="EA127" s="3"/>
      <c r="EB127" s="3"/>
      <c r="EC127" s="3"/>
      <c r="ED127" s="3"/>
      <c r="EE127" s="3"/>
      <c r="EF127" s="3"/>
      <c r="EG127" s="3"/>
      <c r="EH127" s="3"/>
      <c r="EI127" s="3"/>
      <c r="EJ127" s="3"/>
      <c r="EK127" s="3"/>
      <c r="EL127" s="3"/>
      <c r="EM127" s="3"/>
      <c r="EN127" s="3"/>
      <c r="EO127" s="3"/>
      <c r="EP127" s="3"/>
      <c r="EQ127" s="3"/>
      <c r="ER127" s="3"/>
      <c r="ES127" s="3"/>
      <c r="ET127" s="3"/>
      <c r="EU127" s="3"/>
      <c r="EV127" s="3"/>
      <c r="EW127" s="3"/>
      <c r="EX127" s="3"/>
      <c r="EY127" s="3"/>
      <c r="EZ127" s="3"/>
      <c r="FA127" s="3"/>
      <c r="FB127" s="3"/>
      <c r="FC127" s="3"/>
      <c r="FD127" s="3"/>
      <c r="FE127" s="3"/>
      <c r="FF127" s="3"/>
      <c r="FG127" s="3"/>
      <c r="FH127" s="3"/>
      <c r="FI127" s="3"/>
      <c r="FJ127" s="3"/>
      <c r="FK127" s="3"/>
      <c r="FL127" s="3"/>
      <c r="FM127" s="3"/>
      <c r="FN127" s="3"/>
      <c r="FO127" s="3"/>
      <c r="FP127" s="3"/>
      <c r="FQ127" s="3"/>
      <c r="FR127" s="3"/>
      <c r="FS127" s="3"/>
      <c r="FT127" s="3"/>
      <c r="FU127" s="3"/>
      <c r="FV127" s="3"/>
      <c r="FW127" s="3"/>
      <c r="FX127" s="3"/>
      <c r="FY127" s="3"/>
      <c r="FZ127" s="3"/>
      <c r="GA127" s="3"/>
      <c r="GB127" s="3"/>
      <c r="GC127" s="3"/>
      <c r="GD127" s="3"/>
      <c r="GE127" s="3"/>
      <c r="GF127" s="3"/>
      <c r="GG127" s="3"/>
      <c r="GH127" s="3"/>
      <c r="GI127" s="3"/>
      <c r="GJ127" s="3"/>
      <c r="GK127" s="3"/>
      <c r="GL127" s="3"/>
      <c r="GM127" s="3"/>
      <c r="GN127" s="3"/>
      <c r="GO127" s="3"/>
      <c r="GP127" s="3"/>
      <c r="GQ127" s="3"/>
      <c r="GR127" s="3"/>
      <c r="GS127" s="3"/>
      <c r="GT127" s="3"/>
      <c r="GU127" s="3"/>
      <c r="GV127" s="3"/>
      <c r="GW127" s="3"/>
      <c r="GX127" s="3"/>
      <c r="GY127" s="3"/>
      <c r="GZ127" s="3"/>
      <c r="HA127" s="3"/>
      <c r="HB127" s="3"/>
      <c r="HC127" s="3"/>
      <c r="HD127" s="3"/>
      <c r="HE127" s="3"/>
      <c r="HF127" s="3"/>
      <c r="HG127" s="3"/>
      <c r="HH127" s="3"/>
      <c r="HI127" s="3"/>
      <c r="HJ127" s="3"/>
      <c r="HK127" s="3"/>
      <c r="HL127" s="3"/>
      <c r="HM127" s="3"/>
      <c r="HN127" s="3"/>
      <c r="HO127" s="3"/>
      <c r="HP127" s="3"/>
      <c r="HQ127" s="3"/>
      <c r="HR127" s="3"/>
      <c r="HS127" s="3"/>
      <c r="HT127" s="3"/>
      <c r="HU127" s="3"/>
      <c r="HV127" s="3"/>
      <c r="HW127" s="3"/>
      <c r="HX127" s="3"/>
      <c r="HY127" s="3"/>
      <c r="HZ127" s="3"/>
      <c r="IA127" s="3"/>
      <c r="IB127" s="3"/>
      <c r="IC127" s="3"/>
      <c r="ID127" s="3"/>
      <c r="IE127" s="3"/>
      <c r="IF127" s="3"/>
      <c r="IG127" s="3"/>
      <c r="IH127" s="3"/>
      <c r="II127" s="3"/>
      <c r="IJ127" s="3"/>
      <c r="IK127" s="3"/>
      <c r="IL127" s="3"/>
      <c r="IM127" s="3"/>
      <c r="IN127" s="3"/>
      <c r="IO127" s="3"/>
      <c r="IP127" s="3"/>
      <c r="IQ127" s="3"/>
      <c r="IR127" s="3"/>
      <c r="IS127" s="3"/>
      <c r="IT127" s="3"/>
      <c r="IU127" s="3"/>
      <c r="IV127" s="3"/>
    </row>
    <row r="128" spans="1:256" s="3" customFormat="1">
      <c r="A128" s="16">
        <v>9</v>
      </c>
      <c r="B128" s="56">
        <v>42867</v>
      </c>
      <c r="C128" s="18"/>
      <c r="D128" s="19" t="s">
        <v>178</v>
      </c>
      <c r="E128" s="20" t="s">
        <v>179</v>
      </c>
      <c r="F128" s="82" t="s">
        <v>180</v>
      </c>
      <c r="G128" s="58">
        <v>1703</v>
      </c>
      <c r="H128" s="121"/>
      <c r="I128" s="24">
        <v>1238095</v>
      </c>
      <c r="J128" s="24"/>
      <c r="K128" s="24">
        <f t="shared" si="9"/>
        <v>1238095</v>
      </c>
      <c r="L128" s="123"/>
      <c r="M128" s="24">
        <f t="shared" si="10"/>
        <v>0</v>
      </c>
      <c r="N128" s="124">
        <f t="shared" si="11"/>
        <v>1238095</v>
      </c>
      <c r="O128" s="108"/>
    </row>
    <row r="129" spans="1:256" s="3" customFormat="1">
      <c r="A129" s="16">
        <v>10</v>
      </c>
      <c r="B129" s="56">
        <v>42891</v>
      </c>
      <c r="C129" s="18"/>
      <c r="D129" s="19" t="s">
        <v>178</v>
      </c>
      <c r="E129" s="20" t="s">
        <v>179</v>
      </c>
      <c r="F129" s="82" t="s">
        <v>181</v>
      </c>
      <c r="G129" s="58">
        <v>1703</v>
      </c>
      <c r="H129" s="121"/>
      <c r="I129" s="24">
        <v>1238095</v>
      </c>
      <c r="J129" s="24"/>
      <c r="K129" s="24">
        <f t="shared" si="9"/>
        <v>1238095</v>
      </c>
      <c r="L129" s="123"/>
      <c r="M129" s="24">
        <f t="shared" si="10"/>
        <v>0</v>
      </c>
      <c r="N129" s="124">
        <f t="shared" si="11"/>
        <v>1238095</v>
      </c>
      <c r="O129" s="108"/>
    </row>
    <row r="130" spans="1:256" s="3" customFormat="1">
      <c r="A130" s="16">
        <v>11</v>
      </c>
      <c r="B130" s="56">
        <v>43045</v>
      </c>
      <c r="C130" s="18"/>
      <c r="D130" s="19" t="s">
        <v>179</v>
      </c>
      <c r="E130" s="20" t="s">
        <v>178</v>
      </c>
      <c r="F130" s="62" t="s">
        <v>182</v>
      </c>
      <c r="G130" s="63">
        <v>1707</v>
      </c>
      <c r="H130" s="121">
        <f>60000+1264800</f>
        <v>1324800</v>
      </c>
      <c r="I130" s="24">
        <v>1261714</v>
      </c>
      <c r="J130" s="122"/>
      <c r="K130" s="24">
        <f t="shared" si="9"/>
        <v>1261714</v>
      </c>
      <c r="L130" s="123"/>
      <c r="M130" s="24">
        <f t="shared" si="10"/>
        <v>0</v>
      </c>
      <c r="N130" s="124">
        <f t="shared" si="11"/>
        <v>1261714</v>
      </c>
      <c r="O130" s="107"/>
    </row>
    <row r="131" spans="1:256" s="3" customFormat="1">
      <c r="A131" s="16">
        <v>12</v>
      </c>
      <c r="B131" s="56">
        <v>43039</v>
      </c>
      <c r="C131" s="18"/>
      <c r="D131" s="19" t="s">
        <v>179</v>
      </c>
      <c r="E131" s="20" t="s">
        <v>178</v>
      </c>
      <c r="F131" s="120" t="s">
        <v>183</v>
      </c>
      <c r="G131" s="58">
        <v>1707</v>
      </c>
      <c r="H131" s="121">
        <f>60000+1264800</f>
        <v>1324800</v>
      </c>
      <c r="I131" s="24">
        <v>1261714</v>
      </c>
      <c r="J131" s="122"/>
      <c r="K131" s="24">
        <f t="shared" si="9"/>
        <v>1261714</v>
      </c>
      <c r="L131" s="123"/>
      <c r="M131" s="24">
        <f t="shared" si="10"/>
        <v>0</v>
      </c>
      <c r="N131" s="124">
        <f t="shared" si="11"/>
        <v>1261714</v>
      </c>
      <c r="O131" s="108"/>
    </row>
    <row r="132" spans="1:256" s="3" customFormat="1">
      <c r="A132" s="16">
        <v>13</v>
      </c>
      <c r="B132" s="17">
        <v>43045</v>
      </c>
      <c r="C132" s="18"/>
      <c r="D132" s="19" t="s">
        <v>179</v>
      </c>
      <c r="E132" s="20" t="s">
        <v>178</v>
      </c>
      <c r="F132" s="120" t="s">
        <v>184</v>
      </c>
      <c r="G132" s="58">
        <v>1707</v>
      </c>
      <c r="H132" s="121">
        <f>60000+1264800</f>
        <v>1324800</v>
      </c>
      <c r="I132" s="24">
        <v>1261714</v>
      </c>
      <c r="J132" s="122"/>
      <c r="K132" s="24">
        <f t="shared" si="9"/>
        <v>1261714</v>
      </c>
      <c r="L132" s="123"/>
      <c r="M132" s="24">
        <f t="shared" si="10"/>
        <v>0</v>
      </c>
      <c r="N132" s="124">
        <f t="shared" si="11"/>
        <v>1261714</v>
      </c>
      <c r="O132" s="107"/>
      <c r="AF132" s="125"/>
      <c r="AG132" s="125"/>
      <c r="AH132" s="125"/>
      <c r="AI132" s="125"/>
      <c r="AJ132" s="125"/>
      <c r="AK132" s="125"/>
      <c r="AL132" s="125"/>
      <c r="AM132" s="125"/>
      <c r="AN132" s="125"/>
      <c r="AO132" s="125"/>
      <c r="AP132" s="125"/>
      <c r="AQ132" s="125"/>
      <c r="AR132" s="125"/>
      <c r="AS132" s="125"/>
      <c r="AT132" s="125"/>
      <c r="AU132" s="125"/>
      <c r="AV132" s="125"/>
      <c r="AW132" s="125"/>
      <c r="AX132" s="125"/>
      <c r="AY132" s="125"/>
      <c r="AZ132" s="125"/>
      <c r="BA132" s="125"/>
      <c r="BB132" s="125"/>
      <c r="BC132" s="125"/>
      <c r="BD132" s="125"/>
      <c r="BE132" s="125"/>
      <c r="BF132" s="125"/>
      <c r="BG132" s="125"/>
      <c r="BH132" s="125"/>
      <c r="BI132" s="125"/>
      <c r="BJ132" s="125"/>
      <c r="BK132" s="125"/>
      <c r="BL132" s="125"/>
      <c r="BM132" s="125"/>
      <c r="BN132" s="125"/>
      <c r="BO132" s="125"/>
      <c r="BP132" s="125"/>
      <c r="BQ132" s="125"/>
      <c r="BR132" s="125"/>
      <c r="BS132" s="125"/>
      <c r="BT132" s="125"/>
      <c r="BU132" s="125"/>
      <c r="BV132" s="125"/>
      <c r="BW132" s="125"/>
      <c r="BX132" s="125"/>
      <c r="BY132" s="125"/>
      <c r="BZ132" s="125"/>
      <c r="CA132" s="125"/>
      <c r="CB132" s="125"/>
      <c r="CC132" s="125"/>
      <c r="CD132" s="125"/>
      <c r="CE132" s="125"/>
      <c r="CF132" s="125"/>
      <c r="CG132" s="125"/>
      <c r="CH132" s="125"/>
      <c r="CI132" s="125"/>
      <c r="CJ132" s="125"/>
      <c r="CK132" s="125"/>
      <c r="CL132" s="125"/>
      <c r="CM132" s="125"/>
      <c r="CN132" s="125"/>
      <c r="CO132" s="125"/>
      <c r="CP132" s="125"/>
      <c r="CQ132" s="125"/>
      <c r="CR132" s="125"/>
      <c r="CS132" s="125"/>
      <c r="CT132" s="125"/>
      <c r="CU132" s="125"/>
      <c r="CV132" s="125"/>
      <c r="CW132" s="125"/>
      <c r="CX132" s="125"/>
      <c r="CY132" s="125"/>
      <c r="CZ132" s="125"/>
      <c r="DA132" s="125"/>
      <c r="DB132" s="125"/>
      <c r="DC132" s="125"/>
      <c r="DD132" s="125"/>
      <c r="DE132" s="125"/>
      <c r="DF132" s="125"/>
      <c r="DG132" s="125"/>
      <c r="DH132" s="125"/>
      <c r="DI132" s="125"/>
      <c r="DJ132" s="125"/>
      <c r="DK132" s="125"/>
      <c r="DL132" s="125"/>
      <c r="DM132" s="125"/>
      <c r="DN132" s="125"/>
      <c r="DO132" s="125"/>
      <c r="DP132" s="125"/>
      <c r="DQ132" s="125"/>
      <c r="DR132" s="125"/>
      <c r="DS132" s="125"/>
      <c r="DT132" s="125"/>
      <c r="DU132" s="125"/>
      <c r="DV132" s="125"/>
      <c r="DW132" s="125"/>
      <c r="DX132" s="125"/>
      <c r="DY132" s="125"/>
      <c r="DZ132" s="125"/>
      <c r="EA132" s="125"/>
      <c r="EB132" s="125"/>
      <c r="EC132" s="125"/>
      <c r="ED132" s="125"/>
      <c r="EE132" s="125"/>
      <c r="EF132" s="125"/>
      <c r="EG132" s="125"/>
      <c r="EH132" s="125"/>
      <c r="EI132" s="125"/>
      <c r="EJ132" s="125"/>
      <c r="EK132" s="125"/>
      <c r="EL132" s="125"/>
      <c r="EM132" s="125"/>
      <c r="EN132" s="125"/>
      <c r="EO132" s="125"/>
      <c r="EP132" s="125"/>
      <c r="EQ132" s="125"/>
      <c r="ER132" s="125"/>
      <c r="ES132" s="125"/>
      <c r="ET132" s="125"/>
      <c r="EU132" s="125"/>
      <c r="EV132" s="125"/>
      <c r="EW132" s="125"/>
      <c r="EX132" s="125"/>
      <c r="EY132" s="125"/>
      <c r="EZ132" s="125"/>
      <c r="FA132" s="125"/>
      <c r="FB132" s="125"/>
      <c r="FC132" s="125"/>
      <c r="FD132" s="125"/>
      <c r="FE132" s="125"/>
      <c r="FF132" s="125"/>
      <c r="FG132" s="125"/>
      <c r="FH132" s="125"/>
      <c r="FI132" s="125"/>
      <c r="FJ132" s="125"/>
      <c r="FK132" s="125"/>
      <c r="FL132" s="125"/>
      <c r="FM132" s="125"/>
      <c r="FN132" s="125"/>
      <c r="FO132" s="125"/>
      <c r="FP132" s="125"/>
      <c r="FQ132" s="125"/>
      <c r="FR132" s="125"/>
      <c r="FS132" s="125"/>
      <c r="FT132" s="125"/>
      <c r="FU132" s="125"/>
      <c r="FV132" s="125"/>
      <c r="FW132" s="125"/>
      <c r="FX132" s="125"/>
      <c r="FY132" s="125"/>
      <c r="FZ132" s="125"/>
      <c r="GA132" s="125"/>
      <c r="GB132" s="125"/>
      <c r="GC132" s="125"/>
      <c r="GD132" s="125"/>
      <c r="GE132" s="125"/>
      <c r="GF132" s="125"/>
      <c r="GG132" s="125"/>
      <c r="GH132" s="125"/>
      <c r="GI132" s="125"/>
      <c r="GJ132" s="125"/>
      <c r="GK132" s="125"/>
      <c r="GL132" s="125"/>
      <c r="GM132" s="125"/>
      <c r="GN132" s="125"/>
      <c r="GO132" s="125"/>
      <c r="GP132" s="125"/>
      <c r="GQ132" s="125"/>
      <c r="GR132" s="125"/>
      <c r="GS132" s="125"/>
      <c r="GT132" s="125"/>
      <c r="GU132" s="125"/>
      <c r="GV132" s="125"/>
      <c r="GW132" s="125"/>
      <c r="GX132" s="125"/>
      <c r="GY132" s="125"/>
      <c r="GZ132" s="125"/>
      <c r="HA132" s="125"/>
      <c r="HB132" s="125"/>
      <c r="HC132" s="125"/>
      <c r="HD132" s="125"/>
      <c r="HE132" s="125"/>
      <c r="HF132" s="125"/>
      <c r="HG132" s="125"/>
      <c r="HH132" s="125"/>
      <c r="HI132" s="125"/>
      <c r="HJ132" s="125"/>
      <c r="HK132" s="125"/>
      <c r="HL132" s="125"/>
      <c r="HM132" s="125"/>
      <c r="HN132" s="125"/>
      <c r="HO132" s="125"/>
      <c r="HP132" s="125"/>
      <c r="HQ132" s="125"/>
      <c r="HR132" s="125"/>
      <c r="HS132" s="125"/>
      <c r="HT132" s="125"/>
      <c r="HU132" s="125"/>
      <c r="HV132" s="125"/>
      <c r="HW132" s="125"/>
      <c r="HX132" s="125"/>
      <c r="HY132" s="125"/>
      <c r="HZ132" s="125"/>
      <c r="IA132" s="125"/>
      <c r="IB132" s="125"/>
      <c r="IC132" s="125"/>
      <c r="ID132" s="125"/>
      <c r="IE132" s="125"/>
      <c r="IF132" s="125"/>
      <c r="IG132" s="125"/>
      <c r="IH132" s="125"/>
      <c r="II132" s="125"/>
      <c r="IJ132" s="125"/>
      <c r="IK132" s="125"/>
      <c r="IL132" s="125"/>
      <c r="IM132" s="125"/>
      <c r="IN132" s="125"/>
      <c r="IO132" s="125"/>
      <c r="IP132" s="125"/>
      <c r="IQ132" s="125"/>
      <c r="IR132" s="125"/>
      <c r="IS132" s="125"/>
      <c r="IT132" s="125"/>
      <c r="IU132" s="125"/>
      <c r="IV132" s="125"/>
    </row>
    <row r="133" spans="1:256" s="3" customFormat="1">
      <c r="A133" s="16">
        <v>14</v>
      </c>
      <c r="B133" s="17">
        <v>43096</v>
      </c>
      <c r="C133" s="18"/>
      <c r="D133" s="19" t="s">
        <v>179</v>
      </c>
      <c r="E133" s="20" t="s">
        <v>178</v>
      </c>
      <c r="F133" s="82" t="s">
        <v>185</v>
      </c>
      <c r="G133" s="58">
        <v>1708</v>
      </c>
      <c r="H133" s="121">
        <f>60000+1264800</f>
        <v>1324800</v>
      </c>
      <c r="I133" s="24"/>
      <c r="J133" s="122">
        <f>SUM(H133)/1.05</f>
        <v>1261714.2857142857</v>
      </c>
      <c r="K133" s="24">
        <f t="shared" si="9"/>
        <v>1261714.2857142857</v>
      </c>
      <c r="L133" s="123"/>
      <c r="M133" s="24">
        <f t="shared" si="10"/>
        <v>0</v>
      </c>
      <c r="N133" s="124">
        <f t="shared" si="11"/>
        <v>1261714.2857142857</v>
      </c>
      <c r="O133" s="85"/>
    </row>
    <row r="134" spans="1:256" s="3" customFormat="1">
      <c r="A134" s="16">
        <v>15</v>
      </c>
      <c r="B134" s="17">
        <v>43073</v>
      </c>
      <c r="C134" s="18"/>
      <c r="D134" s="19" t="s">
        <v>179</v>
      </c>
      <c r="E134" s="20" t="s">
        <v>186</v>
      </c>
      <c r="F134" s="120" t="s">
        <v>187</v>
      </c>
      <c r="G134" s="58">
        <v>1707</v>
      </c>
      <c r="H134" s="121">
        <f>66300+1748400</f>
        <v>1814700</v>
      </c>
      <c r="I134" s="24"/>
      <c r="J134" s="122">
        <f>SUM(H134)/1.05</f>
        <v>1728285.7142857143</v>
      </c>
      <c r="K134" s="24">
        <f t="shared" si="9"/>
        <v>1728285.7142857143</v>
      </c>
      <c r="L134" s="123"/>
      <c r="M134" s="24">
        <f t="shared" si="10"/>
        <v>0</v>
      </c>
      <c r="N134" s="124">
        <f t="shared" si="11"/>
        <v>1728285.7142857143</v>
      </c>
      <c r="O134" s="107"/>
      <c r="AF134" s="125"/>
      <c r="AG134" s="125"/>
      <c r="AH134" s="125"/>
      <c r="AI134" s="125"/>
      <c r="AJ134" s="125"/>
      <c r="AK134" s="125"/>
      <c r="AL134" s="125"/>
      <c r="AM134" s="125"/>
      <c r="AN134" s="125"/>
      <c r="AO134" s="125"/>
      <c r="AP134" s="125"/>
      <c r="AQ134" s="125"/>
      <c r="AR134" s="125"/>
      <c r="AS134" s="125"/>
      <c r="AT134" s="125"/>
      <c r="AU134" s="125"/>
      <c r="AV134" s="125"/>
      <c r="AW134" s="125"/>
      <c r="AX134" s="125"/>
      <c r="AY134" s="125"/>
      <c r="AZ134" s="125"/>
      <c r="BA134" s="125"/>
      <c r="BB134" s="125"/>
      <c r="BC134" s="125"/>
      <c r="BD134" s="125"/>
      <c r="BE134" s="125"/>
      <c r="BF134" s="125"/>
      <c r="BG134" s="125"/>
      <c r="BH134" s="125"/>
      <c r="BI134" s="125"/>
      <c r="BJ134" s="125"/>
      <c r="BK134" s="125"/>
      <c r="BL134" s="125"/>
      <c r="BM134" s="125"/>
      <c r="BN134" s="125"/>
      <c r="BO134" s="125"/>
      <c r="BP134" s="125"/>
      <c r="BQ134" s="125"/>
      <c r="BR134" s="125"/>
      <c r="BS134" s="125"/>
      <c r="BT134" s="125"/>
      <c r="BU134" s="125"/>
      <c r="BV134" s="125"/>
      <c r="BW134" s="125"/>
      <c r="BX134" s="125"/>
      <c r="BY134" s="125"/>
      <c r="BZ134" s="125"/>
      <c r="CA134" s="125"/>
      <c r="CB134" s="125"/>
      <c r="CC134" s="125"/>
      <c r="CD134" s="125"/>
      <c r="CE134" s="125"/>
      <c r="CF134" s="125"/>
      <c r="CG134" s="125"/>
      <c r="CH134" s="125"/>
      <c r="CI134" s="125"/>
      <c r="CJ134" s="125"/>
      <c r="CK134" s="125"/>
      <c r="CL134" s="125"/>
      <c r="CM134" s="125"/>
      <c r="CN134" s="125"/>
      <c r="CO134" s="125"/>
      <c r="CP134" s="125"/>
      <c r="CQ134" s="125"/>
      <c r="CR134" s="125"/>
      <c r="CS134" s="125"/>
      <c r="CT134" s="125"/>
      <c r="CU134" s="125"/>
      <c r="CV134" s="125"/>
      <c r="CW134" s="125"/>
      <c r="CX134" s="125"/>
      <c r="CY134" s="125"/>
      <c r="CZ134" s="125"/>
      <c r="DA134" s="125"/>
      <c r="DB134" s="125"/>
      <c r="DC134" s="125"/>
      <c r="DD134" s="125"/>
      <c r="DE134" s="125"/>
      <c r="DF134" s="125"/>
      <c r="DG134" s="125"/>
      <c r="DH134" s="125"/>
      <c r="DI134" s="125"/>
      <c r="DJ134" s="125"/>
      <c r="DK134" s="125"/>
      <c r="DL134" s="125"/>
      <c r="DM134" s="125"/>
      <c r="DN134" s="125"/>
      <c r="DO134" s="125"/>
      <c r="DP134" s="125"/>
      <c r="DQ134" s="125"/>
      <c r="DR134" s="125"/>
      <c r="DS134" s="125"/>
      <c r="DT134" s="125"/>
      <c r="DU134" s="125"/>
      <c r="DV134" s="125"/>
      <c r="DW134" s="125"/>
      <c r="DX134" s="125"/>
      <c r="DY134" s="125"/>
      <c r="DZ134" s="125"/>
      <c r="EA134" s="125"/>
      <c r="EB134" s="125"/>
      <c r="EC134" s="125"/>
      <c r="ED134" s="125"/>
      <c r="EE134" s="125"/>
      <c r="EF134" s="125"/>
      <c r="EG134" s="125"/>
      <c r="EH134" s="125"/>
      <c r="EI134" s="125"/>
      <c r="EJ134" s="125"/>
      <c r="EK134" s="125"/>
      <c r="EL134" s="125"/>
      <c r="EM134" s="125"/>
      <c r="EN134" s="125"/>
      <c r="EO134" s="125"/>
      <c r="EP134" s="125"/>
      <c r="EQ134" s="125"/>
      <c r="ER134" s="125"/>
      <c r="ES134" s="125"/>
      <c r="ET134" s="125"/>
      <c r="EU134" s="125"/>
      <c r="EV134" s="125"/>
      <c r="EW134" s="125"/>
      <c r="EX134" s="125"/>
      <c r="EY134" s="125"/>
      <c r="EZ134" s="125"/>
      <c r="FA134" s="125"/>
      <c r="FB134" s="125"/>
      <c r="FC134" s="125"/>
      <c r="FD134" s="125"/>
      <c r="FE134" s="125"/>
      <c r="FF134" s="125"/>
      <c r="FG134" s="125"/>
      <c r="FH134" s="125"/>
      <c r="FI134" s="125"/>
      <c r="FJ134" s="125"/>
      <c r="FK134" s="125"/>
      <c r="FL134" s="125"/>
      <c r="FM134" s="125"/>
      <c r="FN134" s="125"/>
      <c r="FO134" s="125"/>
      <c r="FP134" s="125"/>
      <c r="FQ134" s="125"/>
      <c r="FR134" s="125"/>
      <c r="FS134" s="125"/>
      <c r="FT134" s="125"/>
      <c r="FU134" s="125"/>
      <c r="FV134" s="125"/>
      <c r="FW134" s="125"/>
      <c r="FX134" s="125"/>
      <c r="FY134" s="125"/>
      <c r="FZ134" s="125"/>
      <c r="GA134" s="125"/>
      <c r="GB134" s="125"/>
      <c r="GC134" s="125"/>
      <c r="GD134" s="125"/>
      <c r="GE134" s="125"/>
      <c r="GF134" s="125"/>
      <c r="GG134" s="125"/>
      <c r="GH134" s="125"/>
      <c r="GI134" s="125"/>
      <c r="GJ134" s="125"/>
      <c r="GK134" s="125"/>
      <c r="GL134" s="125"/>
      <c r="GM134" s="125"/>
      <c r="GN134" s="125"/>
      <c r="GO134" s="125"/>
      <c r="GP134" s="125"/>
      <c r="GQ134" s="125"/>
      <c r="GR134" s="125"/>
      <c r="GS134" s="125"/>
      <c r="GT134" s="125"/>
      <c r="GU134" s="125"/>
      <c r="GV134" s="125"/>
      <c r="GW134" s="125"/>
      <c r="GX134" s="125"/>
      <c r="GY134" s="125"/>
      <c r="GZ134" s="125"/>
      <c r="HA134" s="125"/>
      <c r="HB134" s="125"/>
      <c r="HC134" s="125"/>
      <c r="HD134" s="125"/>
      <c r="HE134" s="125"/>
      <c r="HF134" s="125"/>
      <c r="HG134" s="125"/>
      <c r="HH134" s="125"/>
      <c r="HI134" s="125"/>
      <c r="HJ134" s="125"/>
      <c r="HK134" s="125"/>
      <c r="HL134" s="125"/>
      <c r="HM134" s="125"/>
      <c r="HN134" s="125"/>
      <c r="HO134" s="125"/>
      <c r="HP134" s="125"/>
      <c r="HQ134" s="125"/>
      <c r="HR134" s="125"/>
      <c r="HS134" s="125"/>
      <c r="HT134" s="125"/>
      <c r="HU134" s="125"/>
      <c r="HV134" s="125"/>
      <c r="HW134" s="125"/>
      <c r="HX134" s="125"/>
      <c r="HY134" s="125"/>
      <c r="HZ134" s="125"/>
      <c r="IA134" s="125"/>
      <c r="IB134" s="125"/>
      <c r="IC134" s="125"/>
      <c r="ID134" s="125"/>
      <c r="IE134" s="125"/>
      <c r="IF134" s="125"/>
      <c r="IG134" s="125"/>
      <c r="IH134" s="125"/>
      <c r="II134" s="125"/>
      <c r="IJ134" s="125"/>
      <c r="IK134" s="125"/>
      <c r="IL134" s="125"/>
      <c r="IM134" s="125"/>
      <c r="IN134" s="125"/>
      <c r="IO134" s="125"/>
      <c r="IP134" s="125"/>
      <c r="IQ134" s="125"/>
      <c r="IR134" s="125"/>
      <c r="IS134" s="125"/>
      <c r="IT134" s="125"/>
      <c r="IU134" s="125"/>
      <c r="IV134" s="125"/>
    </row>
    <row r="135" spans="1:256" s="3" customFormat="1">
      <c r="A135" s="16">
        <v>16</v>
      </c>
      <c r="B135" s="29">
        <v>42900</v>
      </c>
      <c r="C135" s="18"/>
      <c r="D135" s="19" t="s">
        <v>178</v>
      </c>
      <c r="E135" s="20" t="s">
        <v>188</v>
      </c>
      <c r="F135" s="82" t="s">
        <v>189</v>
      </c>
      <c r="G135" s="58">
        <v>1703</v>
      </c>
      <c r="H135" s="121"/>
      <c r="I135" s="24">
        <v>983810</v>
      </c>
      <c r="J135" s="24"/>
      <c r="K135" s="24">
        <f t="shared" si="9"/>
        <v>983810</v>
      </c>
      <c r="L135" s="123"/>
      <c r="M135" s="24">
        <f t="shared" si="10"/>
        <v>0</v>
      </c>
      <c r="N135" s="124">
        <f t="shared" si="11"/>
        <v>983810</v>
      </c>
      <c r="O135" s="108"/>
      <c r="AF135" s="125"/>
      <c r="AG135" s="125"/>
      <c r="AH135" s="125"/>
      <c r="AI135" s="125"/>
      <c r="AJ135" s="125"/>
      <c r="AK135" s="125"/>
      <c r="AL135" s="125"/>
      <c r="AM135" s="125"/>
      <c r="AN135" s="125"/>
      <c r="AO135" s="125"/>
      <c r="AP135" s="125"/>
      <c r="AQ135" s="125"/>
      <c r="AR135" s="125"/>
      <c r="AS135" s="125"/>
      <c r="AT135" s="125"/>
      <c r="AU135" s="125"/>
      <c r="AV135" s="125"/>
      <c r="AW135" s="125"/>
      <c r="AX135" s="125"/>
      <c r="AY135" s="125"/>
      <c r="AZ135" s="125"/>
      <c r="BA135" s="125"/>
      <c r="BB135" s="125"/>
      <c r="BC135" s="125"/>
      <c r="BD135" s="125"/>
      <c r="BE135" s="125"/>
      <c r="BF135" s="125"/>
      <c r="BG135" s="125"/>
      <c r="BH135" s="125"/>
      <c r="BI135" s="125"/>
      <c r="BJ135" s="125"/>
      <c r="BK135" s="125"/>
      <c r="BL135" s="125"/>
      <c r="BM135" s="125"/>
      <c r="BN135" s="125"/>
      <c r="BO135" s="125"/>
      <c r="BP135" s="125"/>
      <c r="BQ135" s="125"/>
      <c r="BR135" s="125"/>
      <c r="BS135" s="125"/>
      <c r="BT135" s="125"/>
      <c r="BU135" s="125"/>
      <c r="BV135" s="125"/>
      <c r="BW135" s="125"/>
      <c r="BX135" s="125"/>
      <c r="BY135" s="125"/>
      <c r="BZ135" s="125"/>
      <c r="CA135" s="125"/>
      <c r="CB135" s="125"/>
      <c r="CC135" s="125"/>
      <c r="CD135" s="125"/>
      <c r="CE135" s="125"/>
      <c r="CF135" s="125"/>
      <c r="CG135" s="125"/>
      <c r="CH135" s="125"/>
      <c r="CI135" s="125"/>
      <c r="CJ135" s="125"/>
      <c r="CK135" s="125"/>
      <c r="CL135" s="125"/>
      <c r="CM135" s="125"/>
      <c r="CN135" s="125"/>
      <c r="CO135" s="125"/>
      <c r="CP135" s="125"/>
      <c r="CQ135" s="125"/>
      <c r="CR135" s="125"/>
      <c r="CS135" s="125"/>
      <c r="CT135" s="125"/>
      <c r="CU135" s="125"/>
      <c r="CV135" s="125"/>
      <c r="CW135" s="125"/>
      <c r="CX135" s="125"/>
      <c r="CY135" s="125"/>
      <c r="CZ135" s="125"/>
      <c r="DA135" s="125"/>
      <c r="DB135" s="125"/>
      <c r="DC135" s="125"/>
      <c r="DD135" s="125"/>
      <c r="DE135" s="125"/>
      <c r="DF135" s="125"/>
      <c r="DG135" s="125"/>
      <c r="DH135" s="125"/>
      <c r="DI135" s="125"/>
      <c r="DJ135" s="125"/>
      <c r="DK135" s="125"/>
      <c r="DL135" s="125"/>
      <c r="DM135" s="125"/>
      <c r="DN135" s="125"/>
      <c r="DO135" s="125"/>
      <c r="DP135" s="125"/>
      <c r="DQ135" s="125"/>
      <c r="DR135" s="125"/>
      <c r="DS135" s="125"/>
      <c r="DT135" s="125"/>
      <c r="DU135" s="125"/>
      <c r="DV135" s="125"/>
      <c r="DW135" s="125"/>
      <c r="DX135" s="125"/>
      <c r="DY135" s="125"/>
      <c r="DZ135" s="125"/>
      <c r="EA135" s="125"/>
      <c r="EB135" s="125"/>
      <c r="EC135" s="125"/>
      <c r="ED135" s="125"/>
      <c r="EE135" s="125"/>
      <c r="EF135" s="125"/>
      <c r="EG135" s="125"/>
      <c r="EH135" s="125"/>
      <c r="EI135" s="125"/>
      <c r="EJ135" s="125"/>
      <c r="EK135" s="125"/>
      <c r="EL135" s="125"/>
      <c r="EM135" s="125"/>
      <c r="EN135" s="125"/>
      <c r="EO135" s="125"/>
      <c r="EP135" s="125"/>
      <c r="EQ135" s="125"/>
      <c r="ER135" s="125"/>
      <c r="ES135" s="125"/>
      <c r="ET135" s="125"/>
      <c r="EU135" s="125"/>
      <c r="EV135" s="125"/>
      <c r="EW135" s="125"/>
      <c r="EX135" s="125"/>
      <c r="EY135" s="125"/>
      <c r="EZ135" s="125"/>
      <c r="FA135" s="125"/>
      <c r="FB135" s="125"/>
      <c r="FC135" s="125"/>
      <c r="FD135" s="125"/>
      <c r="FE135" s="125"/>
      <c r="FF135" s="125"/>
      <c r="FG135" s="125"/>
      <c r="FH135" s="125"/>
      <c r="FI135" s="125"/>
      <c r="FJ135" s="125"/>
      <c r="FK135" s="125"/>
      <c r="FL135" s="125"/>
      <c r="FM135" s="125"/>
      <c r="FN135" s="125"/>
      <c r="FO135" s="125"/>
      <c r="FP135" s="125"/>
      <c r="FQ135" s="125"/>
      <c r="FR135" s="125"/>
      <c r="FS135" s="125"/>
      <c r="FT135" s="125"/>
      <c r="FU135" s="125"/>
      <c r="FV135" s="125"/>
      <c r="FW135" s="125"/>
      <c r="FX135" s="125"/>
      <c r="FY135" s="125"/>
      <c r="FZ135" s="125"/>
      <c r="GA135" s="125"/>
      <c r="GB135" s="125"/>
      <c r="GC135" s="125"/>
      <c r="GD135" s="125"/>
      <c r="GE135" s="125"/>
      <c r="GF135" s="125"/>
      <c r="GG135" s="125"/>
      <c r="GH135" s="125"/>
      <c r="GI135" s="125"/>
      <c r="GJ135" s="125"/>
      <c r="GK135" s="125"/>
      <c r="GL135" s="125"/>
      <c r="GM135" s="125"/>
      <c r="GN135" s="125"/>
      <c r="GO135" s="125"/>
      <c r="GP135" s="125"/>
      <c r="GQ135" s="125"/>
      <c r="GR135" s="125"/>
      <c r="GS135" s="125"/>
      <c r="GT135" s="125"/>
      <c r="GU135" s="125"/>
      <c r="GV135" s="125"/>
      <c r="GW135" s="125"/>
      <c r="GX135" s="125"/>
      <c r="GY135" s="125"/>
      <c r="GZ135" s="125"/>
      <c r="HA135" s="125"/>
      <c r="HB135" s="125"/>
      <c r="HC135" s="125"/>
      <c r="HD135" s="125"/>
      <c r="HE135" s="125"/>
      <c r="HF135" s="125"/>
      <c r="HG135" s="125"/>
      <c r="HH135" s="125"/>
      <c r="HI135" s="125"/>
      <c r="HJ135" s="125"/>
      <c r="HK135" s="125"/>
      <c r="HL135" s="125"/>
      <c r="HM135" s="125"/>
      <c r="HN135" s="125"/>
      <c r="HO135" s="125"/>
      <c r="HP135" s="125"/>
      <c r="HQ135" s="125"/>
      <c r="HR135" s="125"/>
      <c r="HS135" s="125"/>
      <c r="HT135" s="125"/>
      <c r="HU135" s="125"/>
      <c r="HV135" s="125"/>
      <c r="HW135" s="125"/>
      <c r="HX135" s="125"/>
      <c r="HY135" s="125"/>
      <c r="HZ135" s="125"/>
      <c r="IA135" s="125"/>
      <c r="IB135" s="125"/>
      <c r="IC135" s="125"/>
      <c r="ID135" s="125"/>
      <c r="IE135" s="125"/>
      <c r="IF135" s="125"/>
      <c r="IG135" s="125"/>
      <c r="IH135" s="125"/>
      <c r="II135" s="125"/>
      <c r="IJ135" s="125"/>
      <c r="IK135" s="125"/>
      <c r="IL135" s="125"/>
      <c r="IM135" s="125"/>
      <c r="IN135" s="125"/>
      <c r="IO135" s="125"/>
      <c r="IP135" s="125"/>
      <c r="IQ135" s="125"/>
      <c r="IR135" s="125"/>
      <c r="IS135" s="125"/>
      <c r="IT135" s="125"/>
      <c r="IU135" s="125"/>
      <c r="IV135" s="125"/>
    </row>
    <row r="136" spans="1:256" s="3" customFormat="1">
      <c r="A136" s="16">
        <v>17</v>
      </c>
      <c r="B136" s="29">
        <v>43073</v>
      </c>
      <c r="C136" s="18"/>
      <c r="D136" s="19" t="s">
        <v>179</v>
      </c>
      <c r="E136" s="20" t="s">
        <v>190</v>
      </c>
      <c r="F136" s="82" t="s">
        <v>191</v>
      </c>
      <c r="G136" s="58">
        <v>1708</v>
      </c>
      <c r="H136" s="121">
        <f>40000+1023000</f>
        <v>1063000</v>
      </c>
      <c r="I136" s="24"/>
      <c r="J136" s="122">
        <f>SUM(H136)/1.05</f>
        <v>1012380.9523809523</v>
      </c>
      <c r="K136" s="24">
        <f t="shared" si="9"/>
        <v>1012380.9523809523</v>
      </c>
      <c r="L136" s="123"/>
      <c r="M136" s="24">
        <f t="shared" si="10"/>
        <v>0</v>
      </c>
      <c r="N136" s="27">
        <f t="shared" si="11"/>
        <v>1012380.9523809523</v>
      </c>
      <c r="O136" s="107"/>
    </row>
    <row r="137" spans="1:256" s="3" customFormat="1">
      <c r="A137" s="16">
        <v>18</v>
      </c>
      <c r="B137" s="17">
        <v>42997</v>
      </c>
      <c r="C137" s="18" t="s">
        <v>192</v>
      </c>
      <c r="D137" s="19" t="s">
        <v>178</v>
      </c>
      <c r="E137" s="20" t="s">
        <v>193</v>
      </c>
      <c r="F137" s="82" t="s">
        <v>194</v>
      </c>
      <c r="G137" s="58" t="s">
        <v>195</v>
      </c>
      <c r="H137" s="121">
        <v>1488000</v>
      </c>
      <c r="I137" s="24">
        <v>1417143</v>
      </c>
      <c r="J137" s="122"/>
      <c r="K137" s="24">
        <f t="shared" si="9"/>
        <v>1417143</v>
      </c>
      <c r="L137" s="123"/>
      <c r="M137" s="24">
        <f t="shared" si="10"/>
        <v>0</v>
      </c>
      <c r="N137" s="27">
        <f t="shared" si="11"/>
        <v>1417143</v>
      </c>
      <c r="O137" s="28"/>
    </row>
    <row r="138" spans="1:256" s="3" customFormat="1">
      <c r="A138" s="16">
        <v>19</v>
      </c>
      <c r="B138" s="29">
        <v>42866</v>
      </c>
      <c r="C138" s="18"/>
      <c r="D138" s="19" t="s">
        <v>178</v>
      </c>
      <c r="E138" s="20" t="s">
        <v>196</v>
      </c>
      <c r="F138" s="82" t="s">
        <v>197</v>
      </c>
      <c r="G138" s="58">
        <v>1703</v>
      </c>
      <c r="H138" s="121"/>
      <c r="I138" s="24">
        <v>1455810</v>
      </c>
      <c r="J138" s="24"/>
      <c r="K138" s="24">
        <f t="shared" si="9"/>
        <v>1455810</v>
      </c>
      <c r="L138" s="123"/>
      <c r="M138" s="24">
        <f t="shared" si="10"/>
        <v>0</v>
      </c>
      <c r="N138" s="124">
        <f t="shared" si="11"/>
        <v>1455810</v>
      </c>
      <c r="O138" s="108"/>
      <c r="AF138" s="125"/>
      <c r="AG138" s="125"/>
      <c r="AH138" s="125"/>
      <c r="AI138" s="125"/>
      <c r="AJ138" s="125"/>
      <c r="AK138" s="125"/>
      <c r="AL138" s="125"/>
      <c r="AM138" s="125"/>
      <c r="AN138" s="125"/>
      <c r="AO138" s="125"/>
      <c r="AP138" s="125"/>
      <c r="AQ138" s="125"/>
      <c r="AR138" s="125"/>
      <c r="AS138" s="125"/>
      <c r="AT138" s="125"/>
      <c r="AU138" s="125"/>
      <c r="AV138" s="125"/>
      <c r="AW138" s="125"/>
      <c r="AX138" s="125"/>
      <c r="AY138" s="125"/>
      <c r="AZ138" s="125"/>
      <c r="BA138" s="125"/>
      <c r="BB138" s="125"/>
      <c r="BC138" s="125"/>
      <c r="BD138" s="125"/>
      <c r="BE138" s="125"/>
      <c r="BF138" s="125"/>
      <c r="BG138" s="125"/>
      <c r="BH138" s="125"/>
      <c r="BI138" s="125"/>
      <c r="BJ138" s="125"/>
      <c r="BK138" s="125"/>
      <c r="BL138" s="125"/>
      <c r="BM138" s="125"/>
      <c r="BN138" s="125"/>
      <c r="BO138" s="125"/>
      <c r="BP138" s="125"/>
      <c r="BQ138" s="125"/>
      <c r="BR138" s="125"/>
      <c r="BS138" s="125"/>
      <c r="BT138" s="125"/>
      <c r="BU138" s="125"/>
      <c r="BV138" s="125"/>
      <c r="BW138" s="125"/>
      <c r="BX138" s="125"/>
      <c r="BY138" s="125"/>
      <c r="BZ138" s="125"/>
      <c r="CA138" s="125"/>
      <c r="CB138" s="125"/>
      <c r="CC138" s="125"/>
      <c r="CD138" s="125"/>
      <c r="CE138" s="125"/>
      <c r="CF138" s="125"/>
      <c r="CG138" s="125"/>
      <c r="CH138" s="125"/>
      <c r="CI138" s="125"/>
      <c r="CJ138" s="125"/>
      <c r="CK138" s="125"/>
      <c r="CL138" s="125"/>
      <c r="CM138" s="125"/>
      <c r="CN138" s="125"/>
      <c r="CO138" s="125"/>
      <c r="CP138" s="125"/>
      <c r="CQ138" s="125"/>
      <c r="CR138" s="125"/>
      <c r="CS138" s="125"/>
      <c r="CT138" s="125"/>
      <c r="CU138" s="125"/>
      <c r="CV138" s="125"/>
      <c r="CW138" s="125"/>
      <c r="CX138" s="125"/>
      <c r="CY138" s="125"/>
      <c r="CZ138" s="125"/>
      <c r="DA138" s="125"/>
      <c r="DB138" s="125"/>
      <c r="DC138" s="125"/>
      <c r="DD138" s="125"/>
      <c r="DE138" s="125"/>
      <c r="DF138" s="125"/>
      <c r="DG138" s="125"/>
      <c r="DH138" s="125"/>
      <c r="DI138" s="125"/>
      <c r="DJ138" s="125"/>
      <c r="DK138" s="125"/>
      <c r="DL138" s="125"/>
      <c r="DM138" s="125"/>
      <c r="DN138" s="125"/>
      <c r="DO138" s="125"/>
      <c r="DP138" s="125"/>
      <c r="DQ138" s="125"/>
      <c r="DR138" s="125"/>
      <c r="DS138" s="125"/>
      <c r="DT138" s="125"/>
      <c r="DU138" s="125"/>
      <c r="DV138" s="125"/>
      <c r="DW138" s="125"/>
      <c r="DX138" s="125"/>
      <c r="DY138" s="125"/>
      <c r="DZ138" s="125"/>
      <c r="EA138" s="125"/>
      <c r="EB138" s="125"/>
      <c r="EC138" s="125"/>
      <c r="ED138" s="125"/>
      <c r="EE138" s="125"/>
      <c r="EF138" s="125"/>
      <c r="EG138" s="125"/>
      <c r="EH138" s="125"/>
      <c r="EI138" s="125"/>
      <c r="EJ138" s="125"/>
      <c r="EK138" s="125"/>
      <c r="EL138" s="125"/>
      <c r="EM138" s="125"/>
      <c r="EN138" s="125"/>
      <c r="EO138" s="125"/>
      <c r="EP138" s="125"/>
      <c r="EQ138" s="125"/>
      <c r="ER138" s="125"/>
      <c r="ES138" s="125"/>
      <c r="ET138" s="125"/>
      <c r="EU138" s="125"/>
      <c r="EV138" s="125"/>
      <c r="EW138" s="125"/>
      <c r="EX138" s="125"/>
      <c r="EY138" s="125"/>
      <c r="EZ138" s="125"/>
      <c r="FA138" s="125"/>
      <c r="FB138" s="125"/>
      <c r="FC138" s="125"/>
      <c r="FD138" s="125"/>
      <c r="FE138" s="125"/>
      <c r="FF138" s="125"/>
      <c r="FG138" s="125"/>
      <c r="FH138" s="125"/>
      <c r="FI138" s="125"/>
      <c r="FJ138" s="125"/>
      <c r="FK138" s="125"/>
      <c r="FL138" s="125"/>
      <c r="FM138" s="125"/>
      <c r="FN138" s="125"/>
      <c r="FO138" s="125"/>
      <c r="FP138" s="125"/>
      <c r="FQ138" s="125"/>
      <c r="FR138" s="125"/>
      <c r="FS138" s="125"/>
      <c r="FT138" s="125"/>
      <c r="FU138" s="125"/>
      <c r="FV138" s="125"/>
      <c r="FW138" s="125"/>
      <c r="FX138" s="125"/>
      <c r="FY138" s="125"/>
      <c r="FZ138" s="125"/>
      <c r="GA138" s="125"/>
      <c r="GB138" s="125"/>
      <c r="GC138" s="125"/>
      <c r="GD138" s="125"/>
      <c r="GE138" s="125"/>
      <c r="GF138" s="125"/>
      <c r="GG138" s="125"/>
      <c r="GH138" s="125"/>
      <c r="GI138" s="125"/>
      <c r="GJ138" s="125"/>
      <c r="GK138" s="125"/>
      <c r="GL138" s="125"/>
      <c r="GM138" s="125"/>
      <c r="GN138" s="125"/>
      <c r="GO138" s="125"/>
      <c r="GP138" s="125"/>
      <c r="GQ138" s="125"/>
      <c r="GR138" s="125"/>
      <c r="GS138" s="125"/>
      <c r="GT138" s="125"/>
      <c r="GU138" s="125"/>
      <c r="GV138" s="125"/>
      <c r="GW138" s="125"/>
      <c r="GX138" s="125"/>
      <c r="GY138" s="125"/>
      <c r="GZ138" s="125"/>
      <c r="HA138" s="125"/>
      <c r="HB138" s="125"/>
      <c r="HC138" s="125"/>
      <c r="HD138" s="125"/>
      <c r="HE138" s="125"/>
      <c r="HF138" s="125"/>
      <c r="HG138" s="125"/>
      <c r="HH138" s="125"/>
      <c r="HI138" s="125"/>
      <c r="HJ138" s="125"/>
      <c r="HK138" s="125"/>
      <c r="HL138" s="125"/>
      <c r="HM138" s="125"/>
      <c r="HN138" s="125"/>
      <c r="HO138" s="125"/>
      <c r="HP138" s="125"/>
      <c r="HQ138" s="125"/>
      <c r="HR138" s="125"/>
      <c r="HS138" s="125"/>
      <c r="HT138" s="125"/>
      <c r="HU138" s="125"/>
      <c r="HV138" s="125"/>
      <c r="HW138" s="125"/>
      <c r="HX138" s="125"/>
      <c r="HY138" s="125"/>
      <c r="HZ138" s="125"/>
      <c r="IA138" s="125"/>
      <c r="IB138" s="125"/>
      <c r="IC138" s="125"/>
      <c r="ID138" s="125"/>
      <c r="IE138" s="125"/>
      <c r="IF138" s="125"/>
      <c r="IG138" s="125"/>
      <c r="IH138" s="125"/>
      <c r="II138" s="125"/>
      <c r="IJ138" s="125"/>
      <c r="IK138" s="125"/>
      <c r="IL138" s="125"/>
      <c r="IM138" s="125"/>
      <c r="IN138" s="125"/>
      <c r="IO138" s="125"/>
      <c r="IP138" s="125"/>
      <c r="IQ138" s="125"/>
      <c r="IR138" s="125"/>
      <c r="IS138" s="125"/>
      <c r="IT138" s="125"/>
      <c r="IU138" s="125"/>
      <c r="IV138" s="125"/>
    </row>
    <row r="139" spans="1:256" s="3" customFormat="1">
      <c r="A139" s="16">
        <v>20</v>
      </c>
      <c r="B139" s="17">
        <v>43045</v>
      </c>
      <c r="C139" s="18"/>
      <c r="D139" s="19" t="s">
        <v>179</v>
      </c>
      <c r="E139" s="20" t="s">
        <v>193</v>
      </c>
      <c r="F139" s="120" t="s">
        <v>198</v>
      </c>
      <c r="G139" s="58">
        <v>1707</v>
      </c>
      <c r="H139" s="121">
        <f>166200+1488000</f>
        <v>1654200</v>
      </c>
      <c r="I139" s="24">
        <v>1575429</v>
      </c>
      <c r="J139" s="122"/>
      <c r="K139" s="24">
        <f t="shared" si="9"/>
        <v>1575429</v>
      </c>
      <c r="L139" s="123"/>
      <c r="M139" s="24">
        <f t="shared" si="10"/>
        <v>0</v>
      </c>
      <c r="N139" s="124">
        <f t="shared" si="11"/>
        <v>1575429</v>
      </c>
      <c r="O139" s="107"/>
    </row>
    <row r="140" spans="1:256" s="3" customFormat="1">
      <c r="A140" s="16">
        <v>21</v>
      </c>
      <c r="B140" s="29">
        <v>43004</v>
      </c>
      <c r="C140" s="18"/>
      <c r="D140" s="19" t="s">
        <v>179</v>
      </c>
      <c r="E140" s="20" t="s">
        <v>196</v>
      </c>
      <c r="F140" s="82" t="s">
        <v>199</v>
      </c>
      <c r="G140" s="58">
        <v>1707</v>
      </c>
      <c r="H140" s="121">
        <f>60000+1488000</f>
        <v>1548000</v>
      </c>
      <c r="I140" s="24">
        <v>1474286</v>
      </c>
      <c r="J140" s="122"/>
      <c r="K140" s="24">
        <f t="shared" si="9"/>
        <v>1474286</v>
      </c>
      <c r="L140" s="123"/>
      <c r="M140" s="24">
        <f t="shared" si="10"/>
        <v>0</v>
      </c>
      <c r="N140" s="27">
        <f t="shared" si="11"/>
        <v>1474286</v>
      </c>
      <c r="O140" s="28"/>
    </row>
    <row r="141" spans="1:256" s="3" customFormat="1">
      <c r="A141" s="16">
        <v>22</v>
      </c>
      <c r="B141" s="29">
        <v>43074</v>
      </c>
      <c r="C141" s="18"/>
      <c r="D141" s="19" t="s">
        <v>200</v>
      </c>
      <c r="E141" s="20" t="s">
        <v>201</v>
      </c>
      <c r="F141" s="82" t="s">
        <v>202</v>
      </c>
      <c r="G141" s="58">
        <v>1707</v>
      </c>
      <c r="H141" s="121">
        <v>1450800</v>
      </c>
      <c r="I141" s="24"/>
      <c r="J141" s="122">
        <f>SUM(H141)/1.05</f>
        <v>1381714.2857142857</v>
      </c>
      <c r="K141" s="24">
        <f t="shared" si="9"/>
        <v>1381714.2857142857</v>
      </c>
      <c r="L141" s="123"/>
      <c r="M141" s="24">
        <f t="shared" si="10"/>
        <v>0</v>
      </c>
      <c r="N141" s="27">
        <f t="shared" si="11"/>
        <v>1381714.2857142857</v>
      </c>
      <c r="O141" s="107"/>
      <c r="AF141" s="125"/>
      <c r="AG141" s="125"/>
      <c r="AH141" s="125"/>
      <c r="AI141" s="125"/>
      <c r="AJ141" s="125"/>
      <c r="AK141" s="125"/>
      <c r="AL141" s="125"/>
      <c r="AM141" s="125"/>
      <c r="AN141" s="125"/>
      <c r="AO141" s="125"/>
      <c r="AP141" s="125"/>
      <c r="AQ141" s="125"/>
      <c r="AR141" s="125"/>
      <c r="AS141" s="125"/>
      <c r="AT141" s="125"/>
      <c r="AU141" s="125"/>
      <c r="AV141" s="125"/>
      <c r="AW141" s="125"/>
      <c r="AX141" s="125"/>
      <c r="AY141" s="125"/>
      <c r="AZ141" s="125"/>
      <c r="BA141" s="125"/>
      <c r="BB141" s="125"/>
      <c r="BC141" s="125"/>
      <c r="BD141" s="125"/>
      <c r="BE141" s="125"/>
      <c r="BF141" s="125"/>
      <c r="BG141" s="125"/>
      <c r="BH141" s="125"/>
      <c r="BI141" s="125"/>
      <c r="BJ141" s="125"/>
      <c r="BK141" s="125"/>
      <c r="BL141" s="125"/>
      <c r="BM141" s="125"/>
      <c r="BN141" s="125"/>
      <c r="BO141" s="125"/>
      <c r="BP141" s="125"/>
      <c r="BQ141" s="125"/>
      <c r="BR141" s="125"/>
      <c r="BS141" s="125"/>
      <c r="BT141" s="125"/>
      <c r="BU141" s="125"/>
      <c r="BV141" s="125"/>
      <c r="BW141" s="125"/>
      <c r="BX141" s="125"/>
      <c r="BY141" s="125"/>
      <c r="BZ141" s="125"/>
      <c r="CA141" s="125"/>
      <c r="CB141" s="125"/>
      <c r="CC141" s="125"/>
      <c r="CD141" s="125"/>
      <c r="CE141" s="125"/>
      <c r="CF141" s="125"/>
      <c r="CG141" s="125"/>
      <c r="CH141" s="125"/>
      <c r="CI141" s="125"/>
      <c r="CJ141" s="125"/>
      <c r="CK141" s="125"/>
      <c r="CL141" s="125"/>
      <c r="CM141" s="125"/>
      <c r="CN141" s="125"/>
      <c r="CO141" s="125"/>
      <c r="CP141" s="125"/>
      <c r="CQ141" s="125"/>
      <c r="CR141" s="125"/>
      <c r="CS141" s="125"/>
      <c r="CT141" s="125"/>
      <c r="CU141" s="125"/>
      <c r="CV141" s="125"/>
      <c r="CW141" s="125"/>
      <c r="CX141" s="125"/>
      <c r="CY141" s="125"/>
      <c r="CZ141" s="125"/>
      <c r="DA141" s="125"/>
      <c r="DB141" s="125"/>
      <c r="DC141" s="125"/>
      <c r="DD141" s="125"/>
      <c r="DE141" s="125"/>
      <c r="DF141" s="125"/>
      <c r="DG141" s="125"/>
      <c r="DH141" s="125"/>
      <c r="DI141" s="125"/>
      <c r="DJ141" s="125"/>
      <c r="DK141" s="125"/>
      <c r="DL141" s="125"/>
      <c r="DM141" s="125"/>
      <c r="DN141" s="125"/>
      <c r="DO141" s="125"/>
      <c r="DP141" s="125"/>
      <c r="DQ141" s="125"/>
      <c r="DR141" s="125"/>
      <c r="DS141" s="125"/>
      <c r="DT141" s="125"/>
      <c r="DU141" s="125"/>
      <c r="DV141" s="125"/>
      <c r="DW141" s="125"/>
      <c r="DX141" s="125"/>
      <c r="DY141" s="125"/>
      <c r="DZ141" s="125"/>
      <c r="EA141" s="125"/>
      <c r="EB141" s="125"/>
      <c r="EC141" s="125"/>
      <c r="ED141" s="125"/>
      <c r="EE141" s="125"/>
      <c r="EF141" s="125"/>
      <c r="EG141" s="125"/>
      <c r="EH141" s="125"/>
      <c r="EI141" s="125"/>
      <c r="EJ141" s="125"/>
      <c r="EK141" s="125"/>
      <c r="EL141" s="125"/>
      <c r="EM141" s="125"/>
      <c r="EN141" s="125"/>
      <c r="EO141" s="125"/>
      <c r="EP141" s="125"/>
      <c r="EQ141" s="125"/>
      <c r="ER141" s="125"/>
      <c r="ES141" s="125"/>
      <c r="ET141" s="125"/>
      <c r="EU141" s="125"/>
      <c r="EV141" s="125"/>
      <c r="EW141" s="125"/>
      <c r="EX141" s="125"/>
      <c r="EY141" s="125"/>
      <c r="EZ141" s="125"/>
      <c r="FA141" s="125"/>
      <c r="FB141" s="125"/>
      <c r="FC141" s="125"/>
      <c r="FD141" s="125"/>
      <c r="FE141" s="125"/>
      <c r="FF141" s="125"/>
      <c r="FG141" s="125"/>
      <c r="FH141" s="125"/>
      <c r="FI141" s="125"/>
      <c r="FJ141" s="125"/>
      <c r="FK141" s="125"/>
      <c r="FL141" s="125"/>
      <c r="FM141" s="125"/>
      <c r="FN141" s="125"/>
      <c r="FO141" s="125"/>
      <c r="FP141" s="125"/>
      <c r="FQ141" s="125"/>
      <c r="FR141" s="125"/>
      <c r="FS141" s="125"/>
      <c r="FT141" s="125"/>
      <c r="FU141" s="125"/>
      <c r="FV141" s="125"/>
      <c r="FW141" s="125"/>
      <c r="FX141" s="125"/>
      <c r="FY141" s="125"/>
      <c r="FZ141" s="125"/>
      <c r="GA141" s="125"/>
      <c r="GB141" s="125"/>
      <c r="GC141" s="125"/>
      <c r="GD141" s="125"/>
      <c r="GE141" s="125"/>
      <c r="GF141" s="125"/>
      <c r="GG141" s="125"/>
      <c r="GH141" s="125"/>
      <c r="GI141" s="125"/>
      <c r="GJ141" s="125"/>
      <c r="GK141" s="125"/>
      <c r="GL141" s="125"/>
      <c r="GM141" s="125"/>
      <c r="GN141" s="125"/>
      <c r="GO141" s="125"/>
      <c r="GP141" s="125"/>
      <c r="GQ141" s="125"/>
      <c r="GR141" s="125"/>
      <c r="GS141" s="125"/>
      <c r="GT141" s="125"/>
      <c r="GU141" s="125"/>
      <c r="GV141" s="125"/>
      <c r="GW141" s="125"/>
      <c r="GX141" s="125"/>
      <c r="GY141" s="125"/>
      <c r="GZ141" s="125"/>
      <c r="HA141" s="125"/>
      <c r="HB141" s="125"/>
      <c r="HC141" s="125"/>
      <c r="HD141" s="125"/>
      <c r="HE141" s="125"/>
      <c r="HF141" s="125"/>
      <c r="HG141" s="125"/>
      <c r="HH141" s="125"/>
      <c r="HI141" s="125"/>
      <c r="HJ141" s="125"/>
      <c r="HK141" s="125"/>
      <c r="HL141" s="125"/>
      <c r="HM141" s="125"/>
      <c r="HN141" s="125"/>
      <c r="HO141" s="125"/>
      <c r="HP141" s="125"/>
      <c r="HQ141" s="125"/>
      <c r="HR141" s="125"/>
      <c r="HS141" s="125"/>
      <c r="HT141" s="125"/>
      <c r="HU141" s="125"/>
      <c r="HV141" s="125"/>
      <c r="HW141" s="125"/>
      <c r="HX141" s="125"/>
      <c r="HY141" s="125"/>
      <c r="HZ141" s="125"/>
      <c r="IA141" s="125"/>
      <c r="IB141" s="125"/>
      <c r="IC141" s="125"/>
      <c r="ID141" s="125"/>
      <c r="IE141" s="125"/>
      <c r="IF141" s="125"/>
      <c r="IG141" s="125"/>
      <c r="IH141" s="125"/>
      <c r="II141" s="125"/>
      <c r="IJ141" s="125"/>
      <c r="IK141" s="125"/>
      <c r="IL141" s="125"/>
      <c r="IM141" s="125"/>
      <c r="IN141" s="125"/>
      <c r="IO141" s="125"/>
      <c r="IP141" s="125"/>
      <c r="IQ141" s="125"/>
      <c r="IR141" s="125"/>
      <c r="IS141" s="125"/>
      <c r="IT141" s="125"/>
      <c r="IU141" s="125"/>
      <c r="IV141" s="125"/>
    </row>
    <row r="142" spans="1:256" s="3" customFormat="1">
      <c r="A142" s="16">
        <v>23</v>
      </c>
      <c r="B142" s="17">
        <v>43052</v>
      </c>
      <c r="C142" s="18"/>
      <c r="D142" s="19" t="s">
        <v>200</v>
      </c>
      <c r="E142" s="20" t="s">
        <v>203</v>
      </c>
      <c r="F142" s="62" t="s">
        <v>204</v>
      </c>
      <c r="G142" s="63">
        <v>1708</v>
      </c>
      <c r="H142" s="121">
        <f>14400+1962300</f>
        <v>1976700</v>
      </c>
      <c r="I142" s="24">
        <v>1882571</v>
      </c>
      <c r="J142" s="122"/>
      <c r="K142" s="24">
        <f t="shared" si="9"/>
        <v>1882571</v>
      </c>
      <c r="L142" s="123"/>
      <c r="M142" s="24">
        <f t="shared" si="10"/>
        <v>0</v>
      </c>
      <c r="N142" s="27">
        <f t="shared" si="11"/>
        <v>1882571</v>
      </c>
      <c r="O142" s="107"/>
    </row>
    <row r="143" spans="1:256" s="3" customFormat="1">
      <c r="A143" s="16">
        <v>24</v>
      </c>
      <c r="B143" s="29">
        <v>43070</v>
      </c>
      <c r="C143" s="18"/>
      <c r="D143" s="19" t="s">
        <v>200</v>
      </c>
      <c r="E143" s="20" t="s">
        <v>203</v>
      </c>
      <c r="F143" s="82" t="s">
        <v>205</v>
      </c>
      <c r="G143" s="58">
        <v>1708</v>
      </c>
      <c r="H143" s="121">
        <f>14400+1962300</f>
        <v>1976700</v>
      </c>
      <c r="I143" s="24"/>
      <c r="J143" s="122">
        <f>SUM(H143)/1.05</f>
        <v>1882571.4285714284</v>
      </c>
      <c r="K143" s="24">
        <f t="shared" si="9"/>
        <v>1882571.4285714284</v>
      </c>
      <c r="L143" s="123"/>
      <c r="M143" s="24">
        <f t="shared" si="10"/>
        <v>0</v>
      </c>
      <c r="N143" s="27">
        <f t="shared" si="11"/>
        <v>1882571.4285714284</v>
      </c>
      <c r="O143" s="107"/>
    </row>
    <row r="144" spans="1:256" s="3" customFormat="1">
      <c r="A144" s="16">
        <v>25</v>
      </c>
      <c r="B144" s="29">
        <v>43004</v>
      </c>
      <c r="C144" s="18"/>
      <c r="D144" s="19" t="s">
        <v>200</v>
      </c>
      <c r="E144" s="20" t="s">
        <v>206</v>
      </c>
      <c r="F144" s="82" t="s">
        <v>207</v>
      </c>
      <c r="G144" s="58">
        <v>1707</v>
      </c>
      <c r="H144" s="121">
        <f>20700+1674000</f>
        <v>1694700</v>
      </c>
      <c r="I144" s="24">
        <v>1614000</v>
      </c>
      <c r="J144" s="122"/>
      <c r="K144" s="24">
        <f t="shared" si="9"/>
        <v>1614000</v>
      </c>
      <c r="L144" s="123"/>
      <c r="M144" s="24">
        <f t="shared" si="10"/>
        <v>0</v>
      </c>
      <c r="N144" s="27">
        <f t="shared" si="11"/>
        <v>1614000</v>
      </c>
      <c r="O144" s="28"/>
    </row>
    <row r="145" spans="1:256" s="3" customFormat="1">
      <c r="A145" s="16">
        <v>26</v>
      </c>
      <c r="B145" s="17">
        <v>43004</v>
      </c>
      <c r="C145" s="18"/>
      <c r="D145" s="19" t="s">
        <v>200</v>
      </c>
      <c r="E145" s="20" t="s">
        <v>206</v>
      </c>
      <c r="F145" s="120" t="s">
        <v>208</v>
      </c>
      <c r="G145" s="58">
        <v>1707</v>
      </c>
      <c r="H145" s="121">
        <f>20700+1674000</f>
        <v>1694700</v>
      </c>
      <c r="I145" s="24">
        <v>1614000</v>
      </c>
      <c r="J145" s="122"/>
      <c r="K145" s="24">
        <f t="shared" si="9"/>
        <v>1614000</v>
      </c>
      <c r="L145" s="123"/>
      <c r="M145" s="24">
        <f t="shared" si="10"/>
        <v>0</v>
      </c>
      <c r="N145" s="27">
        <f t="shared" si="11"/>
        <v>1614000</v>
      </c>
      <c r="O145" s="28"/>
      <c r="AF145" s="125"/>
      <c r="AG145" s="125"/>
      <c r="AH145" s="125"/>
      <c r="AI145" s="125"/>
      <c r="AJ145" s="125"/>
      <c r="AK145" s="125"/>
      <c r="AL145" s="125"/>
      <c r="AM145" s="125"/>
      <c r="AN145" s="125"/>
      <c r="AO145" s="125"/>
      <c r="AP145" s="125"/>
      <c r="AQ145" s="125"/>
      <c r="AR145" s="125"/>
      <c r="AS145" s="125"/>
      <c r="AT145" s="125"/>
      <c r="AU145" s="125"/>
      <c r="AV145" s="125"/>
      <c r="AW145" s="125"/>
      <c r="AX145" s="125"/>
      <c r="AY145" s="125"/>
      <c r="AZ145" s="125"/>
      <c r="BA145" s="125"/>
      <c r="BB145" s="125"/>
      <c r="BC145" s="125"/>
      <c r="BD145" s="125"/>
      <c r="BE145" s="125"/>
      <c r="BF145" s="125"/>
      <c r="BG145" s="125"/>
      <c r="BH145" s="125"/>
      <c r="BI145" s="125"/>
      <c r="BJ145" s="125"/>
      <c r="BK145" s="125"/>
      <c r="BL145" s="125"/>
      <c r="BM145" s="125"/>
      <c r="BN145" s="125"/>
      <c r="BO145" s="125"/>
      <c r="BP145" s="125"/>
      <c r="BQ145" s="125"/>
      <c r="BR145" s="125"/>
      <c r="BS145" s="125"/>
      <c r="BT145" s="125"/>
      <c r="BU145" s="125"/>
      <c r="BV145" s="125"/>
      <c r="BW145" s="125"/>
      <c r="BX145" s="125"/>
      <c r="BY145" s="125"/>
      <c r="BZ145" s="125"/>
      <c r="CA145" s="125"/>
      <c r="CB145" s="125"/>
      <c r="CC145" s="125"/>
      <c r="CD145" s="125"/>
      <c r="CE145" s="125"/>
      <c r="CF145" s="125"/>
      <c r="CG145" s="125"/>
      <c r="CH145" s="125"/>
      <c r="CI145" s="125"/>
      <c r="CJ145" s="125"/>
      <c r="CK145" s="125"/>
      <c r="CL145" s="125"/>
      <c r="CM145" s="125"/>
      <c r="CN145" s="125"/>
      <c r="CO145" s="125"/>
      <c r="CP145" s="125"/>
      <c r="CQ145" s="125"/>
      <c r="CR145" s="125"/>
      <c r="CS145" s="125"/>
      <c r="CT145" s="125"/>
      <c r="CU145" s="125"/>
      <c r="CV145" s="125"/>
      <c r="CW145" s="125"/>
      <c r="CX145" s="125"/>
      <c r="CY145" s="125"/>
      <c r="CZ145" s="125"/>
      <c r="DA145" s="125"/>
      <c r="DB145" s="125"/>
      <c r="DC145" s="125"/>
      <c r="DD145" s="125"/>
      <c r="DE145" s="125"/>
      <c r="DF145" s="125"/>
      <c r="DG145" s="125"/>
      <c r="DH145" s="125"/>
      <c r="DI145" s="125"/>
      <c r="DJ145" s="125"/>
      <c r="DK145" s="125"/>
      <c r="DL145" s="125"/>
      <c r="DM145" s="125"/>
      <c r="DN145" s="125"/>
      <c r="DO145" s="125"/>
      <c r="DP145" s="125"/>
      <c r="DQ145" s="125"/>
      <c r="DR145" s="125"/>
      <c r="DS145" s="125"/>
      <c r="DT145" s="125"/>
      <c r="DU145" s="125"/>
      <c r="DV145" s="125"/>
      <c r="DW145" s="125"/>
      <c r="DX145" s="125"/>
      <c r="DY145" s="125"/>
      <c r="DZ145" s="125"/>
      <c r="EA145" s="125"/>
      <c r="EB145" s="125"/>
      <c r="EC145" s="125"/>
      <c r="ED145" s="125"/>
      <c r="EE145" s="125"/>
      <c r="EF145" s="125"/>
      <c r="EG145" s="125"/>
      <c r="EH145" s="125"/>
      <c r="EI145" s="125"/>
      <c r="EJ145" s="125"/>
      <c r="EK145" s="125"/>
      <c r="EL145" s="125"/>
      <c r="EM145" s="125"/>
      <c r="EN145" s="125"/>
      <c r="EO145" s="125"/>
      <c r="EP145" s="125"/>
      <c r="EQ145" s="125"/>
      <c r="ER145" s="125"/>
      <c r="ES145" s="125"/>
      <c r="ET145" s="125"/>
      <c r="EU145" s="125"/>
      <c r="EV145" s="125"/>
      <c r="EW145" s="125"/>
      <c r="EX145" s="125"/>
      <c r="EY145" s="125"/>
      <c r="EZ145" s="125"/>
      <c r="FA145" s="125"/>
      <c r="FB145" s="125"/>
      <c r="FC145" s="125"/>
      <c r="FD145" s="125"/>
      <c r="FE145" s="125"/>
      <c r="FF145" s="125"/>
      <c r="FG145" s="125"/>
      <c r="FH145" s="125"/>
      <c r="FI145" s="125"/>
      <c r="FJ145" s="125"/>
      <c r="FK145" s="125"/>
      <c r="FL145" s="125"/>
      <c r="FM145" s="125"/>
      <c r="FN145" s="125"/>
      <c r="FO145" s="125"/>
      <c r="FP145" s="125"/>
      <c r="FQ145" s="125"/>
      <c r="FR145" s="125"/>
      <c r="FS145" s="125"/>
      <c r="FT145" s="125"/>
      <c r="FU145" s="125"/>
      <c r="FV145" s="125"/>
      <c r="FW145" s="125"/>
      <c r="FX145" s="125"/>
      <c r="FY145" s="125"/>
      <c r="FZ145" s="125"/>
      <c r="GA145" s="125"/>
      <c r="GB145" s="125"/>
      <c r="GC145" s="125"/>
      <c r="GD145" s="125"/>
      <c r="GE145" s="125"/>
      <c r="GF145" s="125"/>
      <c r="GG145" s="125"/>
      <c r="GH145" s="125"/>
      <c r="GI145" s="125"/>
      <c r="GJ145" s="125"/>
      <c r="GK145" s="125"/>
      <c r="GL145" s="125"/>
      <c r="GM145" s="125"/>
      <c r="GN145" s="125"/>
      <c r="GO145" s="125"/>
      <c r="GP145" s="125"/>
      <c r="GQ145" s="125"/>
      <c r="GR145" s="125"/>
      <c r="GS145" s="125"/>
      <c r="GT145" s="125"/>
      <c r="GU145" s="125"/>
      <c r="GV145" s="125"/>
      <c r="GW145" s="125"/>
      <c r="GX145" s="125"/>
      <c r="GY145" s="125"/>
      <c r="GZ145" s="125"/>
      <c r="HA145" s="125"/>
      <c r="HB145" s="125"/>
      <c r="HC145" s="125"/>
      <c r="HD145" s="125"/>
      <c r="HE145" s="125"/>
      <c r="HF145" s="125"/>
      <c r="HG145" s="125"/>
      <c r="HH145" s="125"/>
      <c r="HI145" s="125"/>
      <c r="HJ145" s="125"/>
      <c r="HK145" s="125"/>
      <c r="HL145" s="125"/>
      <c r="HM145" s="125"/>
      <c r="HN145" s="125"/>
      <c r="HO145" s="125"/>
      <c r="HP145" s="125"/>
      <c r="HQ145" s="125"/>
      <c r="HR145" s="125"/>
      <c r="HS145" s="125"/>
      <c r="HT145" s="125"/>
      <c r="HU145" s="125"/>
      <c r="HV145" s="125"/>
      <c r="HW145" s="125"/>
      <c r="HX145" s="125"/>
      <c r="HY145" s="125"/>
      <c r="HZ145" s="125"/>
      <c r="IA145" s="125"/>
      <c r="IB145" s="125"/>
      <c r="IC145" s="125"/>
      <c r="ID145" s="125"/>
      <c r="IE145" s="125"/>
      <c r="IF145" s="125"/>
      <c r="IG145" s="125"/>
      <c r="IH145" s="125"/>
      <c r="II145" s="125"/>
      <c r="IJ145" s="125"/>
      <c r="IK145" s="125"/>
      <c r="IL145" s="125"/>
      <c r="IM145" s="125"/>
      <c r="IN145" s="125"/>
      <c r="IO145" s="125"/>
      <c r="IP145" s="125"/>
      <c r="IQ145" s="125"/>
      <c r="IR145" s="125"/>
      <c r="IS145" s="125"/>
      <c r="IT145" s="125"/>
      <c r="IU145" s="125"/>
      <c r="IV145" s="125"/>
    </row>
    <row r="146" spans="1:256" s="3" customFormat="1">
      <c r="A146" s="16">
        <v>27</v>
      </c>
      <c r="B146" s="17">
        <v>43069</v>
      </c>
      <c r="C146" s="18"/>
      <c r="D146" s="19" t="s">
        <v>200</v>
      </c>
      <c r="E146" s="20" t="s">
        <v>209</v>
      </c>
      <c r="F146" s="120" t="s">
        <v>210</v>
      </c>
      <c r="G146" s="58">
        <v>1708</v>
      </c>
      <c r="H146" s="121">
        <v>1674000</v>
      </c>
      <c r="I146" s="24">
        <v>1594286</v>
      </c>
      <c r="J146" s="122"/>
      <c r="K146" s="24">
        <f t="shared" si="9"/>
        <v>1594286</v>
      </c>
      <c r="L146" s="123"/>
      <c r="M146" s="24">
        <f t="shared" si="10"/>
        <v>0</v>
      </c>
      <c r="N146" s="124">
        <f t="shared" si="11"/>
        <v>1594286</v>
      </c>
      <c r="O146" s="126"/>
      <c r="AF146" s="125"/>
      <c r="AG146" s="125"/>
      <c r="AH146" s="125"/>
      <c r="AI146" s="125"/>
      <c r="AJ146" s="125"/>
      <c r="AK146" s="125"/>
      <c r="AL146" s="125"/>
      <c r="AM146" s="125"/>
      <c r="AN146" s="125"/>
      <c r="AO146" s="125"/>
      <c r="AP146" s="125"/>
      <c r="AQ146" s="125"/>
      <c r="AR146" s="125"/>
      <c r="AS146" s="125"/>
      <c r="AT146" s="125"/>
      <c r="AU146" s="125"/>
      <c r="AV146" s="125"/>
      <c r="AW146" s="125"/>
      <c r="AX146" s="125"/>
      <c r="AY146" s="125"/>
      <c r="AZ146" s="125"/>
      <c r="BA146" s="125"/>
      <c r="BB146" s="125"/>
      <c r="BC146" s="125"/>
      <c r="BD146" s="125"/>
      <c r="BE146" s="125"/>
      <c r="BF146" s="125"/>
      <c r="BG146" s="125"/>
      <c r="BH146" s="125"/>
      <c r="BI146" s="125"/>
      <c r="BJ146" s="125"/>
      <c r="BK146" s="125"/>
      <c r="BL146" s="125"/>
      <c r="BM146" s="125"/>
      <c r="BN146" s="125"/>
      <c r="BO146" s="125"/>
      <c r="BP146" s="125"/>
      <c r="BQ146" s="125"/>
      <c r="BR146" s="125"/>
      <c r="BS146" s="125"/>
      <c r="BT146" s="125"/>
      <c r="BU146" s="125"/>
      <c r="BV146" s="125"/>
      <c r="BW146" s="125"/>
      <c r="BX146" s="125"/>
      <c r="BY146" s="125"/>
      <c r="BZ146" s="125"/>
      <c r="CA146" s="125"/>
      <c r="CB146" s="125"/>
      <c r="CC146" s="125"/>
      <c r="CD146" s="125"/>
      <c r="CE146" s="125"/>
      <c r="CF146" s="125"/>
      <c r="CG146" s="125"/>
      <c r="CH146" s="125"/>
      <c r="CI146" s="125"/>
      <c r="CJ146" s="125"/>
      <c r="CK146" s="125"/>
      <c r="CL146" s="125"/>
      <c r="CM146" s="125"/>
      <c r="CN146" s="125"/>
      <c r="CO146" s="125"/>
      <c r="CP146" s="125"/>
      <c r="CQ146" s="125"/>
      <c r="CR146" s="125"/>
      <c r="CS146" s="125"/>
      <c r="CT146" s="125"/>
      <c r="CU146" s="125"/>
      <c r="CV146" s="125"/>
      <c r="CW146" s="125"/>
      <c r="CX146" s="125"/>
      <c r="CY146" s="125"/>
      <c r="CZ146" s="125"/>
      <c r="DA146" s="125"/>
      <c r="DB146" s="125"/>
      <c r="DC146" s="125"/>
      <c r="DD146" s="125"/>
      <c r="DE146" s="125"/>
      <c r="DF146" s="125"/>
      <c r="DG146" s="125"/>
      <c r="DH146" s="125"/>
      <c r="DI146" s="125"/>
      <c r="DJ146" s="125"/>
      <c r="DK146" s="125"/>
      <c r="DL146" s="125"/>
      <c r="DM146" s="125"/>
      <c r="DN146" s="125"/>
      <c r="DO146" s="125"/>
      <c r="DP146" s="125"/>
      <c r="DQ146" s="125"/>
      <c r="DR146" s="125"/>
      <c r="DS146" s="125"/>
      <c r="DT146" s="125"/>
      <c r="DU146" s="125"/>
      <c r="DV146" s="125"/>
      <c r="DW146" s="125"/>
      <c r="DX146" s="125"/>
      <c r="DY146" s="125"/>
      <c r="DZ146" s="125"/>
      <c r="EA146" s="125"/>
      <c r="EB146" s="125"/>
      <c r="EC146" s="125"/>
      <c r="ED146" s="125"/>
      <c r="EE146" s="125"/>
      <c r="EF146" s="125"/>
      <c r="EG146" s="125"/>
      <c r="EH146" s="125"/>
      <c r="EI146" s="125"/>
      <c r="EJ146" s="125"/>
      <c r="EK146" s="125"/>
      <c r="EL146" s="125"/>
      <c r="EM146" s="125"/>
      <c r="EN146" s="125"/>
      <c r="EO146" s="125"/>
      <c r="EP146" s="125"/>
      <c r="EQ146" s="125"/>
      <c r="ER146" s="125"/>
      <c r="ES146" s="125"/>
      <c r="ET146" s="125"/>
      <c r="EU146" s="125"/>
      <c r="EV146" s="125"/>
      <c r="EW146" s="125"/>
      <c r="EX146" s="125"/>
      <c r="EY146" s="125"/>
      <c r="EZ146" s="125"/>
      <c r="FA146" s="125"/>
      <c r="FB146" s="125"/>
      <c r="FC146" s="125"/>
      <c r="FD146" s="125"/>
      <c r="FE146" s="125"/>
      <c r="FF146" s="125"/>
      <c r="FG146" s="125"/>
      <c r="FH146" s="125"/>
      <c r="FI146" s="125"/>
      <c r="FJ146" s="125"/>
      <c r="FK146" s="125"/>
      <c r="FL146" s="125"/>
      <c r="FM146" s="125"/>
      <c r="FN146" s="125"/>
      <c r="FO146" s="125"/>
      <c r="FP146" s="125"/>
      <c r="FQ146" s="125"/>
      <c r="FR146" s="125"/>
      <c r="FS146" s="125"/>
      <c r="FT146" s="125"/>
      <c r="FU146" s="125"/>
      <c r="FV146" s="125"/>
      <c r="FW146" s="125"/>
      <c r="FX146" s="125"/>
      <c r="FY146" s="125"/>
      <c r="FZ146" s="125"/>
      <c r="GA146" s="125"/>
      <c r="GB146" s="125"/>
      <c r="GC146" s="125"/>
      <c r="GD146" s="125"/>
      <c r="GE146" s="125"/>
      <c r="GF146" s="125"/>
      <c r="GG146" s="125"/>
      <c r="GH146" s="125"/>
      <c r="GI146" s="125"/>
      <c r="GJ146" s="125"/>
      <c r="GK146" s="125"/>
      <c r="GL146" s="125"/>
      <c r="GM146" s="125"/>
      <c r="GN146" s="125"/>
      <c r="GO146" s="125"/>
      <c r="GP146" s="125"/>
      <c r="GQ146" s="125"/>
      <c r="GR146" s="125"/>
      <c r="GS146" s="125"/>
      <c r="GT146" s="125"/>
      <c r="GU146" s="125"/>
      <c r="GV146" s="125"/>
      <c r="GW146" s="125"/>
      <c r="GX146" s="125"/>
      <c r="GY146" s="125"/>
      <c r="GZ146" s="125"/>
      <c r="HA146" s="125"/>
      <c r="HB146" s="125"/>
      <c r="HC146" s="125"/>
      <c r="HD146" s="125"/>
      <c r="HE146" s="125"/>
      <c r="HF146" s="125"/>
      <c r="HG146" s="125"/>
      <c r="HH146" s="125"/>
      <c r="HI146" s="125"/>
      <c r="HJ146" s="125"/>
      <c r="HK146" s="125"/>
      <c r="HL146" s="125"/>
      <c r="HM146" s="125"/>
      <c r="HN146" s="125"/>
      <c r="HO146" s="125"/>
      <c r="HP146" s="125"/>
      <c r="HQ146" s="125"/>
      <c r="HR146" s="125"/>
      <c r="HS146" s="125"/>
      <c r="HT146" s="125"/>
      <c r="HU146" s="125"/>
      <c r="HV146" s="125"/>
      <c r="HW146" s="125"/>
      <c r="HX146" s="125"/>
      <c r="HY146" s="125"/>
      <c r="HZ146" s="125"/>
      <c r="IA146" s="125"/>
      <c r="IB146" s="125"/>
      <c r="IC146" s="125"/>
      <c r="ID146" s="125"/>
      <c r="IE146" s="125"/>
      <c r="IF146" s="125"/>
      <c r="IG146" s="125"/>
      <c r="IH146" s="125"/>
      <c r="II146" s="125"/>
      <c r="IJ146" s="125"/>
      <c r="IK146" s="125"/>
      <c r="IL146" s="125"/>
      <c r="IM146" s="125"/>
      <c r="IN146" s="125"/>
      <c r="IO146" s="125"/>
      <c r="IP146" s="125"/>
      <c r="IQ146" s="125"/>
      <c r="IR146" s="125"/>
      <c r="IS146" s="125"/>
      <c r="IT146" s="125"/>
      <c r="IU146" s="125"/>
      <c r="IV146" s="125"/>
    </row>
    <row r="147" spans="1:256" s="3" customFormat="1">
      <c r="A147" s="16">
        <v>28</v>
      </c>
      <c r="B147" s="29">
        <v>43074</v>
      </c>
      <c r="C147" s="18"/>
      <c r="D147" s="19" t="s">
        <v>200</v>
      </c>
      <c r="E147" s="20" t="s">
        <v>209</v>
      </c>
      <c r="F147" s="62" t="s">
        <v>211</v>
      </c>
      <c r="G147" s="63">
        <v>1708</v>
      </c>
      <c r="H147" s="121">
        <v>1674000</v>
      </c>
      <c r="I147" s="24"/>
      <c r="J147" s="122">
        <f t="shared" ref="J147:J150" si="12">SUM(H147)/1.05</f>
        <v>1594285.7142857143</v>
      </c>
      <c r="K147" s="24">
        <f t="shared" si="9"/>
        <v>1594285.7142857143</v>
      </c>
      <c r="L147" s="123"/>
      <c r="M147" s="24">
        <f t="shared" si="10"/>
        <v>0</v>
      </c>
      <c r="N147" s="124">
        <f t="shared" si="11"/>
        <v>1594285.7142857143</v>
      </c>
      <c r="O147" s="107"/>
    </row>
    <row r="148" spans="1:256" s="3" customFormat="1">
      <c r="A148" s="16">
        <v>29</v>
      </c>
      <c r="B148" s="17">
        <v>43074</v>
      </c>
      <c r="C148" s="18"/>
      <c r="D148" s="19" t="s">
        <v>200</v>
      </c>
      <c r="E148" s="20" t="s">
        <v>209</v>
      </c>
      <c r="F148" s="120" t="s">
        <v>212</v>
      </c>
      <c r="G148" s="58">
        <v>1709</v>
      </c>
      <c r="H148" s="121">
        <v>1674000</v>
      </c>
      <c r="I148" s="24"/>
      <c r="J148" s="122">
        <f t="shared" si="12"/>
        <v>1594285.7142857143</v>
      </c>
      <c r="K148" s="24">
        <f t="shared" si="9"/>
        <v>1594285.7142857143</v>
      </c>
      <c r="L148" s="123"/>
      <c r="M148" s="24">
        <f t="shared" si="10"/>
        <v>0</v>
      </c>
      <c r="N148" s="27">
        <f t="shared" si="11"/>
        <v>1594285.7142857143</v>
      </c>
      <c r="O148" s="107"/>
    </row>
    <row r="149" spans="1:256" s="3" customFormat="1">
      <c r="A149" s="16">
        <v>30</v>
      </c>
      <c r="B149" s="29">
        <v>43074</v>
      </c>
      <c r="C149" s="18"/>
      <c r="D149" s="19" t="s">
        <v>200</v>
      </c>
      <c r="E149" s="20" t="s">
        <v>209</v>
      </c>
      <c r="F149" s="82" t="s">
        <v>213</v>
      </c>
      <c r="G149" s="58">
        <v>1709</v>
      </c>
      <c r="H149" s="121">
        <f>61200+1674000</f>
        <v>1735200</v>
      </c>
      <c r="I149" s="24"/>
      <c r="J149" s="122">
        <f t="shared" si="12"/>
        <v>1652571.4285714284</v>
      </c>
      <c r="K149" s="24">
        <f t="shared" si="9"/>
        <v>1652571.4285714284</v>
      </c>
      <c r="L149" s="123"/>
      <c r="M149" s="24">
        <f t="shared" si="10"/>
        <v>0</v>
      </c>
      <c r="N149" s="124">
        <f t="shared" si="11"/>
        <v>1652571.4285714284</v>
      </c>
      <c r="O149" s="107"/>
    </row>
    <row r="150" spans="1:256" s="3" customFormat="1">
      <c r="A150" s="16">
        <v>31</v>
      </c>
      <c r="B150" s="29">
        <v>43095</v>
      </c>
      <c r="C150" s="18"/>
      <c r="D150" s="19" t="s">
        <v>200</v>
      </c>
      <c r="E150" s="20" t="s">
        <v>209</v>
      </c>
      <c r="F150" s="82" t="s">
        <v>214</v>
      </c>
      <c r="G150" s="58">
        <v>1710</v>
      </c>
      <c r="H150" s="121">
        <v>1674000</v>
      </c>
      <c r="I150" s="24"/>
      <c r="J150" s="122">
        <f t="shared" si="12"/>
        <v>1594285.7142857143</v>
      </c>
      <c r="K150" s="24">
        <f t="shared" si="9"/>
        <v>1594285.7142857143</v>
      </c>
      <c r="L150" s="123"/>
      <c r="M150" s="24">
        <f t="shared" si="10"/>
        <v>0</v>
      </c>
      <c r="N150" s="124">
        <f t="shared" si="11"/>
        <v>1594285.7142857143</v>
      </c>
      <c r="O150" s="107"/>
    </row>
    <row r="151" spans="1:256" s="3" customFormat="1">
      <c r="A151" s="80">
        <v>1</v>
      </c>
      <c r="B151" s="29">
        <v>43066</v>
      </c>
      <c r="C151" s="18"/>
      <c r="D151" s="19" t="s">
        <v>164</v>
      </c>
      <c r="E151" s="20" t="s">
        <v>165</v>
      </c>
      <c r="F151" s="82" t="s">
        <v>215</v>
      </c>
      <c r="G151" s="58">
        <v>1707</v>
      </c>
      <c r="H151" s="121">
        <v>1469400</v>
      </c>
      <c r="I151" s="24">
        <v>1399429</v>
      </c>
      <c r="J151" s="122"/>
      <c r="K151" s="24">
        <f t="shared" si="9"/>
        <v>1399429</v>
      </c>
      <c r="L151" s="123">
        <v>1</v>
      </c>
      <c r="M151" s="24">
        <f t="shared" si="10"/>
        <v>1399429</v>
      </c>
      <c r="N151" s="124">
        <f t="shared" si="11"/>
        <v>0</v>
      </c>
      <c r="O151" s="107" t="s">
        <v>216</v>
      </c>
    </row>
    <row r="152" spans="1:256" s="3" customFormat="1">
      <c r="A152" s="80">
        <v>2</v>
      </c>
      <c r="B152" s="127">
        <v>43067</v>
      </c>
      <c r="C152" s="18"/>
      <c r="D152" s="19" t="s">
        <v>164</v>
      </c>
      <c r="E152" s="20" t="s">
        <v>165</v>
      </c>
      <c r="F152" s="120" t="s">
        <v>217</v>
      </c>
      <c r="G152" s="58">
        <v>1709</v>
      </c>
      <c r="H152" s="121">
        <v>1469400</v>
      </c>
      <c r="I152" s="24">
        <v>1399429</v>
      </c>
      <c r="J152" s="122"/>
      <c r="K152" s="24">
        <f t="shared" si="9"/>
        <v>1399429</v>
      </c>
      <c r="L152" s="123">
        <v>1</v>
      </c>
      <c r="M152" s="24">
        <f t="shared" si="10"/>
        <v>1399429</v>
      </c>
      <c r="N152" s="124">
        <f t="shared" si="11"/>
        <v>0</v>
      </c>
      <c r="O152" s="107" t="s">
        <v>216</v>
      </c>
    </row>
    <row r="153" spans="1:256" s="3" customFormat="1">
      <c r="A153" s="80">
        <v>3</v>
      </c>
      <c r="B153" s="17">
        <v>43045</v>
      </c>
      <c r="C153" s="18"/>
      <c r="D153" s="19" t="s">
        <v>172</v>
      </c>
      <c r="E153" s="20" t="s">
        <v>173</v>
      </c>
      <c r="F153" s="82" t="s">
        <v>218</v>
      </c>
      <c r="G153" s="58">
        <v>1707</v>
      </c>
      <c r="H153" s="121">
        <f>90000+1302000</f>
        <v>1392000</v>
      </c>
      <c r="I153" s="24">
        <v>1325714</v>
      </c>
      <c r="J153" s="122"/>
      <c r="K153" s="24">
        <f t="shared" si="9"/>
        <v>1325714</v>
      </c>
      <c r="L153" s="123">
        <v>1</v>
      </c>
      <c r="M153" s="24">
        <f t="shared" si="10"/>
        <v>1325714</v>
      </c>
      <c r="N153" s="124">
        <f t="shared" si="11"/>
        <v>0</v>
      </c>
      <c r="O153" s="107" t="s">
        <v>216</v>
      </c>
    </row>
    <row r="154" spans="1:256" s="3" customFormat="1">
      <c r="A154" s="80">
        <v>4</v>
      </c>
      <c r="B154" s="17">
        <v>43070</v>
      </c>
      <c r="C154" s="18"/>
      <c r="D154" s="19" t="s">
        <v>172</v>
      </c>
      <c r="E154" s="20" t="s">
        <v>173</v>
      </c>
      <c r="F154" s="82" t="s">
        <v>219</v>
      </c>
      <c r="G154" s="58">
        <v>1707</v>
      </c>
      <c r="H154" s="121">
        <f>60000+1302000</f>
        <v>1362000</v>
      </c>
      <c r="I154" s="24"/>
      <c r="J154" s="122">
        <f>SUM(H154)/1.05</f>
        <v>1297142.857142857</v>
      </c>
      <c r="K154" s="24">
        <f t="shared" si="9"/>
        <v>1297142.857142857</v>
      </c>
      <c r="L154" s="123">
        <v>1</v>
      </c>
      <c r="M154" s="24">
        <f t="shared" si="10"/>
        <v>1297142.857142857</v>
      </c>
      <c r="N154" s="124">
        <f t="shared" si="11"/>
        <v>0</v>
      </c>
      <c r="O154" s="107" t="s">
        <v>216</v>
      </c>
      <c r="AF154" s="125"/>
      <c r="AG154" s="125"/>
      <c r="AH154" s="125"/>
      <c r="AI154" s="125"/>
      <c r="AJ154" s="125"/>
      <c r="AK154" s="125"/>
      <c r="AL154" s="125"/>
      <c r="AM154" s="125"/>
      <c r="AN154" s="125"/>
      <c r="AO154" s="125"/>
      <c r="AP154" s="125"/>
      <c r="AQ154" s="125"/>
      <c r="AR154" s="125"/>
      <c r="AS154" s="125"/>
      <c r="AT154" s="125"/>
      <c r="AU154" s="125"/>
      <c r="AV154" s="125"/>
      <c r="AW154" s="125"/>
      <c r="AX154" s="125"/>
      <c r="AY154" s="125"/>
      <c r="AZ154" s="125"/>
      <c r="BA154" s="125"/>
      <c r="BB154" s="125"/>
      <c r="BC154" s="125"/>
      <c r="BD154" s="125"/>
      <c r="BE154" s="125"/>
      <c r="BF154" s="125"/>
      <c r="BG154" s="125"/>
      <c r="BH154" s="125"/>
      <c r="BI154" s="125"/>
      <c r="BJ154" s="125"/>
      <c r="BK154" s="125"/>
      <c r="BL154" s="125"/>
      <c r="BM154" s="125"/>
      <c r="BN154" s="125"/>
      <c r="BO154" s="125"/>
      <c r="BP154" s="125"/>
      <c r="BQ154" s="125"/>
      <c r="BR154" s="125"/>
      <c r="BS154" s="125"/>
      <c r="BT154" s="125"/>
      <c r="BU154" s="125"/>
      <c r="BV154" s="125"/>
      <c r="BW154" s="125"/>
      <c r="BX154" s="125"/>
      <c r="BY154" s="125"/>
      <c r="BZ154" s="125"/>
      <c r="CA154" s="125"/>
      <c r="CB154" s="125"/>
      <c r="CC154" s="125"/>
      <c r="CD154" s="125"/>
      <c r="CE154" s="125"/>
      <c r="CF154" s="125"/>
      <c r="CG154" s="125"/>
      <c r="CH154" s="125"/>
      <c r="CI154" s="125"/>
      <c r="CJ154" s="125"/>
      <c r="CK154" s="125"/>
      <c r="CL154" s="125"/>
      <c r="CM154" s="125"/>
      <c r="CN154" s="125"/>
      <c r="CO154" s="125"/>
      <c r="CP154" s="125"/>
      <c r="CQ154" s="125"/>
      <c r="CR154" s="125"/>
      <c r="CS154" s="125"/>
      <c r="CT154" s="125"/>
      <c r="CU154" s="125"/>
      <c r="CV154" s="125"/>
      <c r="CW154" s="125"/>
      <c r="CX154" s="125"/>
      <c r="CY154" s="125"/>
      <c r="CZ154" s="125"/>
      <c r="DA154" s="125"/>
      <c r="DB154" s="125"/>
      <c r="DC154" s="125"/>
      <c r="DD154" s="125"/>
      <c r="DE154" s="125"/>
      <c r="DF154" s="125"/>
      <c r="DG154" s="125"/>
      <c r="DH154" s="125"/>
      <c r="DI154" s="125"/>
      <c r="DJ154" s="125"/>
      <c r="DK154" s="125"/>
      <c r="DL154" s="125"/>
      <c r="DM154" s="125"/>
      <c r="DN154" s="125"/>
      <c r="DO154" s="125"/>
      <c r="DP154" s="125"/>
      <c r="DQ154" s="125"/>
      <c r="DR154" s="125"/>
      <c r="DS154" s="125"/>
      <c r="DT154" s="125"/>
      <c r="DU154" s="125"/>
      <c r="DV154" s="125"/>
      <c r="DW154" s="125"/>
      <c r="DX154" s="125"/>
      <c r="DY154" s="125"/>
      <c r="DZ154" s="125"/>
      <c r="EA154" s="125"/>
      <c r="EB154" s="125"/>
      <c r="EC154" s="125"/>
      <c r="ED154" s="125"/>
      <c r="EE154" s="125"/>
      <c r="EF154" s="125"/>
      <c r="EG154" s="125"/>
      <c r="EH154" s="125"/>
      <c r="EI154" s="125"/>
      <c r="EJ154" s="125"/>
      <c r="EK154" s="125"/>
      <c r="EL154" s="125"/>
      <c r="EM154" s="125"/>
      <c r="EN154" s="125"/>
      <c r="EO154" s="125"/>
      <c r="EP154" s="125"/>
      <c r="EQ154" s="125"/>
      <c r="ER154" s="125"/>
      <c r="ES154" s="125"/>
      <c r="ET154" s="125"/>
      <c r="EU154" s="125"/>
      <c r="EV154" s="125"/>
      <c r="EW154" s="125"/>
      <c r="EX154" s="125"/>
      <c r="EY154" s="125"/>
      <c r="EZ154" s="125"/>
      <c r="FA154" s="125"/>
      <c r="FB154" s="125"/>
      <c r="FC154" s="125"/>
      <c r="FD154" s="125"/>
      <c r="FE154" s="125"/>
      <c r="FF154" s="125"/>
      <c r="FG154" s="125"/>
      <c r="FH154" s="125"/>
      <c r="FI154" s="125"/>
      <c r="FJ154" s="125"/>
      <c r="FK154" s="125"/>
      <c r="FL154" s="125"/>
      <c r="FM154" s="125"/>
      <c r="FN154" s="125"/>
      <c r="FO154" s="125"/>
      <c r="FP154" s="125"/>
      <c r="FQ154" s="125"/>
      <c r="FR154" s="125"/>
      <c r="FS154" s="125"/>
      <c r="FT154" s="125"/>
      <c r="FU154" s="125"/>
      <c r="FV154" s="125"/>
      <c r="FW154" s="125"/>
      <c r="FX154" s="125"/>
      <c r="FY154" s="125"/>
      <c r="FZ154" s="125"/>
      <c r="GA154" s="125"/>
      <c r="GB154" s="125"/>
      <c r="GC154" s="125"/>
      <c r="GD154" s="125"/>
      <c r="GE154" s="125"/>
      <c r="GF154" s="125"/>
      <c r="GG154" s="125"/>
      <c r="GH154" s="125"/>
      <c r="GI154" s="125"/>
      <c r="GJ154" s="125"/>
      <c r="GK154" s="125"/>
      <c r="GL154" s="125"/>
      <c r="GM154" s="125"/>
      <c r="GN154" s="125"/>
      <c r="GO154" s="125"/>
      <c r="GP154" s="125"/>
      <c r="GQ154" s="125"/>
      <c r="GR154" s="125"/>
      <c r="GS154" s="125"/>
      <c r="GT154" s="125"/>
      <c r="GU154" s="125"/>
      <c r="GV154" s="125"/>
      <c r="GW154" s="125"/>
      <c r="GX154" s="125"/>
      <c r="GY154" s="125"/>
      <c r="GZ154" s="125"/>
      <c r="HA154" s="125"/>
      <c r="HB154" s="125"/>
      <c r="HC154" s="125"/>
      <c r="HD154" s="125"/>
      <c r="HE154" s="125"/>
      <c r="HF154" s="125"/>
      <c r="HG154" s="125"/>
      <c r="HH154" s="125"/>
      <c r="HI154" s="125"/>
      <c r="HJ154" s="125"/>
      <c r="HK154" s="125"/>
      <c r="HL154" s="125"/>
      <c r="HM154" s="125"/>
      <c r="HN154" s="125"/>
      <c r="HO154" s="125"/>
      <c r="HP154" s="125"/>
      <c r="HQ154" s="125"/>
      <c r="HR154" s="125"/>
      <c r="HS154" s="125"/>
      <c r="HT154" s="125"/>
      <c r="HU154" s="125"/>
      <c r="HV154" s="125"/>
      <c r="HW154" s="125"/>
      <c r="HX154" s="125"/>
      <c r="HY154" s="125"/>
      <c r="HZ154" s="125"/>
      <c r="IA154" s="125"/>
      <c r="IB154" s="125"/>
      <c r="IC154" s="125"/>
      <c r="ID154" s="125"/>
      <c r="IE154" s="125"/>
      <c r="IF154" s="125"/>
      <c r="IG154" s="125"/>
      <c r="IH154" s="125"/>
      <c r="II154" s="125"/>
      <c r="IJ154" s="125"/>
      <c r="IK154" s="125"/>
      <c r="IL154" s="125"/>
      <c r="IM154" s="125"/>
      <c r="IN154" s="125"/>
      <c r="IO154" s="125"/>
      <c r="IP154" s="125"/>
      <c r="IQ154" s="125"/>
      <c r="IR154" s="125"/>
      <c r="IS154" s="125"/>
      <c r="IT154" s="125"/>
      <c r="IU154" s="125"/>
      <c r="IV154" s="125"/>
    </row>
    <row r="155" spans="1:256" s="3" customFormat="1">
      <c r="A155" s="80">
        <v>5</v>
      </c>
      <c r="B155" s="128">
        <v>43055</v>
      </c>
      <c r="C155" s="18"/>
      <c r="D155" s="19" t="s">
        <v>172</v>
      </c>
      <c r="E155" s="20" t="s">
        <v>173</v>
      </c>
      <c r="F155" s="120" t="s">
        <v>220</v>
      </c>
      <c r="G155" s="58">
        <v>1708</v>
      </c>
      <c r="H155" s="121">
        <f>60000+1302000</f>
        <v>1362000</v>
      </c>
      <c r="I155" s="24">
        <v>1297143</v>
      </c>
      <c r="J155" s="122"/>
      <c r="K155" s="24">
        <f t="shared" si="9"/>
        <v>1297143</v>
      </c>
      <c r="L155" s="123">
        <v>1</v>
      </c>
      <c r="M155" s="24">
        <f t="shared" si="10"/>
        <v>1297143</v>
      </c>
      <c r="N155" s="27">
        <f t="shared" si="11"/>
        <v>0</v>
      </c>
      <c r="O155" s="107" t="s">
        <v>216</v>
      </c>
      <c r="AF155" s="125"/>
      <c r="AG155" s="125"/>
      <c r="AH155" s="125"/>
      <c r="AI155" s="125"/>
      <c r="AJ155" s="125"/>
      <c r="AK155" s="125"/>
      <c r="AL155" s="125"/>
      <c r="AM155" s="125"/>
      <c r="AN155" s="125"/>
      <c r="AO155" s="125"/>
      <c r="AP155" s="125"/>
      <c r="AQ155" s="125"/>
      <c r="AR155" s="125"/>
      <c r="AS155" s="125"/>
      <c r="AT155" s="125"/>
      <c r="AU155" s="125"/>
      <c r="AV155" s="125"/>
      <c r="AW155" s="125"/>
      <c r="AX155" s="125"/>
      <c r="AY155" s="125"/>
      <c r="AZ155" s="125"/>
      <c r="BA155" s="125"/>
      <c r="BB155" s="125"/>
      <c r="BC155" s="125"/>
      <c r="BD155" s="125"/>
      <c r="BE155" s="125"/>
      <c r="BF155" s="125"/>
      <c r="BG155" s="125"/>
      <c r="BH155" s="125"/>
      <c r="BI155" s="125"/>
      <c r="BJ155" s="125"/>
      <c r="BK155" s="125"/>
      <c r="BL155" s="125"/>
      <c r="BM155" s="125"/>
      <c r="BN155" s="125"/>
      <c r="BO155" s="125"/>
      <c r="BP155" s="125"/>
      <c r="BQ155" s="125"/>
      <c r="BR155" s="125"/>
      <c r="BS155" s="125"/>
      <c r="BT155" s="125"/>
      <c r="BU155" s="125"/>
      <c r="BV155" s="125"/>
      <c r="BW155" s="125"/>
      <c r="BX155" s="125"/>
      <c r="BY155" s="125"/>
      <c r="BZ155" s="125"/>
      <c r="CA155" s="125"/>
      <c r="CB155" s="125"/>
      <c r="CC155" s="125"/>
      <c r="CD155" s="125"/>
      <c r="CE155" s="125"/>
      <c r="CF155" s="125"/>
      <c r="CG155" s="125"/>
      <c r="CH155" s="125"/>
      <c r="CI155" s="125"/>
      <c r="CJ155" s="125"/>
      <c r="CK155" s="125"/>
      <c r="CL155" s="125"/>
      <c r="CM155" s="125"/>
      <c r="CN155" s="125"/>
      <c r="CO155" s="125"/>
      <c r="CP155" s="125"/>
      <c r="CQ155" s="125"/>
      <c r="CR155" s="125"/>
      <c r="CS155" s="125"/>
      <c r="CT155" s="125"/>
      <c r="CU155" s="125"/>
      <c r="CV155" s="125"/>
      <c r="CW155" s="125"/>
      <c r="CX155" s="125"/>
      <c r="CY155" s="125"/>
      <c r="CZ155" s="125"/>
      <c r="DA155" s="125"/>
      <c r="DB155" s="125"/>
      <c r="DC155" s="125"/>
      <c r="DD155" s="125"/>
      <c r="DE155" s="125"/>
      <c r="DF155" s="125"/>
      <c r="DG155" s="125"/>
      <c r="DH155" s="125"/>
      <c r="DI155" s="125"/>
      <c r="DJ155" s="125"/>
      <c r="DK155" s="125"/>
      <c r="DL155" s="125"/>
      <c r="DM155" s="125"/>
      <c r="DN155" s="125"/>
      <c r="DO155" s="125"/>
      <c r="DP155" s="125"/>
      <c r="DQ155" s="125"/>
      <c r="DR155" s="125"/>
      <c r="DS155" s="125"/>
      <c r="DT155" s="125"/>
      <c r="DU155" s="125"/>
      <c r="DV155" s="125"/>
      <c r="DW155" s="125"/>
      <c r="DX155" s="125"/>
      <c r="DY155" s="125"/>
      <c r="DZ155" s="125"/>
      <c r="EA155" s="125"/>
      <c r="EB155" s="125"/>
      <c r="EC155" s="125"/>
      <c r="ED155" s="125"/>
      <c r="EE155" s="125"/>
      <c r="EF155" s="125"/>
      <c r="EG155" s="125"/>
      <c r="EH155" s="125"/>
      <c r="EI155" s="125"/>
      <c r="EJ155" s="125"/>
      <c r="EK155" s="125"/>
      <c r="EL155" s="125"/>
      <c r="EM155" s="125"/>
      <c r="EN155" s="125"/>
      <c r="EO155" s="125"/>
      <c r="EP155" s="125"/>
      <c r="EQ155" s="125"/>
      <c r="ER155" s="125"/>
      <c r="ES155" s="125"/>
      <c r="ET155" s="125"/>
      <c r="EU155" s="125"/>
      <c r="EV155" s="125"/>
      <c r="EW155" s="125"/>
      <c r="EX155" s="125"/>
      <c r="EY155" s="125"/>
      <c r="EZ155" s="125"/>
      <c r="FA155" s="125"/>
      <c r="FB155" s="125"/>
      <c r="FC155" s="125"/>
      <c r="FD155" s="125"/>
      <c r="FE155" s="125"/>
      <c r="FF155" s="125"/>
      <c r="FG155" s="125"/>
      <c r="FH155" s="125"/>
      <c r="FI155" s="125"/>
      <c r="FJ155" s="125"/>
      <c r="FK155" s="125"/>
      <c r="FL155" s="125"/>
      <c r="FM155" s="125"/>
      <c r="FN155" s="125"/>
      <c r="FO155" s="125"/>
      <c r="FP155" s="125"/>
      <c r="FQ155" s="125"/>
      <c r="FR155" s="125"/>
      <c r="FS155" s="125"/>
      <c r="FT155" s="125"/>
      <c r="FU155" s="125"/>
      <c r="FV155" s="125"/>
      <c r="FW155" s="125"/>
      <c r="FX155" s="125"/>
      <c r="FY155" s="125"/>
      <c r="FZ155" s="125"/>
      <c r="GA155" s="125"/>
      <c r="GB155" s="125"/>
      <c r="GC155" s="125"/>
      <c r="GD155" s="125"/>
      <c r="GE155" s="125"/>
      <c r="GF155" s="125"/>
      <c r="GG155" s="125"/>
      <c r="GH155" s="125"/>
      <c r="GI155" s="125"/>
      <c r="GJ155" s="125"/>
      <c r="GK155" s="125"/>
      <c r="GL155" s="125"/>
      <c r="GM155" s="125"/>
      <c r="GN155" s="125"/>
      <c r="GO155" s="125"/>
      <c r="GP155" s="125"/>
      <c r="GQ155" s="125"/>
      <c r="GR155" s="125"/>
      <c r="GS155" s="125"/>
      <c r="GT155" s="125"/>
      <c r="GU155" s="125"/>
      <c r="GV155" s="125"/>
      <c r="GW155" s="125"/>
      <c r="GX155" s="125"/>
      <c r="GY155" s="125"/>
      <c r="GZ155" s="125"/>
      <c r="HA155" s="125"/>
      <c r="HB155" s="125"/>
      <c r="HC155" s="125"/>
      <c r="HD155" s="125"/>
      <c r="HE155" s="125"/>
      <c r="HF155" s="125"/>
      <c r="HG155" s="125"/>
      <c r="HH155" s="125"/>
      <c r="HI155" s="125"/>
      <c r="HJ155" s="125"/>
      <c r="HK155" s="125"/>
      <c r="HL155" s="125"/>
      <c r="HM155" s="125"/>
      <c r="HN155" s="125"/>
      <c r="HO155" s="125"/>
      <c r="HP155" s="125"/>
      <c r="HQ155" s="125"/>
      <c r="HR155" s="125"/>
      <c r="HS155" s="125"/>
      <c r="HT155" s="125"/>
      <c r="HU155" s="125"/>
      <c r="HV155" s="125"/>
      <c r="HW155" s="125"/>
      <c r="HX155" s="125"/>
      <c r="HY155" s="125"/>
      <c r="HZ155" s="125"/>
      <c r="IA155" s="125"/>
      <c r="IB155" s="125"/>
      <c r="IC155" s="125"/>
      <c r="ID155" s="125"/>
      <c r="IE155" s="125"/>
      <c r="IF155" s="125"/>
      <c r="IG155" s="125"/>
      <c r="IH155" s="125"/>
      <c r="II155" s="125"/>
      <c r="IJ155" s="125"/>
      <c r="IK155" s="125"/>
      <c r="IL155" s="125"/>
      <c r="IM155" s="125"/>
      <c r="IN155" s="125"/>
      <c r="IO155" s="125"/>
      <c r="IP155" s="125"/>
      <c r="IQ155" s="125"/>
      <c r="IR155" s="125"/>
      <c r="IS155" s="125"/>
      <c r="IT155" s="125"/>
      <c r="IU155" s="125"/>
      <c r="IV155" s="125"/>
    </row>
    <row r="156" spans="1:256" s="3" customFormat="1">
      <c r="A156" s="80">
        <v>6</v>
      </c>
      <c r="B156" s="29">
        <v>43020</v>
      </c>
      <c r="C156" s="18"/>
      <c r="D156" s="19" t="s">
        <v>172</v>
      </c>
      <c r="E156" s="20" t="s">
        <v>175</v>
      </c>
      <c r="F156" s="82" t="s">
        <v>221</v>
      </c>
      <c r="G156" s="58">
        <v>1707</v>
      </c>
      <c r="H156" s="121">
        <f>40000+1069500</f>
        <v>1109500</v>
      </c>
      <c r="I156" s="24">
        <v>1056667</v>
      </c>
      <c r="J156" s="122"/>
      <c r="K156" s="24">
        <f t="shared" si="9"/>
        <v>1056667</v>
      </c>
      <c r="L156" s="123">
        <v>1</v>
      </c>
      <c r="M156" s="24">
        <f t="shared" si="10"/>
        <v>1056667</v>
      </c>
      <c r="N156" s="129">
        <f t="shared" si="11"/>
        <v>0</v>
      </c>
      <c r="O156" s="107" t="s">
        <v>216</v>
      </c>
    </row>
    <row r="157" spans="1:256" s="3" customFormat="1">
      <c r="A157" s="80">
        <v>7</v>
      </c>
      <c r="B157" s="17">
        <v>43067</v>
      </c>
      <c r="C157" s="18"/>
      <c r="D157" s="19" t="s">
        <v>172</v>
      </c>
      <c r="E157" s="20" t="s">
        <v>222</v>
      </c>
      <c r="F157" s="120" t="s">
        <v>223</v>
      </c>
      <c r="G157" s="58">
        <v>1709</v>
      </c>
      <c r="H157" s="121">
        <f>1525200+60000</f>
        <v>1585200</v>
      </c>
      <c r="I157" s="24">
        <v>1509714</v>
      </c>
      <c r="J157" s="122"/>
      <c r="K157" s="24">
        <f t="shared" si="9"/>
        <v>1509714</v>
      </c>
      <c r="L157" s="123">
        <v>1</v>
      </c>
      <c r="M157" s="24">
        <f t="shared" si="10"/>
        <v>1509714</v>
      </c>
      <c r="N157" s="59">
        <f t="shared" si="11"/>
        <v>0</v>
      </c>
      <c r="O157" s="107" t="s">
        <v>216</v>
      </c>
    </row>
    <row r="158" spans="1:256" s="3" customFormat="1">
      <c r="A158" s="80">
        <v>8</v>
      </c>
      <c r="B158" s="17">
        <v>43004</v>
      </c>
      <c r="C158" s="18"/>
      <c r="D158" s="19" t="s">
        <v>179</v>
      </c>
      <c r="E158" s="20" t="s">
        <v>178</v>
      </c>
      <c r="F158" s="120" t="s">
        <v>224</v>
      </c>
      <c r="G158" s="58">
        <v>1707</v>
      </c>
      <c r="H158" s="121">
        <f>60000+1264800</f>
        <v>1324800</v>
      </c>
      <c r="I158" s="24">
        <v>1261714</v>
      </c>
      <c r="J158" s="122"/>
      <c r="K158" s="24">
        <f t="shared" si="9"/>
        <v>1261714</v>
      </c>
      <c r="L158" s="123">
        <v>1</v>
      </c>
      <c r="M158" s="24">
        <f t="shared" si="10"/>
        <v>1261714</v>
      </c>
      <c r="N158" s="59">
        <f t="shared" si="11"/>
        <v>0</v>
      </c>
      <c r="O158" s="107" t="s">
        <v>216</v>
      </c>
    </row>
    <row r="159" spans="1:256" s="3" customFormat="1">
      <c r="A159" s="80">
        <v>9</v>
      </c>
      <c r="B159" s="29">
        <v>43041</v>
      </c>
      <c r="C159" s="18"/>
      <c r="D159" s="19" t="s">
        <v>179</v>
      </c>
      <c r="E159" s="20" t="s">
        <v>178</v>
      </c>
      <c r="F159" s="82" t="s">
        <v>225</v>
      </c>
      <c r="G159" s="58">
        <v>1708</v>
      </c>
      <c r="H159" s="121">
        <f>90000+1264800</f>
        <v>1354800</v>
      </c>
      <c r="I159" s="24">
        <v>1290286</v>
      </c>
      <c r="J159" s="122"/>
      <c r="K159" s="24">
        <f t="shared" si="9"/>
        <v>1290286</v>
      </c>
      <c r="L159" s="123">
        <v>1</v>
      </c>
      <c r="M159" s="24">
        <f t="shared" si="10"/>
        <v>1290286</v>
      </c>
      <c r="N159" s="59">
        <f t="shared" si="11"/>
        <v>0</v>
      </c>
      <c r="O159" s="107" t="s">
        <v>216</v>
      </c>
    </row>
    <row r="160" spans="1:256" s="3" customFormat="1">
      <c r="A160" s="80">
        <v>10</v>
      </c>
      <c r="B160" s="128">
        <v>43068</v>
      </c>
      <c r="C160" s="18" t="s">
        <v>226</v>
      </c>
      <c r="D160" s="19" t="s">
        <v>179</v>
      </c>
      <c r="E160" s="20" t="s">
        <v>227</v>
      </c>
      <c r="F160" s="120" t="s">
        <v>228</v>
      </c>
      <c r="G160" s="58">
        <v>1705</v>
      </c>
      <c r="H160" s="121">
        <f>1039500+11000</f>
        <v>1050500</v>
      </c>
      <c r="I160" s="24">
        <v>1000476</v>
      </c>
      <c r="J160" s="122"/>
      <c r="K160" s="24">
        <f t="shared" si="9"/>
        <v>1000476</v>
      </c>
      <c r="L160" s="123">
        <v>1</v>
      </c>
      <c r="M160" s="24">
        <f t="shared" si="10"/>
        <v>1000476</v>
      </c>
      <c r="N160" s="129">
        <f t="shared" si="11"/>
        <v>0</v>
      </c>
      <c r="O160" s="107" t="s">
        <v>216</v>
      </c>
    </row>
    <row r="161" spans="1:256" s="3" customFormat="1">
      <c r="A161" s="80">
        <v>11</v>
      </c>
      <c r="B161" s="56">
        <v>42867</v>
      </c>
      <c r="C161" s="18"/>
      <c r="D161" s="19" t="s">
        <v>178</v>
      </c>
      <c r="E161" s="20" t="s">
        <v>196</v>
      </c>
      <c r="F161" s="82" t="s">
        <v>229</v>
      </c>
      <c r="G161" s="58">
        <v>1703</v>
      </c>
      <c r="H161" s="121"/>
      <c r="I161" s="24">
        <v>1426667</v>
      </c>
      <c r="J161" s="24"/>
      <c r="K161" s="24">
        <f t="shared" si="9"/>
        <v>1426667</v>
      </c>
      <c r="L161" s="123">
        <v>1</v>
      </c>
      <c r="M161" s="24">
        <f t="shared" si="10"/>
        <v>1426667</v>
      </c>
      <c r="N161" s="124">
        <f t="shared" si="11"/>
        <v>0</v>
      </c>
      <c r="O161" s="107" t="s">
        <v>216</v>
      </c>
      <c r="AA161" s="130"/>
      <c r="AB161" s="130"/>
      <c r="AC161" s="130"/>
      <c r="AD161" s="130"/>
      <c r="AE161" s="130"/>
      <c r="AF161" s="130"/>
      <c r="AG161" s="130"/>
      <c r="AH161" s="130"/>
      <c r="AY161" s="130"/>
      <c r="AZ161" s="130"/>
      <c r="BA161" s="130"/>
      <c r="BB161" s="130"/>
      <c r="BC161" s="130"/>
      <c r="BD161" s="130"/>
      <c r="BE161" s="130"/>
      <c r="BF161" s="130"/>
      <c r="BW161" s="130"/>
      <c r="BX161" s="130"/>
      <c r="BY161" s="130"/>
      <c r="BZ161" s="130"/>
      <c r="CA161" s="130"/>
      <c r="CB161" s="130"/>
      <c r="CC161" s="130"/>
      <c r="CD161" s="130"/>
      <c r="CU161" s="130"/>
      <c r="CV161" s="130"/>
      <c r="CW161" s="130"/>
      <c r="CX161" s="130"/>
      <c r="CY161" s="130"/>
      <c r="CZ161" s="130"/>
      <c r="DA161" s="130"/>
      <c r="DB161" s="130"/>
      <c r="DS161" s="130"/>
      <c r="DT161" s="130"/>
      <c r="DU161" s="130"/>
      <c r="DV161" s="130"/>
      <c r="DW161" s="130"/>
      <c r="DX161" s="130"/>
      <c r="DY161" s="130"/>
      <c r="DZ161" s="130"/>
      <c r="EQ161" s="130"/>
      <c r="ER161" s="130"/>
      <c r="ES161" s="130"/>
      <c r="ET161" s="130"/>
      <c r="EU161" s="130"/>
      <c r="EV161" s="130"/>
      <c r="EW161" s="130"/>
      <c r="EX161" s="130"/>
      <c r="FO161" s="130"/>
      <c r="FP161" s="130"/>
      <c r="FQ161" s="130"/>
      <c r="FR161" s="130"/>
      <c r="FS161" s="130"/>
      <c r="FT161" s="130"/>
      <c r="FU161" s="130"/>
      <c r="FV161" s="130"/>
      <c r="GM161" s="130"/>
      <c r="GN161" s="130"/>
      <c r="GO161" s="130"/>
      <c r="GP161" s="130"/>
      <c r="GQ161" s="130"/>
      <c r="GR161" s="130"/>
      <c r="GS161" s="130"/>
      <c r="GT161" s="130"/>
      <c r="HK161" s="130"/>
      <c r="HL161" s="130"/>
      <c r="HM161" s="130"/>
      <c r="HN161" s="130"/>
      <c r="HO161" s="130"/>
      <c r="HP161" s="130"/>
      <c r="HQ161" s="130"/>
      <c r="HR161" s="130"/>
      <c r="II161" s="130"/>
      <c r="IJ161" s="130"/>
      <c r="IK161" s="130"/>
      <c r="IL161" s="130"/>
      <c r="IM161" s="130"/>
      <c r="IN161" s="130"/>
      <c r="IO161" s="130"/>
      <c r="IP161" s="130"/>
    </row>
    <row r="162" spans="1:256" s="3" customFormat="1">
      <c r="A162" s="80">
        <v>12</v>
      </c>
      <c r="B162" s="56">
        <v>43066</v>
      </c>
      <c r="C162" s="18"/>
      <c r="D162" s="19" t="s">
        <v>179</v>
      </c>
      <c r="E162" s="20" t="s">
        <v>193</v>
      </c>
      <c r="F162" s="82" t="s">
        <v>230</v>
      </c>
      <c r="G162" s="58">
        <v>1708</v>
      </c>
      <c r="H162" s="121">
        <f>60000+1488000</f>
        <v>1548000</v>
      </c>
      <c r="I162" s="24">
        <v>1474286</v>
      </c>
      <c r="J162" s="122"/>
      <c r="K162" s="24">
        <f t="shared" si="9"/>
        <v>1474286</v>
      </c>
      <c r="L162" s="123">
        <v>1</v>
      </c>
      <c r="M162" s="24">
        <f t="shared" si="10"/>
        <v>1474286</v>
      </c>
      <c r="N162" s="124">
        <f t="shared" si="11"/>
        <v>0</v>
      </c>
      <c r="O162" s="107" t="s">
        <v>216</v>
      </c>
      <c r="Y162" s="131"/>
      <c r="Z162" s="15"/>
      <c r="AA162" s="132"/>
      <c r="AB162" s="133"/>
      <c r="AC162" s="134"/>
      <c r="AD162" s="134"/>
      <c r="AE162" s="135"/>
      <c r="AF162" s="136"/>
      <c r="AG162" s="137"/>
      <c r="AH162" s="137"/>
      <c r="AJ162" s="138"/>
      <c r="AK162" s="2"/>
      <c r="AL162" s="139"/>
      <c r="AW162" s="131"/>
      <c r="AX162" s="15"/>
      <c r="AY162" s="132"/>
      <c r="AZ162" s="133"/>
      <c r="BA162" s="134"/>
      <c r="BB162" s="134"/>
      <c r="BC162" s="135"/>
      <c r="BD162" s="136"/>
      <c r="BE162" s="137"/>
      <c r="BF162" s="137"/>
      <c r="BH162" s="138"/>
      <c r="BI162" s="2"/>
      <c r="BJ162" s="139"/>
      <c r="BU162" s="131"/>
      <c r="BV162" s="15"/>
      <c r="BW162" s="132"/>
      <c r="BX162" s="133"/>
      <c r="BY162" s="134"/>
      <c r="BZ162" s="134"/>
      <c r="CA162" s="135"/>
      <c r="CB162" s="136"/>
      <c r="CC162" s="137"/>
      <c r="CD162" s="137"/>
      <c r="CF162" s="138"/>
      <c r="CG162" s="2"/>
      <c r="CH162" s="139"/>
      <c r="CS162" s="131"/>
      <c r="CT162" s="15"/>
      <c r="CU162" s="132"/>
      <c r="CV162" s="133"/>
      <c r="CW162" s="134"/>
      <c r="CX162" s="134"/>
      <c r="CY162" s="135"/>
      <c r="CZ162" s="136"/>
      <c r="DA162" s="137"/>
      <c r="DB162" s="137"/>
      <c r="DD162" s="138"/>
      <c r="DE162" s="2"/>
      <c r="DF162" s="139"/>
      <c r="DQ162" s="131"/>
      <c r="DR162" s="15"/>
      <c r="DS162" s="132"/>
      <c r="DT162" s="133"/>
      <c r="DU162" s="134"/>
      <c r="DV162" s="134"/>
      <c r="DW162" s="135"/>
      <c r="DX162" s="136"/>
      <c r="DY162" s="137"/>
      <c r="DZ162" s="137"/>
      <c r="EB162" s="138"/>
      <c r="EC162" s="2"/>
      <c r="ED162" s="139"/>
      <c r="EO162" s="131"/>
      <c r="EP162" s="15"/>
      <c r="EQ162" s="132"/>
      <c r="ER162" s="133"/>
      <c r="ES162" s="134"/>
      <c r="ET162" s="134"/>
      <c r="EU162" s="135"/>
      <c r="EV162" s="136"/>
      <c r="EW162" s="137"/>
      <c r="EX162" s="137"/>
      <c r="EZ162" s="138"/>
      <c r="FA162" s="2"/>
      <c r="FB162" s="139"/>
      <c r="FM162" s="131"/>
      <c r="FN162" s="15"/>
      <c r="FO162" s="132"/>
      <c r="FP162" s="133"/>
      <c r="FQ162" s="134"/>
      <c r="FR162" s="134"/>
      <c r="FS162" s="135"/>
      <c r="FT162" s="136"/>
      <c r="FU162" s="137"/>
      <c r="FV162" s="137"/>
      <c r="FX162" s="138"/>
      <c r="FY162" s="2"/>
      <c r="FZ162" s="139"/>
      <c r="GK162" s="131"/>
      <c r="GL162" s="15"/>
      <c r="GM162" s="132"/>
      <c r="GN162" s="133"/>
      <c r="GO162" s="134"/>
      <c r="GP162" s="134"/>
      <c r="GQ162" s="135"/>
      <c r="GR162" s="136"/>
      <c r="GS162" s="137"/>
      <c r="GT162" s="137"/>
      <c r="GV162" s="138"/>
      <c r="GW162" s="2"/>
      <c r="GX162" s="139"/>
      <c r="HI162" s="131"/>
      <c r="HJ162" s="15"/>
      <c r="HK162" s="132"/>
      <c r="HL162" s="133"/>
      <c r="HM162" s="134"/>
      <c r="HN162" s="134"/>
      <c r="HO162" s="135"/>
      <c r="HP162" s="136"/>
      <c r="HQ162" s="137"/>
      <c r="HR162" s="137"/>
      <c r="HT162" s="138"/>
      <c r="HU162" s="2"/>
      <c r="HV162" s="139"/>
      <c r="IG162" s="131"/>
      <c r="IH162" s="15"/>
      <c r="II162" s="132"/>
      <c r="IJ162" s="133"/>
      <c r="IK162" s="134"/>
      <c r="IL162" s="134"/>
      <c r="IM162" s="135"/>
      <c r="IN162" s="136"/>
      <c r="IO162" s="137"/>
      <c r="IP162" s="137"/>
      <c r="IR162" s="138"/>
      <c r="IS162" s="2"/>
      <c r="IT162" s="139"/>
    </row>
    <row r="163" spans="1:256" s="3" customFormat="1">
      <c r="A163" s="80">
        <v>13</v>
      </c>
      <c r="B163" s="56">
        <v>43047</v>
      </c>
      <c r="C163" s="18"/>
      <c r="D163" s="19" t="s">
        <v>179</v>
      </c>
      <c r="E163" s="20" t="s">
        <v>193</v>
      </c>
      <c r="F163" s="62" t="s">
        <v>231</v>
      </c>
      <c r="G163" s="63">
        <v>1708</v>
      </c>
      <c r="H163" s="121">
        <f>60000+1488000</f>
        <v>1548000</v>
      </c>
      <c r="I163" s="24">
        <v>1474286</v>
      </c>
      <c r="J163" s="122"/>
      <c r="K163" s="24">
        <f t="shared" si="9"/>
        <v>1474286</v>
      </c>
      <c r="L163" s="123">
        <v>1</v>
      </c>
      <c r="M163" s="24">
        <f t="shared" si="10"/>
        <v>1474286</v>
      </c>
      <c r="N163" s="124">
        <f t="shared" si="11"/>
        <v>0</v>
      </c>
      <c r="O163" s="107" t="s">
        <v>216</v>
      </c>
      <c r="AA163" s="130"/>
      <c r="AB163" s="130"/>
      <c r="AC163" s="130"/>
      <c r="AD163" s="130"/>
      <c r="AE163" s="130"/>
      <c r="AF163" s="130"/>
      <c r="AG163" s="130"/>
      <c r="AH163" s="130"/>
      <c r="AY163" s="130"/>
      <c r="AZ163" s="130"/>
      <c r="BA163" s="130"/>
      <c r="BB163" s="130"/>
      <c r="BC163" s="130"/>
      <c r="BD163" s="130"/>
      <c r="BE163" s="130"/>
      <c r="BF163" s="130"/>
      <c r="BW163" s="130"/>
      <c r="BX163" s="130"/>
      <c r="BY163" s="130"/>
      <c r="BZ163" s="130"/>
      <c r="CA163" s="130"/>
      <c r="CB163" s="130"/>
      <c r="CC163" s="130"/>
      <c r="CD163" s="130"/>
      <c r="CU163" s="130"/>
      <c r="CV163" s="130"/>
      <c r="CW163" s="130"/>
      <c r="CX163" s="130"/>
      <c r="CY163" s="130"/>
      <c r="CZ163" s="130"/>
      <c r="DA163" s="130"/>
      <c r="DB163" s="130"/>
      <c r="DS163" s="130"/>
      <c r="DT163" s="130"/>
      <c r="DU163" s="130"/>
      <c r="DV163" s="130"/>
      <c r="DW163" s="130"/>
      <c r="DX163" s="130"/>
      <c r="DY163" s="130"/>
      <c r="DZ163" s="130"/>
      <c r="EQ163" s="130"/>
      <c r="ER163" s="130"/>
      <c r="ES163" s="130"/>
      <c r="ET163" s="130"/>
      <c r="EU163" s="130"/>
      <c r="EV163" s="130"/>
      <c r="EW163" s="130"/>
      <c r="EX163" s="130"/>
      <c r="FO163" s="130"/>
      <c r="FP163" s="130"/>
      <c r="FQ163" s="130"/>
      <c r="FR163" s="130"/>
      <c r="FS163" s="130"/>
      <c r="FT163" s="130"/>
      <c r="FU163" s="130"/>
      <c r="FV163" s="130"/>
      <c r="GM163" s="130"/>
      <c r="GN163" s="130"/>
      <c r="GO163" s="130"/>
      <c r="GP163" s="130"/>
      <c r="GQ163" s="130"/>
      <c r="GR163" s="130"/>
      <c r="GS163" s="130"/>
      <c r="GT163" s="130"/>
      <c r="HK163" s="130"/>
      <c r="HL163" s="130"/>
      <c r="HM163" s="130"/>
      <c r="HN163" s="130"/>
      <c r="HO163" s="130"/>
      <c r="HP163" s="130"/>
      <c r="HQ163" s="130"/>
      <c r="HR163" s="130"/>
      <c r="II163" s="130"/>
      <c r="IJ163" s="130"/>
      <c r="IK163" s="130"/>
      <c r="IL163" s="130"/>
      <c r="IM163" s="130"/>
      <c r="IN163" s="130"/>
      <c r="IO163" s="130"/>
      <c r="IP163" s="130"/>
    </row>
    <row r="164" spans="1:256" s="3" customFormat="1">
      <c r="A164" s="80">
        <v>14</v>
      </c>
      <c r="B164" s="60">
        <v>43097</v>
      </c>
      <c r="C164" s="18"/>
      <c r="D164" s="19" t="s">
        <v>179</v>
      </c>
      <c r="E164" s="20" t="s">
        <v>193</v>
      </c>
      <c r="F164" s="120" t="s">
        <v>232</v>
      </c>
      <c r="G164" s="58">
        <v>1711</v>
      </c>
      <c r="H164" s="121">
        <f>60000+1488000</f>
        <v>1548000</v>
      </c>
      <c r="I164" s="24"/>
      <c r="J164" s="122">
        <f>SUM(H164)/1.05</f>
        <v>1474285.7142857143</v>
      </c>
      <c r="K164" s="24">
        <f t="shared" si="9"/>
        <v>1474285.7142857143</v>
      </c>
      <c r="L164" s="123">
        <v>1</v>
      </c>
      <c r="M164" s="24">
        <f t="shared" si="10"/>
        <v>1474285.7142857143</v>
      </c>
      <c r="N164" s="124">
        <f t="shared" si="11"/>
        <v>0</v>
      </c>
      <c r="O164" s="107" t="s">
        <v>216</v>
      </c>
      <c r="Q164" s="140"/>
      <c r="AA164" s="141"/>
      <c r="AB164" s="142"/>
      <c r="AC164" s="142"/>
      <c r="AD164" s="142"/>
      <c r="AE164" s="142"/>
      <c r="AF164" s="142"/>
      <c r="AG164" s="142"/>
      <c r="AH164" s="143"/>
      <c r="AY164" s="141"/>
      <c r="AZ164" s="142"/>
      <c r="BA164" s="142"/>
      <c r="BB164" s="142"/>
      <c r="BC164" s="142"/>
      <c r="BD164" s="142"/>
      <c r="BE164" s="142"/>
      <c r="BF164" s="143"/>
      <c r="BW164" s="141"/>
      <c r="BX164" s="142"/>
      <c r="BY164" s="142"/>
      <c r="BZ164" s="142"/>
      <c r="CA164" s="142"/>
      <c r="CB164" s="142"/>
      <c r="CC164" s="142"/>
      <c r="CD164" s="143"/>
      <c r="CU164" s="141"/>
      <c r="CV164" s="142"/>
      <c r="CW164" s="142"/>
      <c r="CX164" s="142"/>
      <c r="CY164" s="142"/>
      <c r="CZ164" s="142"/>
      <c r="DA164" s="142"/>
      <c r="DB164" s="143"/>
      <c r="DS164" s="141"/>
      <c r="DT164" s="142"/>
      <c r="DU164" s="142"/>
      <c r="DV164" s="142"/>
      <c r="DW164" s="142"/>
      <c r="DX164" s="142"/>
      <c r="DY164" s="142"/>
      <c r="DZ164" s="143"/>
      <c r="EQ164" s="141"/>
      <c r="ER164" s="142"/>
      <c r="ES164" s="142"/>
      <c r="ET164" s="142"/>
      <c r="EU164" s="142"/>
      <c r="EV164" s="142"/>
      <c r="EW164" s="142"/>
      <c r="EX164" s="143"/>
      <c r="FO164" s="141"/>
      <c r="FP164" s="142"/>
      <c r="FQ164" s="142"/>
      <c r="FR164" s="142"/>
      <c r="FS164" s="142"/>
      <c r="FT164" s="142"/>
      <c r="FU164" s="142"/>
      <c r="FV164" s="143"/>
      <c r="GM164" s="141"/>
      <c r="GN164" s="142"/>
      <c r="GO164" s="142"/>
      <c r="GP164" s="142"/>
      <c r="GQ164" s="142"/>
      <c r="GR164" s="142"/>
      <c r="GS164" s="142"/>
      <c r="GT164" s="143"/>
      <c r="HK164" s="141"/>
      <c r="HL164" s="142"/>
      <c r="HM164" s="142"/>
      <c r="HN164" s="142"/>
      <c r="HO164" s="142"/>
      <c r="HP164" s="142"/>
      <c r="HQ164" s="142"/>
      <c r="HR164" s="143"/>
      <c r="II164" s="141"/>
      <c r="IJ164" s="142"/>
      <c r="IK164" s="142"/>
      <c r="IL164" s="142"/>
      <c r="IM164" s="142"/>
      <c r="IN164" s="142"/>
      <c r="IO164" s="142"/>
      <c r="IP164" s="143"/>
    </row>
    <row r="165" spans="1:256" s="125" customFormat="1">
      <c r="A165" s="80">
        <v>15</v>
      </c>
      <c r="B165" s="60">
        <v>43096</v>
      </c>
      <c r="C165" s="18" t="s">
        <v>233</v>
      </c>
      <c r="D165" s="19" t="s">
        <v>200</v>
      </c>
      <c r="E165" s="20" t="s">
        <v>200</v>
      </c>
      <c r="F165" s="120" t="s">
        <v>234</v>
      </c>
      <c r="G165" s="58">
        <v>1707</v>
      </c>
      <c r="H165" s="121">
        <f>1469400+15800</f>
        <v>1485200</v>
      </c>
      <c r="I165" s="24"/>
      <c r="J165" s="122">
        <f>SUM(H165)/1.05</f>
        <v>1414476.1904761905</v>
      </c>
      <c r="K165" s="24">
        <f t="shared" si="9"/>
        <v>1414476.1904761905</v>
      </c>
      <c r="L165" s="123">
        <v>1</v>
      </c>
      <c r="M165" s="24">
        <f t="shared" si="10"/>
        <v>1414476.1904761905</v>
      </c>
      <c r="N165" s="27">
        <f t="shared" si="11"/>
        <v>0</v>
      </c>
      <c r="O165" s="107" t="s">
        <v>216</v>
      </c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130"/>
      <c r="AB165" s="130"/>
      <c r="AC165" s="130"/>
      <c r="AD165" s="130"/>
      <c r="AE165" s="130"/>
      <c r="AF165" s="130"/>
      <c r="AG165" s="130"/>
      <c r="AH165" s="130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130"/>
      <c r="AZ165" s="130"/>
      <c r="BA165" s="130"/>
      <c r="BB165" s="130"/>
      <c r="BC165" s="130"/>
      <c r="BD165" s="130"/>
      <c r="BE165" s="130"/>
      <c r="BF165" s="130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130"/>
      <c r="BX165" s="130"/>
      <c r="BY165" s="130"/>
      <c r="BZ165" s="130"/>
      <c r="CA165" s="130"/>
      <c r="CB165" s="130"/>
      <c r="CC165" s="130"/>
      <c r="CD165" s="130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130"/>
      <c r="CV165" s="130"/>
      <c r="CW165" s="130"/>
      <c r="CX165" s="130"/>
      <c r="CY165" s="130"/>
      <c r="CZ165" s="130"/>
      <c r="DA165" s="130"/>
      <c r="DB165" s="130"/>
      <c r="DC165" s="3"/>
      <c r="DD165" s="3"/>
      <c r="DE165" s="3"/>
      <c r="DF165" s="3"/>
      <c r="DG165" s="3"/>
      <c r="DH165" s="3"/>
      <c r="DI165" s="3"/>
      <c r="DJ165" s="3"/>
      <c r="DK165" s="3"/>
      <c r="DL165" s="3"/>
      <c r="DM165" s="3"/>
      <c r="DN165" s="3"/>
      <c r="DO165" s="3"/>
      <c r="DP165" s="3"/>
      <c r="DQ165" s="3"/>
      <c r="DR165" s="3"/>
      <c r="DS165" s="130"/>
      <c r="DT165" s="130"/>
      <c r="DU165" s="130"/>
      <c r="DV165" s="130"/>
      <c r="DW165" s="130"/>
      <c r="DX165" s="130"/>
      <c r="DY165" s="130"/>
      <c r="DZ165" s="130"/>
      <c r="EA165" s="3"/>
      <c r="EB165" s="3"/>
      <c r="EC165" s="3"/>
      <c r="ED165" s="3"/>
      <c r="EE165" s="3"/>
      <c r="EF165" s="3"/>
      <c r="EG165" s="3"/>
      <c r="EH165" s="3"/>
      <c r="EI165" s="3"/>
      <c r="EJ165" s="3"/>
      <c r="EK165" s="3"/>
      <c r="EL165" s="3"/>
      <c r="EM165" s="3"/>
      <c r="EN165" s="3"/>
      <c r="EO165" s="3"/>
      <c r="EP165" s="3"/>
      <c r="EQ165" s="130"/>
      <c r="ER165" s="130"/>
      <c r="ES165" s="130"/>
      <c r="ET165" s="130"/>
      <c r="EU165" s="130"/>
      <c r="EV165" s="130"/>
      <c r="EW165" s="130"/>
      <c r="EX165" s="130"/>
      <c r="EY165" s="3"/>
      <c r="EZ165" s="3"/>
      <c r="FA165" s="3"/>
      <c r="FB165" s="3"/>
      <c r="FC165" s="3"/>
      <c r="FD165" s="3"/>
      <c r="FE165" s="3"/>
      <c r="FF165" s="3"/>
      <c r="FG165" s="3"/>
      <c r="FH165" s="3"/>
      <c r="FI165" s="3"/>
      <c r="FJ165" s="3"/>
      <c r="FK165" s="3"/>
      <c r="FL165" s="3"/>
      <c r="FM165" s="3"/>
      <c r="FN165" s="3"/>
      <c r="FO165" s="130"/>
      <c r="FP165" s="130"/>
      <c r="FQ165" s="130"/>
      <c r="FR165" s="130"/>
      <c r="FS165" s="130"/>
      <c r="FT165" s="130"/>
      <c r="FU165" s="130"/>
      <c r="FV165" s="130"/>
      <c r="FW165" s="3"/>
      <c r="FX165" s="3"/>
      <c r="FY165" s="3"/>
      <c r="FZ165" s="3"/>
      <c r="GA165" s="3"/>
      <c r="GB165" s="3"/>
      <c r="GC165" s="3"/>
      <c r="GD165" s="3"/>
      <c r="GE165" s="3"/>
      <c r="GF165" s="3"/>
      <c r="GG165" s="3"/>
      <c r="GH165" s="3"/>
      <c r="GI165" s="3"/>
      <c r="GJ165" s="3"/>
      <c r="GK165" s="3"/>
      <c r="GL165" s="3"/>
      <c r="GM165" s="130"/>
      <c r="GN165" s="130"/>
      <c r="GO165" s="130"/>
      <c r="GP165" s="130"/>
      <c r="GQ165" s="130"/>
      <c r="GR165" s="130"/>
      <c r="GS165" s="130"/>
      <c r="GT165" s="130"/>
      <c r="GU165" s="3"/>
      <c r="GV165" s="3"/>
      <c r="GW165" s="3"/>
      <c r="GX165" s="3"/>
      <c r="GY165" s="3"/>
      <c r="GZ165" s="3"/>
      <c r="HA165" s="3"/>
      <c r="HB165" s="3"/>
      <c r="HC165" s="3"/>
      <c r="HD165" s="3"/>
      <c r="HE165" s="3"/>
      <c r="HF165" s="3"/>
      <c r="HG165" s="3"/>
      <c r="HH165" s="3"/>
      <c r="HI165" s="3"/>
      <c r="HJ165" s="3"/>
      <c r="HK165" s="130"/>
      <c r="HL165" s="130"/>
      <c r="HM165" s="130"/>
      <c r="HN165" s="130"/>
      <c r="HO165" s="130"/>
      <c r="HP165" s="130"/>
      <c r="HQ165" s="130"/>
      <c r="HR165" s="130"/>
      <c r="HS165" s="3"/>
      <c r="HT165" s="3"/>
      <c r="HU165" s="3"/>
      <c r="HV165" s="3"/>
      <c r="HW165" s="3"/>
      <c r="HX165" s="3"/>
      <c r="HY165" s="3"/>
      <c r="HZ165" s="3"/>
      <c r="IA165" s="3"/>
      <c r="IB165" s="3"/>
      <c r="IC165" s="3"/>
      <c r="ID165" s="3"/>
      <c r="IE165" s="3"/>
      <c r="IF165" s="3"/>
      <c r="IG165" s="3"/>
      <c r="IH165" s="3"/>
      <c r="II165" s="130"/>
      <c r="IJ165" s="130"/>
      <c r="IK165" s="130"/>
      <c r="IL165" s="130"/>
      <c r="IM165" s="130"/>
      <c r="IN165" s="130"/>
      <c r="IO165" s="130"/>
      <c r="IP165" s="130"/>
      <c r="IQ165" s="3"/>
      <c r="IR165" s="3"/>
      <c r="IS165" s="3"/>
      <c r="IT165" s="3"/>
      <c r="IU165" s="3"/>
      <c r="IV165" s="3"/>
    </row>
    <row r="166" spans="1:256" s="3" customFormat="1">
      <c r="A166" s="80">
        <v>16</v>
      </c>
      <c r="B166" s="56">
        <v>43089</v>
      </c>
      <c r="C166" s="18" t="s">
        <v>235</v>
      </c>
      <c r="D166" s="19" t="s">
        <v>200</v>
      </c>
      <c r="E166" s="20" t="s">
        <v>200</v>
      </c>
      <c r="F166" s="82" t="s">
        <v>236</v>
      </c>
      <c r="G166" s="58">
        <v>1707</v>
      </c>
      <c r="H166" s="121">
        <v>1450800</v>
      </c>
      <c r="I166" s="24"/>
      <c r="J166" s="122">
        <f>SUM(H166)/1.05</f>
        <v>1381714.2857142857</v>
      </c>
      <c r="K166" s="24">
        <f t="shared" si="9"/>
        <v>1381714.2857142857</v>
      </c>
      <c r="L166" s="123">
        <v>1</v>
      </c>
      <c r="M166" s="24">
        <f t="shared" si="10"/>
        <v>1381714.2857142857</v>
      </c>
      <c r="N166" s="124">
        <f t="shared" si="11"/>
        <v>0</v>
      </c>
      <c r="O166" s="107" t="s">
        <v>216</v>
      </c>
    </row>
    <row r="167" spans="1:256" s="3" customFormat="1">
      <c r="A167" s="80">
        <v>17</v>
      </c>
      <c r="B167" s="56">
        <v>43004</v>
      </c>
      <c r="C167" s="18"/>
      <c r="D167" s="19" t="s">
        <v>200</v>
      </c>
      <c r="E167" s="20" t="s">
        <v>201</v>
      </c>
      <c r="F167" s="82" t="s">
        <v>237</v>
      </c>
      <c r="G167" s="58">
        <v>1707</v>
      </c>
      <c r="H167" s="121">
        <f>20700+1450800</f>
        <v>1471500</v>
      </c>
      <c r="I167" s="24">
        <v>1401429</v>
      </c>
      <c r="J167" s="122"/>
      <c r="K167" s="24">
        <f t="shared" si="9"/>
        <v>1401429</v>
      </c>
      <c r="L167" s="123">
        <v>1</v>
      </c>
      <c r="M167" s="24">
        <f t="shared" si="10"/>
        <v>1401429</v>
      </c>
      <c r="N167" s="124">
        <f t="shared" si="11"/>
        <v>0</v>
      </c>
      <c r="O167" s="107" t="s">
        <v>216</v>
      </c>
      <c r="AF167" s="125"/>
      <c r="AG167" s="125"/>
      <c r="AH167" s="125"/>
      <c r="AI167" s="125"/>
      <c r="AJ167" s="125"/>
      <c r="AK167" s="125"/>
      <c r="AL167" s="125"/>
      <c r="AM167" s="125"/>
      <c r="AN167" s="125"/>
      <c r="AO167" s="125"/>
      <c r="AP167" s="125"/>
      <c r="AQ167" s="125"/>
      <c r="AR167" s="125"/>
      <c r="AS167" s="125"/>
      <c r="AT167" s="125"/>
      <c r="AU167" s="125"/>
      <c r="AV167" s="125"/>
      <c r="AW167" s="125"/>
      <c r="AX167" s="125"/>
      <c r="AY167" s="125"/>
      <c r="AZ167" s="125"/>
      <c r="BA167" s="125"/>
      <c r="BB167" s="125"/>
      <c r="BC167" s="125"/>
      <c r="BD167" s="125"/>
      <c r="BE167" s="125"/>
      <c r="BF167" s="125"/>
      <c r="BG167" s="125"/>
      <c r="BH167" s="125"/>
      <c r="BI167" s="125"/>
      <c r="BJ167" s="125"/>
      <c r="BK167" s="125"/>
      <c r="BL167" s="125"/>
      <c r="BM167" s="125"/>
      <c r="BN167" s="125"/>
      <c r="BO167" s="125"/>
      <c r="BP167" s="125"/>
      <c r="BQ167" s="125"/>
      <c r="BR167" s="125"/>
      <c r="BS167" s="125"/>
      <c r="BT167" s="125"/>
      <c r="BU167" s="125"/>
      <c r="BV167" s="125"/>
      <c r="BW167" s="125"/>
      <c r="BX167" s="125"/>
      <c r="BY167" s="125"/>
      <c r="BZ167" s="125"/>
      <c r="CA167" s="125"/>
      <c r="CB167" s="125"/>
      <c r="CC167" s="125"/>
      <c r="CD167" s="125"/>
      <c r="CE167" s="125"/>
      <c r="CF167" s="125"/>
      <c r="CG167" s="125"/>
      <c r="CH167" s="125"/>
      <c r="CI167" s="125"/>
      <c r="CJ167" s="125"/>
      <c r="CK167" s="125"/>
      <c r="CL167" s="125"/>
      <c r="CM167" s="125"/>
      <c r="CN167" s="125"/>
      <c r="CO167" s="125"/>
      <c r="CP167" s="125"/>
      <c r="CQ167" s="125"/>
      <c r="CR167" s="125"/>
      <c r="CS167" s="125"/>
      <c r="CT167" s="125"/>
      <c r="CU167" s="125"/>
      <c r="CV167" s="125"/>
      <c r="CW167" s="125"/>
      <c r="CX167" s="125"/>
      <c r="CY167" s="125"/>
      <c r="CZ167" s="125"/>
      <c r="DA167" s="125"/>
      <c r="DB167" s="125"/>
      <c r="DC167" s="125"/>
      <c r="DD167" s="125"/>
      <c r="DE167" s="125"/>
      <c r="DF167" s="125"/>
      <c r="DG167" s="125"/>
      <c r="DH167" s="125"/>
      <c r="DI167" s="125"/>
      <c r="DJ167" s="125"/>
      <c r="DK167" s="125"/>
      <c r="DL167" s="125"/>
      <c r="DM167" s="125"/>
      <c r="DN167" s="125"/>
      <c r="DO167" s="125"/>
      <c r="DP167" s="125"/>
      <c r="DQ167" s="125"/>
      <c r="DR167" s="125"/>
      <c r="DS167" s="125"/>
      <c r="DT167" s="125"/>
      <c r="DU167" s="125"/>
      <c r="DV167" s="125"/>
      <c r="DW167" s="125"/>
      <c r="DX167" s="125"/>
      <c r="DY167" s="125"/>
      <c r="DZ167" s="125"/>
      <c r="EA167" s="125"/>
      <c r="EB167" s="125"/>
      <c r="EC167" s="125"/>
      <c r="ED167" s="125"/>
      <c r="EE167" s="125"/>
      <c r="EF167" s="125"/>
      <c r="EG167" s="125"/>
      <c r="EH167" s="125"/>
      <c r="EI167" s="125"/>
      <c r="EJ167" s="125"/>
      <c r="EK167" s="125"/>
      <c r="EL167" s="125"/>
      <c r="EM167" s="125"/>
      <c r="EN167" s="125"/>
      <c r="EO167" s="125"/>
      <c r="EP167" s="125"/>
      <c r="EQ167" s="125"/>
      <c r="ER167" s="125"/>
      <c r="ES167" s="125"/>
      <c r="ET167" s="125"/>
      <c r="EU167" s="125"/>
      <c r="EV167" s="125"/>
      <c r="EW167" s="125"/>
      <c r="EX167" s="125"/>
      <c r="EY167" s="125"/>
      <c r="EZ167" s="125"/>
      <c r="FA167" s="125"/>
      <c r="FB167" s="125"/>
      <c r="FC167" s="125"/>
      <c r="FD167" s="125"/>
      <c r="FE167" s="125"/>
      <c r="FF167" s="125"/>
      <c r="FG167" s="125"/>
      <c r="FH167" s="125"/>
      <c r="FI167" s="125"/>
      <c r="FJ167" s="125"/>
      <c r="FK167" s="125"/>
      <c r="FL167" s="125"/>
      <c r="FM167" s="125"/>
      <c r="FN167" s="125"/>
      <c r="FO167" s="125"/>
      <c r="FP167" s="125"/>
      <c r="FQ167" s="125"/>
      <c r="FR167" s="125"/>
      <c r="FS167" s="125"/>
      <c r="FT167" s="125"/>
      <c r="FU167" s="125"/>
      <c r="FV167" s="125"/>
      <c r="FW167" s="125"/>
      <c r="FX167" s="125"/>
      <c r="FY167" s="125"/>
      <c r="FZ167" s="125"/>
      <c r="GA167" s="125"/>
      <c r="GB167" s="125"/>
      <c r="GC167" s="125"/>
      <c r="GD167" s="125"/>
      <c r="GE167" s="125"/>
      <c r="GF167" s="125"/>
      <c r="GG167" s="125"/>
      <c r="GH167" s="125"/>
      <c r="GI167" s="125"/>
      <c r="GJ167" s="125"/>
      <c r="GK167" s="125"/>
      <c r="GL167" s="125"/>
      <c r="GM167" s="125"/>
      <c r="GN167" s="125"/>
      <c r="GO167" s="125"/>
      <c r="GP167" s="125"/>
      <c r="GQ167" s="125"/>
      <c r="GR167" s="125"/>
      <c r="GS167" s="125"/>
      <c r="GT167" s="125"/>
      <c r="GU167" s="125"/>
      <c r="GV167" s="125"/>
      <c r="GW167" s="125"/>
      <c r="GX167" s="125"/>
      <c r="GY167" s="125"/>
      <c r="GZ167" s="125"/>
      <c r="HA167" s="125"/>
      <c r="HB167" s="125"/>
      <c r="HC167" s="125"/>
      <c r="HD167" s="125"/>
      <c r="HE167" s="125"/>
      <c r="HF167" s="125"/>
      <c r="HG167" s="125"/>
      <c r="HH167" s="125"/>
      <c r="HI167" s="125"/>
      <c r="HJ167" s="125"/>
      <c r="HK167" s="125"/>
      <c r="HL167" s="125"/>
      <c r="HM167" s="125"/>
      <c r="HN167" s="125"/>
      <c r="HO167" s="125"/>
      <c r="HP167" s="125"/>
      <c r="HQ167" s="125"/>
      <c r="HR167" s="125"/>
      <c r="HS167" s="125"/>
      <c r="HT167" s="125"/>
      <c r="HU167" s="125"/>
      <c r="HV167" s="125"/>
      <c r="HW167" s="125"/>
      <c r="HX167" s="125"/>
      <c r="HY167" s="125"/>
      <c r="HZ167" s="125"/>
      <c r="IA167" s="125"/>
      <c r="IB167" s="125"/>
      <c r="IC167" s="125"/>
      <c r="ID167" s="125"/>
      <c r="IE167" s="125"/>
      <c r="IF167" s="125"/>
      <c r="IG167" s="125"/>
      <c r="IH167" s="125"/>
      <c r="II167" s="125"/>
      <c r="IJ167" s="125"/>
      <c r="IK167" s="125"/>
      <c r="IL167" s="125"/>
      <c r="IM167" s="125"/>
      <c r="IN167" s="125"/>
      <c r="IO167" s="125"/>
      <c r="IP167" s="125"/>
      <c r="IQ167" s="125"/>
      <c r="IR167" s="125"/>
      <c r="IS167" s="125"/>
      <c r="IT167" s="125"/>
      <c r="IU167" s="125"/>
      <c r="IV167" s="125"/>
    </row>
    <row r="168" spans="1:256" s="3" customFormat="1">
      <c r="A168" s="80">
        <v>18</v>
      </c>
      <c r="B168" s="56">
        <v>43080</v>
      </c>
      <c r="C168" s="18"/>
      <c r="D168" s="19" t="s">
        <v>201</v>
      </c>
      <c r="E168" s="20" t="s">
        <v>201</v>
      </c>
      <c r="F168" s="62" t="s">
        <v>238</v>
      </c>
      <c r="G168" s="63">
        <v>1710</v>
      </c>
      <c r="H168" s="121">
        <v>1450800</v>
      </c>
      <c r="I168" s="24"/>
      <c r="J168" s="122">
        <f>SUM(H168)/1.05</f>
        <v>1381714.2857142857</v>
      </c>
      <c r="K168" s="24">
        <f t="shared" si="9"/>
        <v>1381714.2857142857</v>
      </c>
      <c r="L168" s="123">
        <v>1</v>
      </c>
      <c r="M168" s="24">
        <f t="shared" si="10"/>
        <v>1381714.2857142857</v>
      </c>
      <c r="N168" s="124">
        <f t="shared" si="11"/>
        <v>0</v>
      </c>
      <c r="O168" s="107" t="s">
        <v>216</v>
      </c>
      <c r="AF168" s="125"/>
      <c r="AG168" s="125"/>
      <c r="AH168" s="125"/>
      <c r="AI168" s="125"/>
      <c r="AJ168" s="125"/>
      <c r="AK168" s="125"/>
      <c r="AL168" s="125"/>
      <c r="AM168" s="125"/>
      <c r="AN168" s="125"/>
      <c r="AO168" s="125"/>
      <c r="AP168" s="125"/>
      <c r="AQ168" s="125"/>
      <c r="AR168" s="125"/>
      <c r="AS168" s="125"/>
      <c r="AT168" s="125"/>
      <c r="AU168" s="125"/>
      <c r="AV168" s="125"/>
      <c r="AW168" s="125"/>
      <c r="AX168" s="125"/>
      <c r="AY168" s="125"/>
      <c r="AZ168" s="125"/>
      <c r="BA168" s="125"/>
      <c r="BB168" s="125"/>
      <c r="BC168" s="125"/>
      <c r="BD168" s="125"/>
      <c r="BE168" s="125"/>
      <c r="BF168" s="125"/>
      <c r="BG168" s="125"/>
      <c r="BH168" s="125"/>
      <c r="BI168" s="125"/>
      <c r="BJ168" s="125"/>
      <c r="BK168" s="125"/>
      <c r="BL168" s="125"/>
      <c r="BM168" s="125"/>
      <c r="BN168" s="125"/>
      <c r="BO168" s="125"/>
      <c r="BP168" s="125"/>
      <c r="BQ168" s="125"/>
      <c r="BR168" s="125"/>
      <c r="BS168" s="125"/>
      <c r="BT168" s="125"/>
      <c r="BU168" s="125"/>
      <c r="BV168" s="125"/>
      <c r="BW168" s="125"/>
      <c r="BX168" s="125"/>
      <c r="BY168" s="125"/>
      <c r="BZ168" s="125"/>
      <c r="CA168" s="125"/>
      <c r="CB168" s="125"/>
      <c r="CC168" s="125"/>
      <c r="CD168" s="125"/>
      <c r="CE168" s="125"/>
      <c r="CF168" s="125"/>
      <c r="CG168" s="125"/>
      <c r="CH168" s="125"/>
      <c r="CI168" s="125"/>
      <c r="CJ168" s="125"/>
      <c r="CK168" s="125"/>
      <c r="CL168" s="125"/>
      <c r="CM168" s="125"/>
      <c r="CN168" s="125"/>
      <c r="CO168" s="125"/>
      <c r="CP168" s="125"/>
      <c r="CQ168" s="125"/>
      <c r="CR168" s="125"/>
      <c r="CS168" s="125"/>
      <c r="CT168" s="125"/>
      <c r="CU168" s="125"/>
      <c r="CV168" s="125"/>
      <c r="CW168" s="125"/>
      <c r="CX168" s="125"/>
      <c r="CY168" s="125"/>
      <c r="CZ168" s="125"/>
      <c r="DA168" s="125"/>
      <c r="DB168" s="125"/>
      <c r="DC168" s="125"/>
      <c r="DD168" s="125"/>
      <c r="DE168" s="125"/>
      <c r="DF168" s="125"/>
      <c r="DG168" s="125"/>
      <c r="DH168" s="125"/>
      <c r="DI168" s="125"/>
      <c r="DJ168" s="125"/>
      <c r="DK168" s="125"/>
      <c r="DL168" s="125"/>
      <c r="DM168" s="125"/>
      <c r="DN168" s="125"/>
      <c r="DO168" s="125"/>
      <c r="DP168" s="125"/>
      <c r="DQ168" s="125"/>
      <c r="DR168" s="125"/>
      <c r="DS168" s="125"/>
      <c r="DT168" s="125"/>
      <c r="DU168" s="125"/>
      <c r="DV168" s="125"/>
      <c r="DW168" s="125"/>
      <c r="DX168" s="125"/>
      <c r="DY168" s="125"/>
      <c r="DZ168" s="125"/>
      <c r="EA168" s="125"/>
      <c r="EB168" s="125"/>
      <c r="EC168" s="125"/>
      <c r="ED168" s="125"/>
      <c r="EE168" s="125"/>
      <c r="EF168" s="125"/>
      <c r="EG168" s="125"/>
      <c r="EH168" s="125"/>
      <c r="EI168" s="125"/>
      <c r="EJ168" s="125"/>
      <c r="EK168" s="125"/>
      <c r="EL168" s="125"/>
      <c r="EM168" s="125"/>
      <c r="EN168" s="125"/>
      <c r="EO168" s="125"/>
      <c r="EP168" s="125"/>
      <c r="EQ168" s="125"/>
      <c r="ER168" s="125"/>
      <c r="ES168" s="125"/>
      <c r="ET168" s="125"/>
      <c r="EU168" s="125"/>
      <c r="EV168" s="125"/>
      <c r="EW168" s="125"/>
      <c r="EX168" s="125"/>
      <c r="EY168" s="125"/>
      <c r="EZ168" s="125"/>
      <c r="FA168" s="125"/>
      <c r="FB168" s="125"/>
      <c r="FC168" s="125"/>
      <c r="FD168" s="125"/>
      <c r="FE168" s="125"/>
      <c r="FF168" s="125"/>
      <c r="FG168" s="125"/>
      <c r="FH168" s="125"/>
      <c r="FI168" s="125"/>
      <c r="FJ168" s="125"/>
      <c r="FK168" s="125"/>
      <c r="FL168" s="125"/>
      <c r="FM168" s="125"/>
      <c r="FN168" s="125"/>
      <c r="FO168" s="125"/>
      <c r="FP168" s="125"/>
      <c r="FQ168" s="125"/>
      <c r="FR168" s="125"/>
      <c r="FS168" s="125"/>
      <c r="FT168" s="125"/>
      <c r="FU168" s="125"/>
      <c r="FV168" s="125"/>
      <c r="FW168" s="125"/>
      <c r="FX168" s="125"/>
      <c r="FY168" s="125"/>
      <c r="FZ168" s="125"/>
      <c r="GA168" s="125"/>
      <c r="GB168" s="125"/>
      <c r="GC168" s="125"/>
      <c r="GD168" s="125"/>
      <c r="GE168" s="125"/>
      <c r="GF168" s="125"/>
      <c r="GG168" s="125"/>
      <c r="GH168" s="125"/>
      <c r="GI168" s="125"/>
      <c r="GJ168" s="125"/>
      <c r="GK168" s="125"/>
      <c r="GL168" s="125"/>
      <c r="GM168" s="125"/>
      <c r="GN168" s="125"/>
      <c r="GO168" s="125"/>
      <c r="GP168" s="125"/>
      <c r="GQ168" s="125"/>
      <c r="GR168" s="125"/>
      <c r="GS168" s="125"/>
      <c r="GT168" s="125"/>
      <c r="GU168" s="125"/>
      <c r="GV168" s="125"/>
      <c r="GW168" s="125"/>
      <c r="GX168" s="125"/>
      <c r="GY168" s="125"/>
      <c r="GZ168" s="125"/>
      <c r="HA168" s="125"/>
      <c r="HB168" s="125"/>
      <c r="HC168" s="125"/>
      <c r="HD168" s="125"/>
      <c r="HE168" s="125"/>
      <c r="HF168" s="125"/>
      <c r="HG168" s="125"/>
      <c r="HH168" s="125"/>
      <c r="HI168" s="125"/>
      <c r="HJ168" s="125"/>
      <c r="HK168" s="125"/>
      <c r="HL168" s="125"/>
      <c r="HM168" s="125"/>
      <c r="HN168" s="125"/>
      <c r="HO168" s="125"/>
      <c r="HP168" s="125"/>
      <c r="HQ168" s="125"/>
      <c r="HR168" s="125"/>
      <c r="HS168" s="125"/>
      <c r="HT168" s="125"/>
      <c r="HU168" s="125"/>
      <c r="HV168" s="125"/>
      <c r="HW168" s="125"/>
      <c r="HX168" s="125"/>
      <c r="HY168" s="125"/>
      <c r="HZ168" s="125"/>
      <c r="IA168" s="125"/>
      <c r="IB168" s="125"/>
      <c r="IC168" s="125"/>
      <c r="ID168" s="125"/>
      <c r="IE168" s="125"/>
      <c r="IF168" s="125"/>
      <c r="IG168" s="125"/>
      <c r="IH168" s="125"/>
      <c r="II168" s="125"/>
      <c r="IJ168" s="125"/>
      <c r="IK168" s="125"/>
      <c r="IL168" s="125"/>
      <c r="IM168" s="125"/>
      <c r="IN168" s="125"/>
      <c r="IO168" s="125"/>
      <c r="IP168" s="125"/>
      <c r="IQ168" s="125"/>
      <c r="IR168" s="125"/>
      <c r="IS168" s="125"/>
      <c r="IT168" s="125"/>
      <c r="IU168" s="125"/>
      <c r="IV168" s="125"/>
    </row>
    <row r="169" spans="1:256" s="3" customFormat="1">
      <c r="A169" s="80">
        <v>19</v>
      </c>
      <c r="B169" s="83">
        <v>43095</v>
      </c>
      <c r="C169" s="18"/>
      <c r="D169" s="19" t="s">
        <v>200</v>
      </c>
      <c r="E169" s="20" t="s">
        <v>201</v>
      </c>
      <c r="F169" s="120" t="s">
        <v>239</v>
      </c>
      <c r="G169" s="58">
        <v>1710</v>
      </c>
      <c r="H169" s="121">
        <f>63900+1450800</f>
        <v>1514700</v>
      </c>
      <c r="I169" s="24"/>
      <c r="J169" s="122">
        <f>SUM(H169)/1.05</f>
        <v>1442571.4285714284</v>
      </c>
      <c r="K169" s="24">
        <f t="shared" si="9"/>
        <v>1442571.4285714284</v>
      </c>
      <c r="L169" s="123">
        <v>1</v>
      </c>
      <c r="M169" s="24">
        <f t="shared" si="10"/>
        <v>1442571.4285714284</v>
      </c>
      <c r="N169" s="124">
        <f t="shared" si="11"/>
        <v>0</v>
      </c>
      <c r="O169" s="107" t="s">
        <v>216</v>
      </c>
      <c r="AF169" s="125"/>
      <c r="AG169" s="125"/>
      <c r="AH169" s="125"/>
      <c r="AI169" s="125"/>
      <c r="AJ169" s="125"/>
      <c r="AK169" s="125"/>
      <c r="AL169" s="125"/>
      <c r="AM169" s="125"/>
      <c r="AN169" s="125"/>
      <c r="AO169" s="125"/>
      <c r="AP169" s="125"/>
      <c r="AQ169" s="125"/>
      <c r="AR169" s="125"/>
      <c r="AS169" s="125"/>
      <c r="AT169" s="125"/>
      <c r="AU169" s="125"/>
      <c r="AV169" s="125"/>
      <c r="AW169" s="125"/>
      <c r="AX169" s="125"/>
      <c r="AY169" s="125"/>
      <c r="AZ169" s="125"/>
      <c r="BA169" s="125"/>
      <c r="BB169" s="125"/>
      <c r="BC169" s="125"/>
      <c r="BD169" s="125"/>
      <c r="BE169" s="125"/>
      <c r="BF169" s="125"/>
      <c r="BG169" s="125"/>
      <c r="BH169" s="125"/>
      <c r="BI169" s="125"/>
      <c r="BJ169" s="125"/>
      <c r="BK169" s="125"/>
      <c r="BL169" s="125"/>
      <c r="BM169" s="125"/>
      <c r="BN169" s="125"/>
      <c r="BO169" s="125"/>
      <c r="BP169" s="125"/>
      <c r="BQ169" s="125"/>
      <c r="BR169" s="125"/>
      <c r="BS169" s="125"/>
      <c r="BT169" s="125"/>
      <c r="BU169" s="125"/>
      <c r="BV169" s="125"/>
      <c r="BW169" s="125"/>
      <c r="BX169" s="125"/>
      <c r="BY169" s="125"/>
      <c r="BZ169" s="125"/>
      <c r="CA169" s="125"/>
      <c r="CB169" s="125"/>
      <c r="CC169" s="125"/>
      <c r="CD169" s="125"/>
      <c r="CE169" s="125"/>
      <c r="CF169" s="125"/>
      <c r="CG169" s="125"/>
      <c r="CH169" s="125"/>
      <c r="CI169" s="125"/>
      <c r="CJ169" s="125"/>
      <c r="CK169" s="125"/>
      <c r="CL169" s="125"/>
      <c r="CM169" s="125"/>
      <c r="CN169" s="125"/>
      <c r="CO169" s="125"/>
      <c r="CP169" s="125"/>
      <c r="CQ169" s="125"/>
      <c r="CR169" s="125"/>
      <c r="CS169" s="125"/>
      <c r="CT169" s="125"/>
      <c r="CU169" s="125"/>
      <c r="CV169" s="125"/>
      <c r="CW169" s="125"/>
      <c r="CX169" s="125"/>
      <c r="CY169" s="125"/>
      <c r="CZ169" s="125"/>
      <c r="DA169" s="125"/>
      <c r="DB169" s="125"/>
      <c r="DC169" s="125"/>
      <c r="DD169" s="125"/>
      <c r="DE169" s="125"/>
      <c r="DF169" s="125"/>
      <c r="DG169" s="125"/>
      <c r="DH169" s="125"/>
      <c r="DI169" s="125"/>
      <c r="DJ169" s="125"/>
      <c r="DK169" s="125"/>
      <c r="DL169" s="125"/>
      <c r="DM169" s="125"/>
      <c r="DN169" s="125"/>
      <c r="DO169" s="125"/>
      <c r="DP169" s="125"/>
      <c r="DQ169" s="125"/>
      <c r="DR169" s="125"/>
      <c r="DS169" s="125"/>
      <c r="DT169" s="125"/>
      <c r="DU169" s="125"/>
      <c r="DV169" s="125"/>
      <c r="DW169" s="125"/>
      <c r="DX169" s="125"/>
      <c r="DY169" s="125"/>
      <c r="DZ169" s="125"/>
      <c r="EA169" s="125"/>
      <c r="EB169" s="125"/>
      <c r="EC169" s="125"/>
      <c r="ED169" s="125"/>
      <c r="EE169" s="125"/>
      <c r="EF169" s="125"/>
      <c r="EG169" s="125"/>
      <c r="EH169" s="125"/>
      <c r="EI169" s="125"/>
      <c r="EJ169" s="125"/>
      <c r="EK169" s="125"/>
      <c r="EL169" s="125"/>
      <c r="EM169" s="125"/>
      <c r="EN169" s="125"/>
      <c r="EO169" s="125"/>
      <c r="EP169" s="125"/>
      <c r="EQ169" s="125"/>
      <c r="ER169" s="125"/>
      <c r="ES169" s="125"/>
      <c r="ET169" s="125"/>
      <c r="EU169" s="125"/>
      <c r="EV169" s="125"/>
      <c r="EW169" s="125"/>
      <c r="EX169" s="125"/>
      <c r="EY169" s="125"/>
      <c r="EZ169" s="125"/>
      <c r="FA169" s="125"/>
      <c r="FB169" s="125"/>
      <c r="FC169" s="125"/>
      <c r="FD169" s="125"/>
      <c r="FE169" s="125"/>
      <c r="FF169" s="125"/>
      <c r="FG169" s="125"/>
      <c r="FH169" s="125"/>
      <c r="FI169" s="125"/>
      <c r="FJ169" s="125"/>
      <c r="FK169" s="125"/>
      <c r="FL169" s="125"/>
      <c r="FM169" s="125"/>
      <c r="FN169" s="125"/>
      <c r="FO169" s="125"/>
      <c r="FP169" s="125"/>
      <c r="FQ169" s="125"/>
      <c r="FR169" s="125"/>
      <c r="FS169" s="125"/>
      <c r="FT169" s="125"/>
      <c r="FU169" s="125"/>
      <c r="FV169" s="125"/>
      <c r="FW169" s="125"/>
      <c r="FX169" s="125"/>
      <c r="FY169" s="125"/>
      <c r="FZ169" s="125"/>
      <c r="GA169" s="125"/>
      <c r="GB169" s="125"/>
      <c r="GC169" s="125"/>
      <c r="GD169" s="125"/>
      <c r="GE169" s="125"/>
      <c r="GF169" s="125"/>
      <c r="GG169" s="125"/>
      <c r="GH169" s="125"/>
      <c r="GI169" s="125"/>
      <c r="GJ169" s="125"/>
      <c r="GK169" s="125"/>
      <c r="GL169" s="125"/>
      <c r="GM169" s="125"/>
      <c r="GN169" s="125"/>
      <c r="GO169" s="125"/>
      <c r="GP169" s="125"/>
      <c r="GQ169" s="125"/>
      <c r="GR169" s="125"/>
      <c r="GS169" s="125"/>
      <c r="GT169" s="125"/>
      <c r="GU169" s="125"/>
      <c r="GV169" s="125"/>
      <c r="GW169" s="125"/>
      <c r="GX169" s="125"/>
      <c r="GY169" s="125"/>
      <c r="GZ169" s="125"/>
      <c r="HA169" s="125"/>
      <c r="HB169" s="125"/>
      <c r="HC169" s="125"/>
      <c r="HD169" s="125"/>
      <c r="HE169" s="125"/>
      <c r="HF169" s="125"/>
      <c r="HG169" s="125"/>
      <c r="HH169" s="125"/>
      <c r="HI169" s="125"/>
      <c r="HJ169" s="125"/>
      <c r="HK169" s="125"/>
      <c r="HL169" s="125"/>
      <c r="HM169" s="125"/>
      <c r="HN169" s="125"/>
      <c r="HO169" s="125"/>
      <c r="HP169" s="125"/>
      <c r="HQ169" s="125"/>
      <c r="HR169" s="125"/>
      <c r="HS169" s="125"/>
      <c r="HT169" s="125"/>
      <c r="HU169" s="125"/>
      <c r="HV169" s="125"/>
      <c r="HW169" s="125"/>
      <c r="HX169" s="125"/>
      <c r="HY169" s="125"/>
      <c r="HZ169" s="125"/>
      <c r="IA169" s="125"/>
      <c r="IB169" s="125"/>
      <c r="IC169" s="125"/>
      <c r="ID169" s="125"/>
      <c r="IE169" s="125"/>
      <c r="IF169" s="125"/>
      <c r="IG169" s="125"/>
      <c r="IH169" s="125"/>
      <c r="II169" s="125"/>
      <c r="IJ169" s="125"/>
      <c r="IK169" s="125"/>
      <c r="IL169" s="125"/>
      <c r="IM169" s="125"/>
      <c r="IN169" s="125"/>
      <c r="IO169" s="125"/>
      <c r="IP169" s="125"/>
      <c r="IQ169" s="125"/>
      <c r="IR169" s="125"/>
      <c r="IS169" s="125"/>
      <c r="IT169" s="125"/>
      <c r="IU169" s="125"/>
      <c r="IV169" s="125"/>
    </row>
    <row r="170" spans="1:256" s="3" customFormat="1">
      <c r="A170" s="80">
        <v>20</v>
      </c>
      <c r="B170" s="56">
        <v>43067</v>
      </c>
      <c r="C170" s="18"/>
      <c r="D170" s="19" t="s">
        <v>200</v>
      </c>
      <c r="E170" s="20" t="s">
        <v>203</v>
      </c>
      <c r="F170" s="82" t="s">
        <v>240</v>
      </c>
      <c r="G170" s="58">
        <v>1709</v>
      </c>
      <c r="H170" s="121">
        <f>1962300+14400</f>
        <v>1976700</v>
      </c>
      <c r="I170" s="24">
        <v>1882571</v>
      </c>
      <c r="J170" s="122"/>
      <c r="K170" s="24">
        <f t="shared" si="9"/>
        <v>1882571</v>
      </c>
      <c r="L170" s="123">
        <v>1</v>
      </c>
      <c r="M170" s="24">
        <f t="shared" si="10"/>
        <v>1882571</v>
      </c>
      <c r="N170" s="124">
        <f t="shared" si="11"/>
        <v>0</v>
      </c>
      <c r="O170" s="107" t="s">
        <v>216</v>
      </c>
      <c r="AF170" s="125"/>
      <c r="AG170" s="125"/>
      <c r="AH170" s="125"/>
      <c r="AI170" s="125"/>
      <c r="AJ170" s="125"/>
      <c r="AK170" s="125"/>
      <c r="AL170" s="125"/>
      <c r="AM170" s="125"/>
      <c r="AN170" s="125"/>
      <c r="AO170" s="125"/>
      <c r="AP170" s="125"/>
      <c r="AQ170" s="125"/>
      <c r="AR170" s="125"/>
      <c r="AS170" s="125"/>
      <c r="AT170" s="125"/>
      <c r="AU170" s="125"/>
      <c r="AV170" s="125"/>
      <c r="AW170" s="125"/>
      <c r="AX170" s="125"/>
      <c r="AY170" s="125"/>
      <c r="AZ170" s="125"/>
      <c r="BA170" s="125"/>
      <c r="BB170" s="125"/>
      <c r="BC170" s="125"/>
      <c r="BD170" s="125"/>
      <c r="BE170" s="125"/>
      <c r="BF170" s="125"/>
      <c r="BG170" s="125"/>
      <c r="BH170" s="125"/>
      <c r="BI170" s="125"/>
      <c r="BJ170" s="125"/>
      <c r="BK170" s="125"/>
      <c r="BL170" s="125"/>
      <c r="BM170" s="125"/>
      <c r="BN170" s="125"/>
      <c r="BO170" s="125"/>
      <c r="BP170" s="125"/>
      <c r="BQ170" s="125"/>
      <c r="BR170" s="125"/>
      <c r="BS170" s="125"/>
      <c r="BT170" s="125"/>
      <c r="BU170" s="125"/>
      <c r="BV170" s="125"/>
      <c r="BW170" s="125"/>
      <c r="BX170" s="125"/>
      <c r="BY170" s="125"/>
      <c r="BZ170" s="125"/>
      <c r="CA170" s="125"/>
      <c r="CB170" s="125"/>
      <c r="CC170" s="125"/>
      <c r="CD170" s="125"/>
      <c r="CE170" s="125"/>
      <c r="CF170" s="125"/>
      <c r="CG170" s="125"/>
      <c r="CH170" s="125"/>
      <c r="CI170" s="125"/>
      <c r="CJ170" s="125"/>
      <c r="CK170" s="125"/>
      <c r="CL170" s="125"/>
      <c r="CM170" s="125"/>
      <c r="CN170" s="125"/>
      <c r="CO170" s="125"/>
      <c r="CP170" s="125"/>
      <c r="CQ170" s="125"/>
      <c r="CR170" s="125"/>
      <c r="CS170" s="125"/>
      <c r="CT170" s="125"/>
      <c r="CU170" s="125"/>
      <c r="CV170" s="125"/>
      <c r="CW170" s="125"/>
      <c r="CX170" s="125"/>
      <c r="CY170" s="125"/>
      <c r="CZ170" s="125"/>
      <c r="DA170" s="125"/>
      <c r="DB170" s="125"/>
      <c r="DC170" s="125"/>
      <c r="DD170" s="125"/>
      <c r="DE170" s="125"/>
      <c r="DF170" s="125"/>
      <c r="DG170" s="125"/>
      <c r="DH170" s="125"/>
      <c r="DI170" s="125"/>
      <c r="DJ170" s="125"/>
      <c r="DK170" s="125"/>
      <c r="DL170" s="125"/>
      <c r="DM170" s="125"/>
      <c r="DN170" s="125"/>
      <c r="DO170" s="125"/>
      <c r="DP170" s="125"/>
      <c r="DQ170" s="125"/>
      <c r="DR170" s="125"/>
      <c r="DS170" s="125"/>
      <c r="DT170" s="125"/>
      <c r="DU170" s="125"/>
      <c r="DV170" s="125"/>
      <c r="DW170" s="125"/>
      <c r="DX170" s="125"/>
      <c r="DY170" s="125"/>
      <c r="DZ170" s="125"/>
      <c r="EA170" s="125"/>
      <c r="EB170" s="125"/>
      <c r="EC170" s="125"/>
      <c r="ED170" s="125"/>
      <c r="EE170" s="125"/>
      <c r="EF170" s="125"/>
      <c r="EG170" s="125"/>
      <c r="EH170" s="125"/>
      <c r="EI170" s="125"/>
      <c r="EJ170" s="125"/>
      <c r="EK170" s="125"/>
      <c r="EL170" s="125"/>
      <c r="EM170" s="125"/>
      <c r="EN170" s="125"/>
      <c r="EO170" s="125"/>
      <c r="EP170" s="125"/>
      <c r="EQ170" s="125"/>
      <c r="ER170" s="125"/>
      <c r="ES170" s="125"/>
      <c r="ET170" s="125"/>
      <c r="EU170" s="125"/>
      <c r="EV170" s="125"/>
      <c r="EW170" s="125"/>
      <c r="EX170" s="125"/>
      <c r="EY170" s="125"/>
      <c r="EZ170" s="125"/>
      <c r="FA170" s="125"/>
      <c r="FB170" s="125"/>
      <c r="FC170" s="125"/>
      <c r="FD170" s="125"/>
      <c r="FE170" s="125"/>
      <c r="FF170" s="125"/>
      <c r="FG170" s="125"/>
      <c r="FH170" s="125"/>
      <c r="FI170" s="125"/>
      <c r="FJ170" s="125"/>
      <c r="FK170" s="125"/>
      <c r="FL170" s="125"/>
      <c r="FM170" s="125"/>
      <c r="FN170" s="125"/>
      <c r="FO170" s="125"/>
      <c r="FP170" s="125"/>
      <c r="FQ170" s="125"/>
      <c r="FR170" s="125"/>
      <c r="FS170" s="125"/>
      <c r="FT170" s="125"/>
      <c r="FU170" s="125"/>
      <c r="FV170" s="125"/>
      <c r="FW170" s="125"/>
      <c r="FX170" s="125"/>
      <c r="FY170" s="125"/>
      <c r="FZ170" s="125"/>
      <c r="GA170" s="125"/>
      <c r="GB170" s="125"/>
      <c r="GC170" s="125"/>
      <c r="GD170" s="125"/>
      <c r="GE170" s="125"/>
      <c r="GF170" s="125"/>
      <c r="GG170" s="125"/>
      <c r="GH170" s="125"/>
      <c r="GI170" s="125"/>
      <c r="GJ170" s="125"/>
      <c r="GK170" s="125"/>
      <c r="GL170" s="125"/>
      <c r="GM170" s="125"/>
      <c r="GN170" s="125"/>
      <c r="GO170" s="125"/>
      <c r="GP170" s="125"/>
      <c r="GQ170" s="125"/>
      <c r="GR170" s="125"/>
      <c r="GS170" s="125"/>
      <c r="GT170" s="125"/>
      <c r="GU170" s="125"/>
      <c r="GV170" s="125"/>
      <c r="GW170" s="125"/>
      <c r="GX170" s="125"/>
      <c r="GY170" s="125"/>
      <c r="GZ170" s="125"/>
      <c r="HA170" s="125"/>
      <c r="HB170" s="125"/>
      <c r="HC170" s="125"/>
      <c r="HD170" s="125"/>
      <c r="HE170" s="125"/>
      <c r="HF170" s="125"/>
      <c r="HG170" s="125"/>
      <c r="HH170" s="125"/>
      <c r="HI170" s="125"/>
      <c r="HJ170" s="125"/>
      <c r="HK170" s="125"/>
      <c r="HL170" s="125"/>
      <c r="HM170" s="125"/>
      <c r="HN170" s="125"/>
      <c r="HO170" s="125"/>
      <c r="HP170" s="125"/>
      <c r="HQ170" s="125"/>
      <c r="HR170" s="125"/>
      <c r="HS170" s="125"/>
      <c r="HT170" s="125"/>
      <c r="HU170" s="125"/>
      <c r="HV170" s="125"/>
      <c r="HW170" s="125"/>
      <c r="HX170" s="125"/>
      <c r="HY170" s="125"/>
      <c r="HZ170" s="125"/>
      <c r="IA170" s="125"/>
      <c r="IB170" s="125"/>
      <c r="IC170" s="125"/>
      <c r="ID170" s="125"/>
      <c r="IE170" s="125"/>
      <c r="IF170" s="125"/>
      <c r="IG170" s="125"/>
      <c r="IH170" s="125"/>
      <c r="II170" s="125"/>
      <c r="IJ170" s="125"/>
      <c r="IK170" s="125"/>
      <c r="IL170" s="125"/>
      <c r="IM170" s="125"/>
      <c r="IN170" s="125"/>
      <c r="IO170" s="125"/>
      <c r="IP170" s="125"/>
      <c r="IQ170" s="125"/>
      <c r="IR170" s="125"/>
      <c r="IS170" s="125"/>
      <c r="IT170" s="125"/>
      <c r="IU170" s="125"/>
      <c r="IV170" s="125"/>
    </row>
    <row r="171" spans="1:256" s="3" customFormat="1">
      <c r="A171" s="80">
        <v>21</v>
      </c>
      <c r="B171" s="60">
        <v>43082</v>
      </c>
      <c r="C171" s="18"/>
      <c r="D171" s="19" t="s">
        <v>201</v>
      </c>
      <c r="E171" s="20" t="s">
        <v>203</v>
      </c>
      <c r="F171" s="120" t="s">
        <v>241</v>
      </c>
      <c r="G171" s="58">
        <v>1709</v>
      </c>
      <c r="H171" s="121">
        <f>14400+1962300</f>
        <v>1976700</v>
      </c>
      <c r="I171" s="24"/>
      <c r="J171" s="122">
        <f>SUM(H171)/1.05</f>
        <v>1882571.4285714284</v>
      </c>
      <c r="K171" s="24">
        <f t="shared" si="9"/>
        <v>1882571.4285714284</v>
      </c>
      <c r="L171" s="123">
        <v>1</v>
      </c>
      <c r="M171" s="24">
        <f t="shared" si="10"/>
        <v>1882571.4285714284</v>
      </c>
      <c r="N171" s="124">
        <f t="shared" si="11"/>
        <v>0</v>
      </c>
      <c r="O171" s="107" t="s">
        <v>216</v>
      </c>
      <c r="AF171" s="125"/>
      <c r="AG171" s="125"/>
      <c r="AH171" s="125"/>
      <c r="AI171" s="125"/>
      <c r="AJ171" s="125"/>
      <c r="AK171" s="125"/>
      <c r="AL171" s="125"/>
      <c r="AM171" s="125"/>
      <c r="AN171" s="125"/>
      <c r="AO171" s="125"/>
      <c r="AP171" s="125"/>
      <c r="AQ171" s="125"/>
      <c r="AR171" s="125"/>
      <c r="AS171" s="125"/>
      <c r="AT171" s="125"/>
      <c r="AU171" s="125"/>
      <c r="AV171" s="125"/>
      <c r="AW171" s="125"/>
      <c r="AX171" s="125"/>
      <c r="AY171" s="125"/>
      <c r="AZ171" s="125"/>
      <c r="BA171" s="125"/>
      <c r="BB171" s="125"/>
      <c r="BC171" s="125"/>
      <c r="BD171" s="125"/>
      <c r="BE171" s="125"/>
      <c r="BF171" s="125"/>
      <c r="BG171" s="125"/>
      <c r="BH171" s="125"/>
      <c r="BI171" s="125"/>
      <c r="BJ171" s="125"/>
      <c r="BK171" s="125"/>
      <c r="BL171" s="125"/>
      <c r="BM171" s="125"/>
      <c r="BN171" s="125"/>
      <c r="BO171" s="125"/>
      <c r="BP171" s="125"/>
      <c r="BQ171" s="125"/>
      <c r="BR171" s="125"/>
      <c r="BS171" s="125"/>
      <c r="BT171" s="125"/>
      <c r="BU171" s="125"/>
      <c r="BV171" s="125"/>
      <c r="BW171" s="125"/>
      <c r="BX171" s="125"/>
      <c r="BY171" s="125"/>
      <c r="BZ171" s="125"/>
      <c r="CA171" s="125"/>
      <c r="CB171" s="125"/>
      <c r="CC171" s="125"/>
      <c r="CD171" s="125"/>
      <c r="CE171" s="125"/>
      <c r="CF171" s="125"/>
      <c r="CG171" s="125"/>
      <c r="CH171" s="125"/>
      <c r="CI171" s="125"/>
      <c r="CJ171" s="125"/>
      <c r="CK171" s="125"/>
      <c r="CL171" s="125"/>
      <c r="CM171" s="125"/>
      <c r="CN171" s="125"/>
      <c r="CO171" s="125"/>
      <c r="CP171" s="125"/>
      <c r="CQ171" s="125"/>
      <c r="CR171" s="125"/>
      <c r="CS171" s="125"/>
      <c r="CT171" s="125"/>
      <c r="CU171" s="125"/>
      <c r="CV171" s="125"/>
      <c r="CW171" s="125"/>
      <c r="CX171" s="125"/>
      <c r="CY171" s="125"/>
      <c r="CZ171" s="125"/>
      <c r="DA171" s="125"/>
      <c r="DB171" s="125"/>
      <c r="DC171" s="125"/>
      <c r="DD171" s="125"/>
      <c r="DE171" s="125"/>
      <c r="DF171" s="125"/>
      <c r="DG171" s="125"/>
      <c r="DH171" s="125"/>
      <c r="DI171" s="125"/>
      <c r="DJ171" s="125"/>
      <c r="DK171" s="125"/>
      <c r="DL171" s="125"/>
      <c r="DM171" s="125"/>
      <c r="DN171" s="125"/>
      <c r="DO171" s="125"/>
      <c r="DP171" s="125"/>
      <c r="DQ171" s="125"/>
      <c r="DR171" s="125"/>
      <c r="DS171" s="125"/>
      <c r="DT171" s="125"/>
      <c r="DU171" s="125"/>
      <c r="DV171" s="125"/>
      <c r="DW171" s="125"/>
      <c r="DX171" s="125"/>
      <c r="DY171" s="125"/>
      <c r="DZ171" s="125"/>
      <c r="EA171" s="125"/>
      <c r="EB171" s="125"/>
      <c r="EC171" s="125"/>
      <c r="ED171" s="125"/>
      <c r="EE171" s="125"/>
      <c r="EF171" s="125"/>
      <c r="EG171" s="125"/>
      <c r="EH171" s="125"/>
      <c r="EI171" s="125"/>
      <c r="EJ171" s="125"/>
      <c r="EK171" s="125"/>
      <c r="EL171" s="125"/>
      <c r="EM171" s="125"/>
      <c r="EN171" s="125"/>
      <c r="EO171" s="125"/>
      <c r="EP171" s="125"/>
      <c r="EQ171" s="125"/>
      <c r="ER171" s="125"/>
      <c r="ES171" s="125"/>
      <c r="ET171" s="125"/>
      <c r="EU171" s="125"/>
      <c r="EV171" s="125"/>
      <c r="EW171" s="125"/>
      <c r="EX171" s="125"/>
      <c r="EY171" s="125"/>
      <c r="EZ171" s="125"/>
      <c r="FA171" s="125"/>
      <c r="FB171" s="125"/>
      <c r="FC171" s="125"/>
      <c r="FD171" s="125"/>
      <c r="FE171" s="125"/>
      <c r="FF171" s="125"/>
      <c r="FG171" s="125"/>
      <c r="FH171" s="125"/>
      <c r="FI171" s="125"/>
      <c r="FJ171" s="125"/>
      <c r="FK171" s="125"/>
      <c r="FL171" s="125"/>
      <c r="FM171" s="125"/>
      <c r="FN171" s="125"/>
      <c r="FO171" s="125"/>
      <c r="FP171" s="125"/>
      <c r="FQ171" s="125"/>
      <c r="FR171" s="125"/>
      <c r="FS171" s="125"/>
      <c r="FT171" s="125"/>
      <c r="FU171" s="125"/>
      <c r="FV171" s="125"/>
      <c r="FW171" s="125"/>
      <c r="FX171" s="125"/>
      <c r="FY171" s="125"/>
      <c r="FZ171" s="125"/>
      <c r="GA171" s="125"/>
      <c r="GB171" s="125"/>
      <c r="GC171" s="125"/>
      <c r="GD171" s="125"/>
      <c r="GE171" s="125"/>
      <c r="GF171" s="125"/>
      <c r="GG171" s="125"/>
      <c r="GH171" s="125"/>
      <c r="GI171" s="125"/>
      <c r="GJ171" s="125"/>
      <c r="GK171" s="125"/>
      <c r="GL171" s="125"/>
      <c r="GM171" s="125"/>
      <c r="GN171" s="125"/>
      <c r="GO171" s="125"/>
      <c r="GP171" s="125"/>
      <c r="GQ171" s="125"/>
      <c r="GR171" s="125"/>
      <c r="GS171" s="125"/>
      <c r="GT171" s="125"/>
      <c r="GU171" s="125"/>
      <c r="GV171" s="125"/>
      <c r="GW171" s="125"/>
      <c r="GX171" s="125"/>
      <c r="GY171" s="125"/>
      <c r="GZ171" s="125"/>
      <c r="HA171" s="125"/>
      <c r="HB171" s="125"/>
      <c r="HC171" s="125"/>
      <c r="HD171" s="125"/>
      <c r="HE171" s="125"/>
      <c r="HF171" s="125"/>
      <c r="HG171" s="125"/>
      <c r="HH171" s="125"/>
      <c r="HI171" s="125"/>
      <c r="HJ171" s="125"/>
      <c r="HK171" s="125"/>
      <c r="HL171" s="125"/>
      <c r="HM171" s="125"/>
      <c r="HN171" s="125"/>
      <c r="HO171" s="125"/>
      <c r="HP171" s="125"/>
      <c r="HQ171" s="125"/>
      <c r="HR171" s="125"/>
      <c r="HS171" s="125"/>
      <c r="HT171" s="125"/>
      <c r="HU171" s="125"/>
      <c r="HV171" s="125"/>
      <c r="HW171" s="125"/>
      <c r="HX171" s="125"/>
      <c r="HY171" s="125"/>
      <c r="HZ171" s="125"/>
      <c r="IA171" s="125"/>
      <c r="IB171" s="125"/>
      <c r="IC171" s="125"/>
      <c r="ID171" s="125"/>
      <c r="IE171" s="125"/>
      <c r="IF171" s="125"/>
      <c r="IG171" s="125"/>
      <c r="IH171" s="125"/>
      <c r="II171" s="125"/>
      <c r="IJ171" s="125"/>
      <c r="IK171" s="125"/>
      <c r="IL171" s="125"/>
      <c r="IM171" s="125"/>
      <c r="IN171" s="125"/>
      <c r="IO171" s="125"/>
      <c r="IP171" s="125"/>
      <c r="IQ171" s="125"/>
      <c r="IR171" s="125"/>
      <c r="IS171" s="125"/>
      <c r="IT171" s="125"/>
      <c r="IU171" s="125"/>
      <c r="IV171" s="125"/>
    </row>
    <row r="172" spans="1:256" s="3" customFormat="1">
      <c r="A172" s="80">
        <v>22</v>
      </c>
      <c r="B172" s="56">
        <v>43059</v>
      </c>
      <c r="C172" s="18"/>
      <c r="D172" s="19" t="s">
        <v>200</v>
      </c>
      <c r="E172" s="20" t="s">
        <v>209</v>
      </c>
      <c r="F172" s="82" t="s">
        <v>242</v>
      </c>
      <c r="G172" s="58">
        <v>1706</v>
      </c>
      <c r="H172" s="121">
        <f>6300+1692000</f>
        <v>1698300</v>
      </c>
      <c r="I172" s="24">
        <v>1617429</v>
      </c>
      <c r="J172" s="122"/>
      <c r="K172" s="24">
        <f t="shared" si="9"/>
        <v>1617429</v>
      </c>
      <c r="L172" s="123">
        <v>1</v>
      </c>
      <c r="M172" s="24">
        <f t="shared" si="10"/>
        <v>1617429</v>
      </c>
      <c r="N172" s="124">
        <f t="shared" si="11"/>
        <v>0</v>
      </c>
      <c r="O172" s="107" t="s">
        <v>216</v>
      </c>
      <c r="AF172" s="125"/>
      <c r="AG172" s="125"/>
      <c r="AH172" s="125"/>
      <c r="AI172" s="125"/>
      <c r="AJ172" s="125"/>
      <c r="AK172" s="125"/>
      <c r="AL172" s="125"/>
      <c r="AM172" s="125"/>
      <c r="AN172" s="125"/>
      <c r="AO172" s="125"/>
      <c r="AP172" s="125"/>
      <c r="AQ172" s="125"/>
      <c r="AR172" s="125"/>
      <c r="AS172" s="125"/>
      <c r="AT172" s="125"/>
      <c r="AU172" s="125"/>
      <c r="AV172" s="125"/>
      <c r="AW172" s="125"/>
      <c r="AX172" s="125"/>
      <c r="AY172" s="125"/>
      <c r="AZ172" s="125"/>
      <c r="BA172" s="125"/>
      <c r="BB172" s="125"/>
      <c r="BC172" s="125"/>
      <c r="BD172" s="125"/>
      <c r="BE172" s="125"/>
      <c r="BF172" s="125"/>
      <c r="BG172" s="125"/>
      <c r="BH172" s="125"/>
      <c r="BI172" s="125"/>
      <c r="BJ172" s="125"/>
      <c r="BK172" s="125"/>
      <c r="BL172" s="125"/>
      <c r="BM172" s="125"/>
      <c r="BN172" s="125"/>
      <c r="BO172" s="125"/>
      <c r="BP172" s="125"/>
      <c r="BQ172" s="125"/>
      <c r="BR172" s="125"/>
      <c r="BS172" s="125"/>
      <c r="BT172" s="125"/>
      <c r="BU172" s="125"/>
      <c r="BV172" s="125"/>
      <c r="BW172" s="125"/>
      <c r="BX172" s="125"/>
      <c r="BY172" s="125"/>
      <c r="BZ172" s="125"/>
      <c r="CA172" s="125"/>
      <c r="CB172" s="125"/>
      <c r="CC172" s="125"/>
      <c r="CD172" s="125"/>
      <c r="CE172" s="125"/>
      <c r="CF172" s="125"/>
      <c r="CG172" s="125"/>
      <c r="CH172" s="125"/>
      <c r="CI172" s="125"/>
      <c r="CJ172" s="125"/>
      <c r="CK172" s="125"/>
      <c r="CL172" s="125"/>
      <c r="CM172" s="125"/>
      <c r="CN172" s="125"/>
      <c r="CO172" s="125"/>
      <c r="CP172" s="125"/>
      <c r="CQ172" s="125"/>
      <c r="CR172" s="125"/>
      <c r="CS172" s="125"/>
      <c r="CT172" s="125"/>
      <c r="CU172" s="125"/>
      <c r="CV172" s="125"/>
      <c r="CW172" s="125"/>
      <c r="CX172" s="125"/>
      <c r="CY172" s="125"/>
      <c r="CZ172" s="125"/>
      <c r="DA172" s="125"/>
      <c r="DB172" s="125"/>
      <c r="DC172" s="125"/>
      <c r="DD172" s="125"/>
      <c r="DE172" s="125"/>
      <c r="DF172" s="125"/>
      <c r="DG172" s="125"/>
      <c r="DH172" s="125"/>
      <c r="DI172" s="125"/>
      <c r="DJ172" s="125"/>
      <c r="DK172" s="125"/>
      <c r="DL172" s="125"/>
      <c r="DM172" s="125"/>
      <c r="DN172" s="125"/>
      <c r="DO172" s="125"/>
      <c r="DP172" s="125"/>
      <c r="DQ172" s="125"/>
      <c r="DR172" s="125"/>
      <c r="DS172" s="125"/>
      <c r="DT172" s="125"/>
      <c r="DU172" s="125"/>
      <c r="DV172" s="125"/>
      <c r="DW172" s="125"/>
      <c r="DX172" s="125"/>
      <c r="DY172" s="125"/>
      <c r="DZ172" s="125"/>
      <c r="EA172" s="125"/>
      <c r="EB172" s="125"/>
      <c r="EC172" s="125"/>
      <c r="ED172" s="125"/>
      <c r="EE172" s="125"/>
      <c r="EF172" s="125"/>
      <c r="EG172" s="125"/>
      <c r="EH172" s="125"/>
      <c r="EI172" s="125"/>
      <c r="EJ172" s="125"/>
      <c r="EK172" s="125"/>
      <c r="EL172" s="125"/>
      <c r="EM172" s="125"/>
      <c r="EN172" s="125"/>
      <c r="EO172" s="125"/>
      <c r="EP172" s="125"/>
      <c r="EQ172" s="125"/>
      <c r="ER172" s="125"/>
      <c r="ES172" s="125"/>
      <c r="ET172" s="125"/>
      <c r="EU172" s="125"/>
      <c r="EV172" s="125"/>
      <c r="EW172" s="125"/>
      <c r="EX172" s="125"/>
      <c r="EY172" s="125"/>
      <c r="EZ172" s="125"/>
      <c r="FA172" s="125"/>
      <c r="FB172" s="125"/>
      <c r="FC172" s="125"/>
      <c r="FD172" s="125"/>
      <c r="FE172" s="125"/>
      <c r="FF172" s="125"/>
      <c r="FG172" s="125"/>
      <c r="FH172" s="125"/>
      <c r="FI172" s="125"/>
      <c r="FJ172" s="125"/>
      <c r="FK172" s="125"/>
      <c r="FL172" s="125"/>
      <c r="FM172" s="125"/>
      <c r="FN172" s="125"/>
      <c r="FO172" s="125"/>
      <c r="FP172" s="125"/>
      <c r="FQ172" s="125"/>
      <c r="FR172" s="125"/>
      <c r="FS172" s="125"/>
      <c r="FT172" s="125"/>
      <c r="FU172" s="125"/>
      <c r="FV172" s="125"/>
      <c r="FW172" s="125"/>
      <c r="FX172" s="125"/>
      <c r="FY172" s="125"/>
      <c r="FZ172" s="125"/>
      <c r="GA172" s="125"/>
      <c r="GB172" s="125"/>
      <c r="GC172" s="125"/>
      <c r="GD172" s="125"/>
      <c r="GE172" s="125"/>
      <c r="GF172" s="125"/>
      <c r="GG172" s="125"/>
      <c r="GH172" s="125"/>
      <c r="GI172" s="125"/>
      <c r="GJ172" s="125"/>
      <c r="GK172" s="125"/>
      <c r="GL172" s="125"/>
      <c r="GM172" s="125"/>
      <c r="GN172" s="125"/>
      <c r="GO172" s="125"/>
      <c r="GP172" s="125"/>
      <c r="GQ172" s="125"/>
      <c r="GR172" s="125"/>
      <c r="GS172" s="125"/>
      <c r="GT172" s="125"/>
      <c r="GU172" s="125"/>
      <c r="GV172" s="125"/>
      <c r="GW172" s="125"/>
      <c r="GX172" s="125"/>
      <c r="GY172" s="125"/>
      <c r="GZ172" s="125"/>
      <c r="HA172" s="125"/>
      <c r="HB172" s="125"/>
      <c r="HC172" s="125"/>
      <c r="HD172" s="125"/>
      <c r="HE172" s="125"/>
      <c r="HF172" s="125"/>
      <c r="HG172" s="125"/>
      <c r="HH172" s="125"/>
      <c r="HI172" s="125"/>
      <c r="HJ172" s="125"/>
      <c r="HK172" s="125"/>
      <c r="HL172" s="125"/>
      <c r="HM172" s="125"/>
      <c r="HN172" s="125"/>
      <c r="HO172" s="125"/>
      <c r="HP172" s="125"/>
      <c r="HQ172" s="125"/>
      <c r="HR172" s="125"/>
      <c r="HS172" s="125"/>
      <c r="HT172" s="125"/>
      <c r="HU172" s="125"/>
      <c r="HV172" s="125"/>
      <c r="HW172" s="125"/>
      <c r="HX172" s="125"/>
      <c r="HY172" s="125"/>
      <c r="HZ172" s="125"/>
      <c r="IA172" s="125"/>
      <c r="IB172" s="125"/>
      <c r="IC172" s="125"/>
      <c r="ID172" s="125"/>
      <c r="IE172" s="125"/>
      <c r="IF172" s="125"/>
      <c r="IG172" s="125"/>
      <c r="IH172" s="125"/>
      <c r="II172" s="125"/>
      <c r="IJ172" s="125"/>
      <c r="IK172" s="125"/>
      <c r="IL172" s="125"/>
      <c r="IM172" s="125"/>
      <c r="IN172" s="125"/>
      <c r="IO172" s="125"/>
      <c r="IP172" s="125"/>
      <c r="IQ172" s="125"/>
      <c r="IR172" s="125"/>
      <c r="IS172" s="125"/>
      <c r="IT172" s="125"/>
      <c r="IU172" s="125"/>
      <c r="IV172" s="125"/>
    </row>
    <row r="173" spans="1:256" s="3" customFormat="1">
      <c r="A173" s="80">
        <v>23</v>
      </c>
      <c r="B173" s="56">
        <v>43073</v>
      </c>
      <c r="C173" s="18"/>
      <c r="D173" s="19" t="s">
        <v>200</v>
      </c>
      <c r="E173" s="20" t="s">
        <v>209</v>
      </c>
      <c r="F173" s="62" t="s">
        <v>243</v>
      </c>
      <c r="G173" s="63">
        <v>1709</v>
      </c>
      <c r="H173" s="121">
        <v>1674000</v>
      </c>
      <c r="I173" s="24"/>
      <c r="J173" s="122">
        <f>SUM(H173)/1.05</f>
        <v>1594285.7142857143</v>
      </c>
      <c r="K173" s="24">
        <f t="shared" si="9"/>
        <v>1594285.7142857143</v>
      </c>
      <c r="L173" s="123">
        <v>1</v>
      </c>
      <c r="M173" s="24">
        <f t="shared" si="10"/>
        <v>1594285.7142857143</v>
      </c>
      <c r="N173" s="124">
        <f t="shared" si="11"/>
        <v>0</v>
      </c>
      <c r="O173" s="107" t="s">
        <v>216</v>
      </c>
      <c r="AF173" s="125"/>
      <c r="AG173" s="125"/>
      <c r="AH173" s="125"/>
      <c r="AI173" s="125"/>
      <c r="AJ173" s="125"/>
      <c r="AK173" s="125"/>
      <c r="AL173" s="125"/>
      <c r="AM173" s="125"/>
      <c r="AN173" s="125"/>
      <c r="AO173" s="125"/>
      <c r="AP173" s="125"/>
      <c r="AQ173" s="125"/>
      <c r="AR173" s="125"/>
      <c r="AS173" s="125"/>
      <c r="AT173" s="125"/>
      <c r="AU173" s="125"/>
      <c r="AV173" s="125"/>
      <c r="AW173" s="125"/>
      <c r="AX173" s="125"/>
      <c r="AY173" s="125"/>
      <c r="AZ173" s="125"/>
      <c r="BA173" s="125"/>
      <c r="BB173" s="125"/>
      <c r="BC173" s="125"/>
      <c r="BD173" s="125"/>
      <c r="BE173" s="125"/>
      <c r="BF173" s="125"/>
      <c r="BG173" s="125"/>
      <c r="BH173" s="125"/>
      <c r="BI173" s="125"/>
      <c r="BJ173" s="125"/>
      <c r="BK173" s="125"/>
      <c r="BL173" s="125"/>
      <c r="BM173" s="125"/>
      <c r="BN173" s="125"/>
      <c r="BO173" s="125"/>
      <c r="BP173" s="125"/>
      <c r="BQ173" s="125"/>
      <c r="BR173" s="125"/>
      <c r="BS173" s="125"/>
      <c r="BT173" s="125"/>
      <c r="BU173" s="125"/>
      <c r="BV173" s="125"/>
      <c r="BW173" s="125"/>
      <c r="BX173" s="125"/>
      <c r="BY173" s="125"/>
      <c r="BZ173" s="125"/>
      <c r="CA173" s="125"/>
      <c r="CB173" s="125"/>
      <c r="CC173" s="125"/>
      <c r="CD173" s="125"/>
      <c r="CE173" s="125"/>
      <c r="CF173" s="125"/>
      <c r="CG173" s="125"/>
      <c r="CH173" s="125"/>
      <c r="CI173" s="125"/>
      <c r="CJ173" s="125"/>
      <c r="CK173" s="125"/>
      <c r="CL173" s="125"/>
      <c r="CM173" s="125"/>
      <c r="CN173" s="125"/>
      <c r="CO173" s="125"/>
      <c r="CP173" s="125"/>
      <c r="CQ173" s="125"/>
      <c r="CR173" s="125"/>
      <c r="CS173" s="125"/>
      <c r="CT173" s="125"/>
      <c r="CU173" s="125"/>
      <c r="CV173" s="125"/>
      <c r="CW173" s="125"/>
      <c r="CX173" s="125"/>
      <c r="CY173" s="125"/>
      <c r="CZ173" s="125"/>
      <c r="DA173" s="125"/>
      <c r="DB173" s="125"/>
      <c r="DC173" s="125"/>
      <c r="DD173" s="125"/>
      <c r="DE173" s="125"/>
      <c r="DF173" s="125"/>
      <c r="DG173" s="125"/>
      <c r="DH173" s="125"/>
      <c r="DI173" s="125"/>
      <c r="DJ173" s="125"/>
      <c r="DK173" s="125"/>
      <c r="DL173" s="125"/>
      <c r="DM173" s="125"/>
      <c r="DN173" s="125"/>
      <c r="DO173" s="125"/>
      <c r="DP173" s="125"/>
      <c r="DQ173" s="125"/>
      <c r="DR173" s="125"/>
      <c r="DS173" s="125"/>
      <c r="DT173" s="125"/>
      <c r="DU173" s="125"/>
      <c r="DV173" s="125"/>
      <c r="DW173" s="125"/>
      <c r="DX173" s="125"/>
      <c r="DY173" s="125"/>
      <c r="DZ173" s="125"/>
      <c r="EA173" s="125"/>
      <c r="EB173" s="125"/>
      <c r="EC173" s="125"/>
      <c r="ED173" s="125"/>
      <c r="EE173" s="125"/>
      <c r="EF173" s="125"/>
      <c r="EG173" s="125"/>
      <c r="EH173" s="125"/>
      <c r="EI173" s="125"/>
      <c r="EJ173" s="125"/>
      <c r="EK173" s="125"/>
      <c r="EL173" s="125"/>
      <c r="EM173" s="125"/>
      <c r="EN173" s="125"/>
      <c r="EO173" s="125"/>
      <c r="EP173" s="125"/>
      <c r="EQ173" s="125"/>
      <c r="ER173" s="125"/>
      <c r="ES173" s="125"/>
      <c r="ET173" s="125"/>
      <c r="EU173" s="125"/>
      <c r="EV173" s="125"/>
      <c r="EW173" s="125"/>
      <c r="EX173" s="125"/>
      <c r="EY173" s="125"/>
      <c r="EZ173" s="125"/>
      <c r="FA173" s="125"/>
      <c r="FB173" s="125"/>
      <c r="FC173" s="125"/>
      <c r="FD173" s="125"/>
      <c r="FE173" s="125"/>
      <c r="FF173" s="125"/>
      <c r="FG173" s="125"/>
      <c r="FH173" s="125"/>
      <c r="FI173" s="125"/>
      <c r="FJ173" s="125"/>
      <c r="FK173" s="125"/>
      <c r="FL173" s="125"/>
      <c r="FM173" s="125"/>
      <c r="FN173" s="125"/>
      <c r="FO173" s="125"/>
      <c r="FP173" s="125"/>
      <c r="FQ173" s="125"/>
      <c r="FR173" s="125"/>
      <c r="FS173" s="125"/>
      <c r="FT173" s="125"/>
      <c r="FU173" s="125"/>
      <c r="FV173" s="125"/>
      <c r="FW173" s="125"/>
      <c r="FX173" s="125"/>
      <c r="FY173" s="125"/>
      <c r="FZ173" s="125"/>
      <c r="GA173" s="125"/>
      <c r="GB173" s="125"/>
      <c r="GC173" s="125"/>
      <c r="GD173" s="125"/>
      <c r="GE173" s="125"/>
      <c r="GF173" s="125"/>
      <c r="GG173" s="125"/>
      <c r="GH173" s="125"/>
      <c r="GI173" s="125"/>
      <c r="GJ173" s="125"/>
      <c r="GK173" s="125"/>
      <c r="GL173" s="125"/>
      <c r="GM173" s="125"/>
      <c r="GN173" s="125"/>
      <c r="GO173" s="125"/>
      <c r="GP173" s="125"/>
      <c r="GQ173" s="125"/>
      <c r="GR173" s="125"/>
      <c r="GS173" s="125"/>
      <c r="GT173" s="125"/>
      <c r="GU173" s="125"/>
      <c r="GV173" s="125"/>
      <c r="GW173" s="125"/>
      <c r="GX173" s="125"/>
      <c r="GY173" s="125"/>
      <c r="GZ173" s="125"/>
      <c r="HA173" s="125"/>
      <c r="HB173" s="125"/>
      <c r="HC173" s="125"/>
      <c r="HD173" s="125"/>
      <c r="HE173" s="125"/>
      <c r="HF173" s="125"/>
      <c r="HG173" s="125"/>
      <c r="HH173" s="125"/>
      <c r="HI173" s="125"/>
      <c r="HJ173" s="125"/>
      <c r="HK173" s="125"/>
      <c r="HL173" s="125"/>
      <c r="HM173" s="125"/>
      <c r="HN173" s="125"/>
      <c r="HO173" s="125"/>
      <c r="HP173" s="125"/>
      <c r="HQ173" s="125"/>
      <c r="HR173" s="125"/>
      <c r="HS173" s="125"/>
      <c r="HT173" s="125"/>
      <c r="HU173" s="125"/>
      <c r="HV173" s="125"/>
      <c r="HW173" s="125"/>
      <c r="HX173" s="125"/>
      <c r="HY173" s="125"/>
      <c r="HZ173" s="125"/>
      <c r="IA173" s="125"/>
      <c r="IB173" s="125"/>
      <c r="IC173" s="125"/>
      <c r="ID173" s="125"/>
      <c r="IE173" s="125"/>
      <c r="IF173" s="125"/>
      <c r="IG173" s="125"/>
      <c r="IH173" s="125"/>
      <c r="II173" s="125"/>
      <c r="IJ173" s="125"/>
      <c r="IK173" s="125"/>
      <c r="IL173" s="125"/>
      <c r="IM173" s="125"/>
      <c r="IN173" s="125"/>
      <c r="IO173" s="125"/>
      <c r="IP173" s="125"/>
      <c r="IQ173" s="125"/>
      <c r="IR173" s="125"/>
      <c r="IS173" s="125"/>
      <c r="IT173" s="125"/>
      <c r="IU173" s="125"/>
      <c r="IV173" s="125"/>
    </row>
    <row r="174" spans="1:256" s="3" customFormat="1">
      <c r="A174" s="80">
        <v>24</v>
      </c>
      <c r="B174" s="60">
        <v>43073</v>
      </c>
      <c r="C174" s="18"/>
      <c r="D174" s="19" t="s">
        <v>200</v>
      </c>
      <c r="E174" s="20" t="s">
        <v>209</v>
      </c>
      <c r="F174" s="120" t="s">
        <v>244</v>
      </c>
      <c r="G174" s="58">
        <v>1709</v>
      </c>
      <c r="H174" s="121">
        <v>1674000</v>
      </c>
      <c r="I174" s="24"/>
      <c r="J174" s="122">
        <f>SUM(H174)/1.05</f>
        <v>1594285.7142857143</v>
      </c>
      <c r="K174" s="24">
        <f t="shared" si="9"/>
        <v>1594285.7142857143</v>
      </c>
      <c r="L174" s="123">
        <v>1</v>
      </c>
      <c r="M174" s="24">
        <f t="shared" si="10"/>
        <v>1594285.7142857143</v>
      </c>
      <c r="N174" s="27">
        <f t="shared" si="11"/>
        <v>0</v>
      </c>
      <c r="O174" s="107" t="s">
        <v>216</v>
      </c>
    </row>
    <row r="175" spans="1:256" s="3" customFormat="1">
      <c r="A175" s="80">
        <v>25</v>
      </c>
      <c r="B175" s="56">
        <v>43095</v>
      </c>
      <c r="C175" s="18"/>
      <c r="D175" s="19" t="s">
        <v>200</v>
      </c>
      <c r="E175" s="20" t="s">
        <v>209</v>
      </c>
      <c r="F175" s="82" t="s">
        <v>245</v>
      </c>
      <c r="G175" s="58">
        <v>1710</v>
      </c>
      <c r="H175" s="121">
        <f>7200+1674000</f>
        <v>1681200</v>
      </c>
      <c r="I175" s="24"/>
      <c r="J175" s="122">
        <f>SUM(H175)/1.05</f>
        <v>1601142.857142857</v>
      </c>
      <c r="K175" s="24">
        <f t="shared" si="9"/>
        <v>1601142.857142857</v>
      </c>
      <c r="L175" s="123">
        <v>1</v>
      </c>
      <c r="M175" s="24">
        <f t="shared" si="10"/>
        <v>1601142.857142857</v>
      </c>
      <c r="N175" s="124">
        <f t="shared" si="11"/>
        <v>0</v>
      </c>
      <c r="O175" s="107" t="s">
        <v>216</v>
      </c>
    </row>
    <row r="176" spans="1:256" s="3" customFormat="1">
      <c r="A176" s="80">
        <v>26</v>
      </c>
      <c r="B176" s="60">
        <v>43080</v>
      </c>
      <c r="C176" s="18"/>
      <c r="D176" s="19" t="s">
        <v>201</v>
      </c>
      <c r="E176" s="20" t="s">
        <v>246</v>
      </c>
      <c r="F176" s="120" t="s">
        <v>247</v>
      </c>
      <c r="G176" s="58">
        <v>1709</v>
      </c>
      <c r="H176" s="121">
        <v>1209000</v>
      </c>
      <c r="I176" s="24"/>
      <c r="J176" s="122">
        <f>SUM(H176)/1.05</f>
        <v>1151428.5714285714</v>
      </c>
      <c r="K176" s="24">
        <f t="shared" si="9"/>
        <v>1151428.5714285714</v>
      </c>
      <c r="L176" s="123">
        <v>1</v>
      </c>
      <c r="M176" s="24">
        <f t="shared" si="10"/>
        <v>1151428.5714285714</v>
      </c>
      <c r="N176" s="124">
        <f t="shared" si="11"/>
        <v>0</v>
      </c>
      <c r="O176" s="107" t="s">
        <v>216</v>
      </c>
    </row>
    <row r="177" spans="1:15" s="3" customFormat="1">
      <c r="A177" s="84">
        <v>1</v>
      </c>
      <c r="B177" s="56">
        <v>43047</v>
      </c>
      <c r="C177" s="18"/>
      <c r="D177" s="19" t="s">
        <v>164</v>
      </c>
      <c r="E177" s="20" t="s">
        <v>165</v>
      </c>
      <c r="F177" s="82" t="s">
        <v>248</v>
      </c>
      <c r="G177" s="58">
        <v>1705</v>
      </c>
      <c r="H177" s="121">
        <v>1485200</v>
      </c>
      <c r="I177" s="24">
        <v>1414476</v>
      </c>
      <c r="J177" s="122"/>
      <c r="K177" s="24">
        <f t="shared" si="9"/>
        <v>1414476</v>
      </c>
      <c r="L177" s="123">
        <v>1</v>
      </c>
      <c r="M177" s="24">
        <f t="shared" si="10"/>
        <v>1414476</v>
      </c>
      <c r="N177" s="124">
        <f t="shared" si="11"/>
        <v>0</v>
      </c>
      <c r="O177" s="85" t="s">
        <v>249</v>
      </c>
    </row>
    <row r="178" spans="1:15" s="3" customFormat="1">
      <c r="A178" s="84">
        <v>2</v>
      </c>
      <c r="B178" s="56">
        <v>42914</v>
      </c>
      <c r="C178" s="18"/>
      <c r="D178" s="19" t="s">
        <v>165</v>
      </c>
      <c r="E178" s="20" t="s">
        <v>250</v>
      </c>
      <c r="F178" s="82" t="s">
        <v>251</v>
      </c>
      <c r="G178" s="58">
        <v>1704</v>
      </c>
      <c r="H178" s="121"/>
      <c r="I178" s="24">
        <v>1656857</v>
      </c>
      <c r="J178" s="24"/>
      <c r="K178" s="24">
        <f t="shared" si="9"/>
        <v>1656857</v>
      </c>
      <c r="L178" s="123">
        <v>1</v>
      </c>
      <c r="M178" s="24">
        <f t="shared" si="10"/>
        <v>1656857</v>
      </c>
      <c r="N178" s="124">
        <f t="shared" si="11"/>
        <v>0</v>
      </c>
      <c r="O178" s="85" t="s">
        <v>249</v>
      </c>
    </row>
    <row r="179" spans="1:15" s="3" customFormat="1">
      <c r="A179" s="84">
        <v>3</v>
      </c>
      <c r="B179" s="56">
        <v>43073</v>
      </c>
      <c r="C179" s="18"/>
      <c r="D179" s="19" t="s">
        <v>172</v>
      </c>
      <c r="E179" s="20" t="s">
        <v>173</v>
      </c>
      <c r="F179" s="82" t="s">
        <v>252</v>
      </c>
      <c r="G179" s="58">
        <v>1708</v>
      </c>
      <c r="H179" s="121">
        <f>90000+1302000</f>
        <v>1392000</v>
      </c>
      <c r="I179" s="24"/>
      <c r="J179" s="122">
        <f>SUM(H179)/1.05</f>
        <v>1325714.2857142857</v>
      </c>
      <c r="K179" s="24">
        <f t="shared" si="9"/>
        <v>1325714.2857142857</v>
      </c>
      <c r="L179" s="123">
        <v>1</v>
      </c>
      <c r="M179" s="24">
        <f t="shared" si="10"/>
        <v>1325714.2857142857</v>
      </c>
      <c r="N179" s="124">
        <f t="shared" si="11"/>
        <v>0</v>
      </c>
      <c r="O179" s="85" t="s">
        <v>249</v>
      </c>
    </row>
    <row r="180" spans="1:15" s="3" customFormat="1">
      <c r="A180" s="84">
        <v>4</v>
      </c>
      <c r="B180" s="56">
        <v>43074</v>
      </c>
      <c r="C180" s="18"/>
      <c r="D180" s="19" t="s">
        <v>172</v>
      </c>
      <c r="E180" s="20" t="s">
        <v>175</v>
      </c>
      <c r="F180" s="82" t="s">
        <v>253</v>
      </c>
      <c r="G180" s="58">
        <v>1709</v>
      </c>
      <c r="H180" s="121">
        <f>40000+1069500</f>
        <v>1109500</v>
      </c>
      <c r="I180" s="24"/>
      <c r="J180" s="122">
        <f>SUM(H180)/1.05</f>
        <v>1056666.6666666665</v>
      </c>
      <c r="K180" s="24">
        <f t="shared" si="9"/>
        <v>1056666.6666666665</v>
      </c>
      <c r="L180" s="123">
        <v>1</v>
      </c>
      <c r="M180" s="24">
        <f t="shared" si="10"/>
        <v>1056666.6666666665</v>
      </c>
      <c r="N180" s="124">
        <f t="shared" si="11"/>
        <v>0</v>
      </c>
      <c r="O180" s="85" t="s">
        <v>249</v>
      </c>
    </row>
    <row r="181" spans="1:15" s="3" customFormat="1">
      <c r="A181" s="84">
        <v>5</v>
      </c>
      <c r="B181" s="56">
        <v>42919</v>
      </c>
      <c r="C181" s="18"/>
      <c r="D181" s="19" t="s">
        <v>201</v>
      </c>
      <c r="E181" s="20" t="s">
        <v>200</v>
      </c>
      <c r="F181" s="82" t="s">
        <v>254</v>
      </c>
      <c r="G181" s="58">
        <v>1703</v>
      </c>
      <c r="H181" s="121"/>
      <c r="I181" s="24">
        <v>1381714</v>
      </c>
      <c r="J181" s="24"/>
      <c r="K181" s="24">
        <f t="shared" si="9"/>
        <v>1381714</v>
      </c>
      <c r="L181" s="123">
        <v>1</v>
      </c>
      <c r="M181" s="24">
        <f t="shared" si="10"/>
        <v>1381714</v>
      </c>
      <c r="N181" s="124">
        <f t="shared" si="11"/>
        <v>0</v>
      </c>
      <c r="O181" s="85" t="s">
        <v>249</v>
      </c>
    </row>
    <row r="182" spans="1:15" s="3" customFormat="1">
      <c r="A182" s="84">
        <v>6</v>
      </c>
      <c r="B182" s="60">
        <v>43080</v>
      </c>
      <c r="C182" s="18"/>
      <c r="D182" s="19" t="s">
        <v>201</v>
      </c>
      <c r="E182" s="20" t="s">
        <v>201</v>
      </c>
      <c r="F182" s="120" t="s">
        <v>255</v>
      </c>
      <c r="G182" s="58">
        <v>1709</v>
      </c>
      <c r="H182" s="121">
        <v>1450800</v>
      </c>
      <c r="I182" s="24"/>
      <c r="J182" s="122">
        <f>SUM(H182)/1.05</f>
        <v>1381714.2857142857</v>
      </c>
      <c r="K182" s="24">
        <f t="shared" si="9"/>
        <v>1381714.2857142857</v>
      </c>
      <c r="L182" s="123">
        <v>1</v>
      </c>
      <c r="M182" s="24">
        <f t="shared" si="10"/>
        <v>1381714.2857142857</v>
      </c>
      <c r="N182" s="27">
        <f t="shared" si="11"/>
        <v>0</v>
      </c>
      <c r="O182" s="85" t="s">
        <v>249</v>
      </c>
    </row>
    <row r="183" spans="1:15" s="3" customFormat="1">
      <c r="A183" s="84">
        <v>7</v>
      </c>
      <c r="B183" s="56">
        <v>43080</v>
      </c>
      <c r="C183" s="18"/>
      <c r="D183" s="19" t="s">
        <v>201</v>
      </c>
      <c r="E183" s="20" t="s">
        <v>201</v>
      </c>
      <c r="F183" s="57" t="s">
        <v>256</v>
      </c>
      <c r="G183" s="58">
        <v>1709</v>
      </c>
      <c r="H183" s="121">
        <v>1450800</v>
      </c>
      <c r="I183" s="24"/>
      <c r="J183" s="122">
        <f>SUM(H183)/1.05</f>
        <v>1381714.2857142857</v>
      </c>
      <c r="K183" s="24">
        <f t="shared" si="9"/>
        <v>1381714.2857142857</v>
      </c>
      <c r="L183" s="123">
        <v>1</v>
      </c>
      <c r="M183" s="24">
        <f t="shared" si="10"/>
        <v>1381714.2857142857</v>
      </c>
      <c r="N183" s="124">
        <f t="shared" si="11"/>
        <v>0</v>
      </c>
      <c r="O183" s="85" t="s">
        <v>249</v>
      </c>
    </row>
    <row r="184" spans="1:15" s="3" customFormat="1">
      <c r="A184" s="84">
        <v>8</v>
      </c>
      <c r="B184" s="29">
        <v>43095</v>
      </c>
      <c r="C184" s="18"/>
      <c r="D184" s="19" t="s">
        <v>200</v>
      </c>
      <c r="E184" s="20" t="s">
        <v>201</v>
      </c>
      <c r="F184" s="82" t="s">
        <v>257</v>
      </c>
      <c r="G184" s="58">
        <v>1710</v>
      </c>
      <c r="H184" s="121">
        <v>1450800</v>
      </c>
      <c r="I184" s="24"/>
      <c r="J184" s="122">
        <f>SUM(H184)/1.05</f>
        <v>1381714.2857142857</v>
      </c>
      <c r="K184" s="24">
        <f t="shared" ref="K184:K206" si="13">I184+J184</f>
        <v>1381714.2857142857</v>
      </c>
      <c r="L184" s="123">
        <v>1</v>
      </c>
      <c r="M184" s="24">
        <f t="shared" ref="M184:M192" si="14">K184*L184</f>
        <v>1381714.2857142857</v>
      </c>
      <c r="N184" s="124">
        <f t="shared" ref="N184:N206" si="15">K184-M184</f>
        <v>0</v>
      </c>
      <c r="O184" s="85" t="s">
        <v>249</v>
      </c>
    </row>
    <row r="185" spans="1:15" s="3" customFormat="1">
      <c r="A185" s="84">
        <v>9</v>
      </c>
      <c r="B185" s="60">
        <v>43095</v>
      </c>
      <c r="C185" s="18"/>
      <c r="D185" s="19" t="s">
        <v>200</v>
      </c>
      <c r="E185" s="20" t="s">
        <v>201</v>
      </c>
      <c r="F185" s="120" t="s">
        <v>258</v>
      </c>
      <c r="G185" s="58">
        <v>1710</v>
      </c>
      <c r="H185" s="121">
        <f>27000+1450800</f>
        <v>1477800</v>
      </c>
      <c r="I185" s="24"/>
      <c r="J185" s="122">
        <f>SUM(H185)/1.05</f>
        <v>1407428.5714285714</v>
      </c>
      <c r="K185" s="24">
        <f t="shared" si="13"/>
        <v>1407428.5714285714</v>
      </c>
      <c r="L185" s="123">
        <v>1</v>
      </c>
      <c r="M185" s="24">
        <f t="shared" si="14"/>
        <v>1407428.5714285714</v>
      </c>
      <c r="N185" s="124">
        <f t="shared" si="15"/>
        <v>0</v>
      </c>
      <c r="O185" s="85" t="s">
        <v>249</v>
      </c>
    </row>
    <row r="186" spans="1:15" s="3" customFormat="1">
      <c r="A186" s="84">
        <v>10</v>
      </c>
      <c r="B186" s="60">
        <v>43095</v>
      </c>
      <c r="C186" s="18"/>
      <c r="D186" s="19" t="s">
        <v>200</v>
      </c>
      <c r="E186" s="20" t="s">
        <v>203</v>
      </c>
      <c r="F186" s="82" t="s">
        <v>259</v>
      </c>
      <c r="G186" s="58">
        <v>1710</v>
      </c>
      <c r="H186" s="121">
        <f>100800+1962300</f>
        <v>2063100</v>
      </c>
      <c r="I186" s="24"/>
      <c r="J186" s="122">
        <f>SUM(H186)/1.05</f>
        <v>1964857.1428571427</v>
      </c>
      <c r="K186" s="24">
        <f t="shared" si="13"/>
        <v>1964857.1428571427</v>
      </c>
      <c r="L186" s="123">
        <v>1</v>
      </c>
      <c r="M186" s="24">
        <f t="shared" si="14"/>
        <v>1964857.1428571427</v>
      </c>
      <c r="N186" s="124">
        <f t="shared" si="15"/>
        <v>0</v>
      </c>
      <c r="O186" s="85" t="s">
        <v>249</v>
      </c>
    </row>
    <row r="187" spans="1:15" s="3" customFormat="1">
      <c r="A187" s="84">
        <v>11</v>
      </c>
      <c r="B187" s="56">
        <v>43052</v>
      </c>
      <c r="C187" s="18"/>
      <c r="D187" s="19" t="s">
        <v>200</v>
      </c>
      <c r="E187" s="20" t="s">
        <v>209</v>
      </c>
      <c r="F187" s="82" t="s">
        <v>260</v>
      </c>
      <c r="G187" s="58">
        <v>1708</v>
      </c>
      <c r="H187" s="121">
        <v>1674000</v>
      </c>
      <c r="I187" s="24">
        <v>1594286</v>
      </c>
      <c r="J187" s="122"/>
      <c r="K187" s="24">
        <f t="shared" si="13"/>
        <v>1594286</v>
      </c>
      <c r="L187" s="123">
        <v>1</v>
      </c>
      <c r="M187" s="24">
        <f t="shared" si="14"/>
        <v>1594286</v>
      </c>
      <c r="N187" s="27">
        <f t="shared" si="15"/>
        <v>0</v>
      </c>
      <c r="O187" s="85" t="s">
        <v>249</v>
      </c>
    </row>
    <row r="188" spans="1:15" s="3" customFormat="1">
      <c r="A188" s="84">
        <v>12</v>
      </c>
      <c r="B188" s="56">
        <v>43067</v>
      </c>
      <c r="C188" s="18"/>
      <c r="D188" s="19" t="s">
        <v>200</v>
      </c>
      <c r="E188" s="20" t="s">
        <v>209</v>
      </c>
      <c r="F188" s="82" t="s">
        <v>261</v>
      </c>
      <c r="G188" s="58">
        <v>1708</v>
      </c>
      <c r="H188" s="121">
        <v>1674000</v>
      </c>
      <c r="I188" s="24">
        <v>1594286</v>
      </c>
      <c r="J188" s="122"/>
      <c r="K188" s="24">
        <f t="shared" si="13"/>
        <v>1594286</v>
      </c>
      <c r="L188" s="123">
        <v>1</v>
      </c>
      <c r="M188" s="24">
        <f t="shared" si="14"/>
        <v>1594286</v>
      </c>
      <c r="N188" s="27">
        <f t="shared" si="15"/>
        <v>0</v>
      </c>
      <c r="O188" s="85" t="s">
        <v>249</v>
      </c>
    </row>
    <row r="189" spans="1:15" s="3" customFormat="1">
      <c r="A189" s="84">
        <v>13</v>
      </c>
      <c r="B189" s="60">
        <v>43095</v>
      </c>
      <c r="C189" s="18"/>
      <c r="D189" s="19" t="s">
        <v>200</v>
      </c>
      <c r="E189" s="20" t="s">
        <v>209</v>
      </c>
      <c r="F189" s="120" t="s">
        <v>262</v>
      </c>
      <c r="G189" s="58">
        <v>1710</v>
      </c>
      <c r="H189" s="121">
        <f>63900+1674000</f>
        <v>1737900</v>
      </c>
      <c r="I189" s="24"/>
      <c r="J189" s="122">
        <f>SUM(H189)/1.05</f>
        <v>1655142.857142857</v>
      </c>
      <c r="K189" s="24">
        <f t="shared" si="13"/>
        <v>1655142.857142857</v>
      </c>
      <c r="L189" s="123">
        <v>1</v>
      </c>
      <c r="M189" s="24">
        <f t="shared" si="14"/>
        <v>1655142.857142857</v>
      </c>
      <c r="N189" s="27">
        <f t="shared" si="15"/>
        <v>0</v>
      </c>
      <c r="O189" s="85" t="s">
        <v>249</v>
      </c>
    </row>
    <row r="190" spans="1:15" s="3" customFormat="1">
      <c r="A190" s="144">
        <v>1</v>
      </c>
      <c r="B190" s="60">
        <v>43020</v>
      </c>
      <c r="C190" s="18"/>
      <c r="D190" s="19" t="s">
        <v>179</v>
      </c>
      <c r="E190" s="20" t="s">
        <v>186</v>
      </c>
      <c r="F190" s="120" t="s">
        <v>263</v>
      </c>
      <c r="G190" s="58">
        <v>1707</v>
      </c>
      <c r="H190" s="121">
        <f>66300+1748400</f>
        <v>1814700</v>
      </c>
      <c r="I190" s="24">
        <v>1728286</v>
      </c>
      <c r="J190" s="122"/>
      <c r="K190" s="24">
        <f t="shared" si="13"/>
        <v>1728286</v>
      </c>
      <c r="L190" s="123">
        <v>1</v>
      </c>
      <c r="M190" s="24">
        <f t="shared" si="14"/>
        <v>1728286</v>
      </c>
      <c r="N190" s="27">
        <f t="shared" si="15"/>
        <v>0</v>
      </c>
      <c r="O190" s="126" t="s">
        <v>233</v>
      </c>
    </row>
    <row r="191" spans="1:15" s="3" customFormat="1">
      <c r="A191" s="144">
        <v>2</v>
      </c>
      <c r="B191" s="56">
        <v>43020</v>
      </c>
      <c r="C191" s="18"/>
      <c r="D191" s="19" t="s">
        <v>179</v>
      </c>
      <c r="E191" s="20" t="s">
        <v>190</v>
      </c>
      <c r="F191" s="82" t="s">
        <v>264</v>
      </c>
      <c r="G191" s="58">
        <v>1707</v>
      </c>
      <c r="H191" s="121">
        <f>40000+1023000</f>
        <v>1063000</v>
      </c>
      <c r="I191" s="24">
        <v>1012381</v>
      </c>
      <c r="J191" s="122"/>
      <c r="K191" s="24">
        <f t="shared" si="13"/>
        <v>1012381</v>
      </c>
      <c r="L191" s="123">
        <v>1</v>
      </c>
      <c r="M191" s="24">
        <f t="shared" si="14"/>
        <v>1012381</v>
      </c>
      <c r="N191" s="27">
        <f t="shared" si="15"/>
        <v>0</v>
      </c>
      <c r="O191" s="126" t="s">
        <v>226</v>
      </c>
    </row>
    <row r="192" spans="1:15" s="3" customFormat="1">
      <c r="A192" s="144">
        <v>3</v>
      </c>
      <c r="B192" s="60">
        <v>43080</v>
      </c>
      <c r="C192" s="18"/>
      <c r="D192" s="19" t="s">
        <v>201</v>
      </c>
      <c r="E192" s="20" t="s">
        <v>246</v>
      </c>
      <c r="F192" s="120" t="s">
        <v>265</v>
      </c>
      <c r="G192" s="58">
        <v>1710</v>
      </c>
      <c r="H192" s="121">
        <v>1209000</v>
      </c>
      <c r="I192" s="24"/>
      <c r="J192" s="122">
        <f>SUM(H192)/1.05</f>
        <v>1151428.5714285714</v>
      </c>
      <c r="K192" s="24">
        <f t="shared" si="13"/>
        <v>1151428.5714285714</v>
      </c>
      <c r="L192" s="123">
        <v>1</v>
      </c>
      <c r="M192" s="24">
        <f t="shared" si="14"/>
        <v>1151428.5714285714</v>
      </c>
      <c r="N192" s="27">
        <f t="shared" si="15"/>
        <v>0</v>
      </c>
      <c r="O192" s="126" t="s">
        <v>226</v>
      </c>
    </row>
    <row r="193" spans="1:256" s="3" customFormat="1">
      <c r="A193" s="80"/>
      <c r="B193" s="29"/>
      <c r="C193" s="145" t="s">
        <v>157</v>
      </c>
      <c r="D193" s="19" t="s">
        <v>164</v>
      </c>
      <c r="E193" s="20" t="s">
        <v>266</v>
      </c>
      <c r="F193" s="62" t="s">
        <v>267</v>
      </c>
      <c r="G193" s="63"/>
      <c r="H193" s="121"/>
      <c r="I193" s="24"/>
      <c r="J193" s="122">
        <v>15048</v>
      </c>
      <c r="K193" s="24">
        <f t="shared" si="13"/>
        <v>15048</v>
      </c>
      <c r="L193" s="123"/>
      <c r="M193" s="24">
        <v>15048</v>
      </c>
      <c r="N193" s="124">
        <f t="shared" si="15"/>
        <v>0</v>
      </c>
      <c r="O193" s="87" t="s">
        <v>268</v>
      </c>
    </row>
    <row r="194" spans="1:256" s="3" customFormat="1">
      <c r="A194" s="80"/>
      <c r="B194" s="17"/>
      <c r="C194" s="145" t="s">
        <v>157</v>
      </c>
      <c r="D194" s="19" t="s">
        <v>179</v>
      </c>
      <c r="E194" s="20" t="s">
        <v>179</v>
      </c>
      <c r="F194" s="82" t="s">
        <v>269</v>
      </c>
      <c r="G194" s="58"/>
      <c r="H194" s="121"/>
      <c r="I194" s="24"/>
      <c r="J194" s="122">
        <v>9905</v>
      </c>
      <c r="K194" s="24">
        <f t="shared" si="13"/>
        <v>9905</v>
      </c>
      <c r="L194" s="123"/>
      <c r="M194" s="24">
        <v>9905</v>
      </c>
      <c r="N194" s="124">
        <f t="shared" si="15"/>
        <v>0</v>
      </c>
      <c r="O194" s="87" t="s">
        <v>268</v>
      </c>
    </row>
    <row r="195" spans="1:256" s="3" customFormat="1">
      <c r="A195" s="86"/>
      <c r="B195" s="17"/>
      <c r="C195" s="145" t="s">
        <v>157</v>
      </c>
      <c r="D195" s="19" t="s">
        <v>179</v>
      </c>
      <c r="E195" s="20" t="s">
        <v>196</v>
      </c>
      <c r="F195" s="120" t="s">
        <v>270</v>
      </c>
      <c r="G195" s="58"/>
      <c r="H195" s="121"/>
      <c r="I195" s="24"/>
      <c r="J195" s="122">
        <v>22857</v>
      </c>
      <c r="K195" s="24">
        <f t="shared" si="13"/>
        <v>22857</v>
      </c>
      <c r="L195" s="123"/>
      <c r="M195" s="24">
        <v>22857</v>
      </c>
      <c r="N195" s="124">
        <f t="shared" si="15"/>
        <v>0</v>
      </c>
      <c r="O195" s="87" t="s">
        <v>268</v>
      </c>
    </row>
    <row r="196" spans="1:256" s="3" customFormat="1">
      <c r="A196" s="86"/>
      <c r="B196" s="29"/>
      <c r="C196" s="145" t="s">
        <v>157</v>
      </c>
      <c r="D196" s="19" t="s">
        <v>200</v>
      </c>
      <c r="E196" s="20" t="s">
        <v>271</v>
      </c>
      <c r="F196" s="82" t="s">
        <v>272</v>
      </c>
      <c r="G196" s="58"/>
      <c r="H196" s="121"/>
      <c r="I196" s="24"/>
      <c r="J196" s="122">
        <v>14857</v>
      </c>
      <c r="K196" s="24">
        <f t="shared" si="13"/>
        <v>14857</v>
      </c>
      <c r="L196" s="123"/>
      <c r="M196" s="24">
        <v>14857</v>
      </c>
      <c r="N196" s="124">
        <f t="shared" si="15"/>
        <v>0</v>
      </c>
      <c r="O196" s="87" t="s">
        <v>268</v>
      </c>
    </row>
    <row r="197" spans="1:256" s="3" customFormat="1">
      <c r="A197" s="16"/>
      <c r="B197" s="17"/>
      <c r="C197" s="145" t="s">
        <v>157</v>
      </c>
      <c r="D197" s="19" t="s">
        <v>200</v>
      </c>
      <c r="E197" s="20" t="s">
        <v>271</v>
      </c>
      <c r="F197" s="120" t="s">
        <v>273</v>
      </c>
      <c r="G197" s="58"/>
      <c r="H197" s="121"/>
      <c r="I197" s="24"/>
      <c r="J197" s="122">
        <v>14857</v>
      </c>
      <c r="K197" s="24">
        <f t="shared" si="13"/>
        <v>14857</v>
      </c>
      <c r="L197" s="123"/>
      <c r="M197" s="24">
        <v>14857</v>
      </c>
      <c r="N197" s="124">
        <f t="shared" si="15"/>
        <v>0</v>
      </c>
      <c r="O197" s="87" t="s">
        <v>268</v>
      </c>
    </row>
    <row r="198" spans="1:256" s="3" customFormat="1">
      <c r="A198" s="16"/>
      <c r="B198" s="128"/>
      <c r="C198" s="145" t="s">
        <v>157</v>
      </c>
      <c r="D198" s="19" t="s">
        <v>201</v>
      </c>
      <c r="E198" s="20" t="s">
        <v>274</v>
      </c>
      <c r="F198" s="62" t="s">
        <v>275</v>
      </c>
      <c r="G198" s="63"/>
      <c r="H198" s="121"/>
      <c r="I198" s="24"/>
      <c r="J198" s="122">
        <v>17143</v>
      </c>
      <c r="K198" s="24">
        <f t="shared" si="13"/>
        <v>17143</v>
      </c>
      <c r="L198" s="123"/>
      <c r="M198" s="24">
        <v>17143</v>
      </c>
      <c r="N198" s="27">
        <f t="shared" si="15"/>
        <v>0</v>
      </c>
      <c r="O198" s="87" t="s">
        <v>268</v>
      </c>
    </row>
    <row r="199" spans="1:256" s="3" customFormat="1">
      <c r="A199" s="16"/>
      <c r="B199" s="29"/>
      <c r="C199" s="145" t="s">
        <v>157</v>
      </c>
      <c r="D199" s="19" t="s">
        <v>201</v>
      </c>
      <c r="E199" s="20" t="s">
        <v>209</v>
      </c>
      <c r="F199" s="82" t="s">
        <v>276</v>
      </c>
      <c r="G199" s="58"/>
      <c r="H199" s="121"/>
      <c r="I199" s="24"/>
      <c r="J199" s="122">
        <v>17143</v>
      </c>
      <c r="K199" s="24">
        <f t="shared" si="13"/>
        <v>17143</v>
      </c>
      <c r="L199" s="123"/>
      <c r="M199" s="24">
        <v>17143</v>
      </c>
      <c r="N199" s="27">
        <f t="shared" si="15"/>
        <v>0</v>
      </c>
      <c r="O199" s="87" t="s">
        <v>268</v>
      </c>
    </row>
    <row r="200" spans="1:256" s="3" customFormat="1">
      <c r="A200" s="16"/>
      <c r="B200" s="56"/>
      <c r="C200" s="145" t="s">
        <v>157</v>
      </c>
      <c r="D200" s="19" t="s">
        <v>201</v>
      </c>
      <c r="E200" s="20" t="s">
        <v>209</v>
      </c>
      <c r="F200" s="82" t="s">
        <v>277</v>
      </c>
      <c r="G200" s="58"/>
      <c r="H200" s="121"/>
      <c r="I200" s="24"/>
      <c r="J200" s="122">
        <v>17143</v>
      </c>
      <c r="K200" s="24">
        <f t="shared" si="13"/>
        <v>17143</v>
      </c>
      <c r="L200" s="123"/>
      <c r="M200" s="24">
        <v>17143</v>
      </c>
      <c r="N200" s="27">
        <f t="shared" si="15"/>
        <v>0</v>
      </c>
      <c r="O200" s="87" t="s">
        <v>268</v>
      </c>
    </row>
    <row r="201" spans="1:256" s="3" customFormat="1">
      <c r="A201" s="16"/>
      <c r="B201" s="56"/>
      <c r="C201" s="145" t="s">
        <v>157</v>
      </c>
      <c r="D201" s="19" t="s">
        <v>201</v>
      </c>
      <c r="E201" s="20" t="s">
        <v>209</v>
      </c>
      <c r="F201" s="82" t="s">
        <v>278</v>
      </c>
      <c r="G201" s="58"/>
      <c r="H201" s="121"/>
      <c r="I201" s="24"/>
      <c r="J201" s="122">
        <v>17143</v>
      </c>
      <c r="K201" s="24">
        <f t="shared" si="13"/>
        <v>17143</v>
      </c>
      <c r="L201" s="123"/>
      <c r="M201" s="24">
        <v>17143</v>
      </c>
      <c r="N201" s="124">
        <f t="shared" si="15"/>
        <v>0</v>
      </c>
      <c r="O201" s="87" t="s">
        <v>268</v>
      </c>
    </row>
    <row r="202" spans="1:256" s="3" customFormat="1">
      <c r="A202" s="16"/>
      <c r="B202" s="17"/>
      <c r="C202" s="145" t="s">
        <v>157</v>
      </c>
      <c r="D202" s="19" t="s">
        <v>201</v>
      </c>
      <c r="E202" s="20" t="s">
        <v>209</v>
      </c>
      <c r="F202" s="120" t="s">
        <v>279</v>
      </c>
      <c r="G202" s="58"/>
      <c r="H202" s="121"/>
      <c r="I202" s="24"/>
      <c r="J202" s="122">
        <v>17143</v>
      </c>
      <c r="K202" s="24">
        <f t="shared" si="13"/>
        <v>17143</v>
      </c>
      <c r="L202" s="123"/>
      <c r="M202" s="24">
        <v>17143</v>
      </c>
      <c r="N202" s="27">
        <f t="shared" si="15"/>
        <v>0</v>
      </c>
      <c r="O202" s="87" t="s">
        <v>268</v>
      </c>
    </row>
    <row r="203" spans="1:256" s="3" customFormat="1">
      <c r="A203" s="16"/>
      <c r="B203" s="17"/>
      <c r="C203" s="145" t="s">
        <v>157</v>
      </c>
      <c r="D203" s="19" t="s">
        <v>201</v>
      </c>
      <c r="E203" s="20" t="s">
        <v>209</v>
      </c>
      <c r="F203" s="120" t="s">
        <v>280</v>
      </c>
      <c r="G203" s="58"/>
      <c r="H203" s="121"/>
      <c r="I203" s="24"/>
      <c r="J203" s="122">
        <v>17143</v>
      </c>
      <c r="K203" s="24">
        <f t="shared" si="13"/>
        <v>17143</v>
      </c>
      <c r="L203" s="123"/>
      <c r="M203" s="24">
        <v>17143</v>
      </c>
      <c r="N203" s="27">
        <f t="shared" si="15"/>
        <v>0</v>
      </c>
      <c r="O203" s="87" t="s">
        <v>268</v>
      </c>
    </row>
    <row r="204" spans="1:256" s="3" customFormat="1">
      <c r="A204" s="146"/>
      <c r="B204" s="77"/>
      <c r="C204" s="145" t="s">
        <v>157</v>
      </c>
      <c r="D204" s="66" t="s">
        <v>200</v>
      </c>
      <c r="E204" s="67"/>
      <c r="F204" s="147" t="s">
        <v>281</v>
      </c>
      <c r="G204" s="74"/>
      <c r="H204" s="148"/>
      <c r="I204" s="35"/>
      <c r="J204" s="122">
        <f t="shared" ref="J204:J206" si="16">SUM(H204)/1.05</f>
        <v>0</v>
      </c>
      <c r="K204" s="24">
        <f t="shared" si="13"/>
        <v>0</v>
      </c>
      <c r="L204" s="123"/>
      <c r="M204" s="24">
        <f t="shared" ref="M204:M206" si="17">K204*L204</f>
        <v>0</v>
      </c>
      <c r="N204" s="124">
        <f t="shared" si="15"/>
        <v>0</v>
      </c>
      <c r="O204" s="87" t="s">
        <v>268</v>
      </c>
    </row>
    <row r="205" spans="1:256" s="125" customFormat="1">
      <c r="A205" s="16"/>
      <c r="B205" s="56"/>
      <c r="C205" s="145" t="s">
        <v>157</v>
      </c>
      <c r="D205" s="19" t="s">
        <v>200</v>
      </c>
      <c r="E205" s="20"/>
      <c r="F205" s="82" t="s">
        <v>282</v>
      </c>
      <c r="G205" s="58"/>
      <c r="H205" s="121"/>
      <c r="I205" s="24"/>
      <c r="J205" s="122">
        <f t="shared" si="16"/>
        <v>0</v>
      </c>
      <c r="K205" s="24">
        <f t="shared" si="13"/>
        <v>0</v>
      </c>
      <c r="L205" s="123"/>
      <c r="M205" s="24">
        <f t="shared" si="17"/>
        <v>0</v>
      </c>
      <c r="N205" s="27">
        <f t="shared" si="15"/>
        <v>0</v>
      </c>
      <c r="O205" s="87" t="s">
        <v>268</v>
      </c>
      <c r="P205" s="3"/>
      <c r="Q205" s="140"/>
      <c r="R205" s="3"/>
      <c r="S205" s="3"/>
      <c r="T205" s="3"/>
      <c r="U205" s="3"/>
      <c r="V205" s="3"/>
      <c r="W205" s="3"/>
      <c r="X205" s="3"/>
      <c r="Y205" s="131"/>
      <c r="Z205" s="15"/>
      <c r="AA205" s="99"/>
      <c r="AB205" s="149"/>
      <c r="AC205" s="134"/>
      <c r="AD205" s="134"/>
      <c r="AE205" s="137"/>
      <c r="AF205" s="150"/>
      <c r="AG205" s="137"/>
      <c r="AH205" s="137"/>
      <c r="AI205" s="3"/>
      <c r="AJ205" s="138"/>
      <c r="AK205" s="2"/>
      <c r="AL205" s="139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131"/>
      <c r="AX205" s="15"/>
      <c r="AY205" s="99"/>
      <c r="AZ205" s="149"/>
      <c r="BA205" s="134"/>
      <c r="BB205" s="134"/>
      <c r="BC205" s="137"/>
      <c r="BD205" s="150"/>
      <c r="BE205" s="137"/>
      <c r="BF205" s="137"/>
      <c r="BG205" s="3"/>
      <c r="BH205" s="138"/>
      <c r="BI205" s="2"/>
      <c r="BJ205" s="139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131"/>
      <c r="BV205" s="15"/>
      <c r="BW205" s="99"/>
      <c r="BX205" s="149"/>
      <c r="BY205" s="134"/>
      <c r="BZ205" s="134"/>
      <c r="CA205" s="137"/>
      <c r="CB205" s="150"/>
      <c r="CC205" s="137"/>
      <c r="CD205" s="137"/>
      <c r="CE205" s="3"/>
      <c r="CF205" s="138"/>
      <c r="CG205" s="2"/>
      <c r="CH205" s="139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131"/>
      <c r="CT205" s="15"/>
      <c r="CU205" s="99"/>
      <c r="CV205" s="149"/>
      <c r="CW205" s="134"/>
      <c r="CX205" s="134"/>
      <c r="CY205" s="137"/>
      <c r="CZ205" s="150"/>
      <c r="DA205" s="137"/>
      <c r="DB205" s="137"/>
      <c r="DC205" s="3"/>
      <c r="DD205" s="138"/>
      <c r="DE205" s="2"/>
      <c r="DF205" s="139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131"/>
      <c r="DR205" s="15"/>
      <c r="DS205" s="99"/>
      <c r="DT205" s="149"/>
      <c r="DU205" s="134"/>
      <c r="DV205" s="134"/>
      <c r="DW205" s="137"/>
      <c r="DX205" s="150"/>
      <c r="DY205" s="137"/>
      <c r="DZ205" s="137"/>
      <c r="EA205" s="3"/>
      <c r="EB205" s="138"/>
      <c r="EC205" s="2"/>
      <c r="ED205" s="139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131"/>
      <c r="EP205" s="15"/>
      <c r="EQ205" s="99"/>
      <c r="ER205" s="149"/>
      <c r="ES205" s="134"/>
      <c r="ET205" s="134"/>
      <c r="EU205" s="137"/>
      <c r="EV205" s="150"/>
      <c r="EW205" s="137"/>
      <c r="EX205" s="137"/>
      <c r="EY205" s="3"/>
      <c r="EZ205" s="138"/>
      <c r="FA205" s="2"/>
      <c r="FB205" s="139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131"/>
      <c r="FN205" s="15"/>
      <c r="FO205" s="99"/>
      <c r="FP205" s="149"/>
      <c r="FQ205" s="134"/>
      <c r="FR205" s="134"/>
      <c r="FS205" s="137"/>
      <c r="FT205" s="150"/>
      <c r="FU205" s="137"/>
      <c r="FV205" s="137"/>
      <c r="FW205" s="3"/>
      <c r="FX205" s="138"/>
      <c r="FY205" s="2"/>
      <c r="FZ205" s="139"/>
      <c r="GA205" s="3"/>
      <c r="GB205" s="3"/>
      <c r="GC205" s="3"/>
      <c r="GD205" s="3"/>
      <c r="GE205" s="3"/>
      <c r="GF205" s="3"/>
      <c r="GG205" s="3"/>
      <c r="GH205" s="3"/>
      <c r="GI205" s="3"/>
      <c r="GJ205" s="3"/>
      <c r="GK205" s="131"/>
      <c r="GL205" s="15"/>
      <c r="GM205" s="99"/>
      <c r="GN205" s="149"/>
      <c r="GO205" s="134"/>
      <c r="GP205" s="134"/>
      <c r="GQ205" s="137"/>
      <c r="GR205" s="150"/>
      <c r="GS205" s="137"/>
      <c r="GT205" s="137"/>
      <c r="GU205" s="3"/>
      <c r="GV205" s="138"/>
      <c r="GW205" s="2"/>
      <c r="GX205" s="139"/>
      <c r="GY205" s="3"/>
      <c r="GZ205" s="3"/>
      <c r="HA205" s="3"/>
      <c r="HB205" s="3"/>
      <c r="HC205" s="3"/>
      <c r="HD205" s="3"/>
      <c r="HE205" s="3"/>
      <c r="HF205" s="3"/>
      <c r="HG205" s="3"/>
      <c r="HH205" s="3"/>
      <c r="HI205" s="131"/>
      <c r="HJ205" s="15"/>
      <c r="HK205" s="99"/>
      <c r="HL205" s="149"/>
      <c r="HM205" s="134"/>
      <c r="HN205" s="134"/>
      <c r="HO205" s="137"/>
      <c r="HP205" s="150"/>
      <c r="HQ205" s="137"/>
      <c r="HR205" s="137"/>
      <c r="HS205" s="3"/>
      <c r="HT205" s="138"/>
      <c r="HU205" s="2"/>
      <c r="HV205" s="139"/>
      <c r="HW205" s="3"/>
      <c r="HX205" s="3"/>
      <c r="HY205" s="3"/>
      <c r="HZ205" s="3"/>
      <c r="IA205" s="3"/>
      <c r="IB205" s="3"/>
      <c r="IC205" s="3"/>
      <c r="ID205" s="3"/>
      <c r="IE205" s="3"/>
      <c r="IF205" s="3"/>
      <c r="IG205" s="131"/>
      <c r="IH205" s="15"/>
      <c r="II205" s="99"/>
      <c r="IJ205" s="149"/>
      <c r="IK205" s="134"/>
      <c r="IL205" s="134"/>
      <c r="IM205" s="137"/>
      <c r="IN205" s="150"/>
      <c r="IO205" s="137"/>
      <c r="IP205" s="137"/>
      <c r="IQ205" s="3"/>
      <c r="IR205" s="138"/>
      <c r="IS205" s="2"/>
      <c r="IT205" s="139"/>
      <c r="IU205" s="3"/>
      <c r="IV205" s="3"/>
    </row>
    <row r="206" spans="1:256" s="3" customFormat="1">
      <c r="A206" s="16"/>
      <c r="B206" s="56"/>
      <c r="C206" s="145" t="s">
        <v>157</v>
      </c>
      <c r="D206" s="19" t="s">
        <v>200</v>
      </c>
      <c r="E206" s="20"/>
      <c r="F206" s="82" t="s">
        <v>276</v>
      </c>
      <c r="G206" s="58"/>
      <c r="H206" s="121"/>
      <c r="I206" s="24"/>
      <c r="J206" s="122">
        <f t="shared" si="16"/>
        <v>0</v>
      </c>
      <c r="K206" s="24">
        <f t="shared" si="13"/>
        <v>0</v>
      </c>
      <c r="L206" s="123"/>
      <c r="M206" s="24">
        <f t="shared" si="17"/>
        <v>0</v>
      </c>
      <c r="N206" s="124">
        <f t="shared" si="15"/>
        <v>0</v>
      </c>
      <c r="O206" s="87" t="s">
        <v>268</v>
      </c>
    </row>
    <row r="207" spans="1:256" s="3" customFormat="1" ht="14.25" thickBot="1">
      <c r="A207" s="151" t="s">
        <v>158</v>
      </c>
      <c r="B207" s="89"/>
      <c r="C207" s="90"/>
      <c r="D207" s="91"/>
      <c r="E207" s="152"/>
      <c r="F207" s="153" t="s">
        <v>10</v>
      </c>
      <c r="G207" s="94"/>
      <c r="H207" s="95"/>
      <c r="I207" s="96">
        <f t="shared" ref="I207:N207" si="18">SUM(I120:I206)</f>
        <v>53797336</v>
      </c>
      <c r="J207" s="96">
        <f t="shared" si="18"/>
        <v>50930953.428571433</v>
      </c>
      <c r="K207" s="96">
        <f t="shared" si="18"/>
        <v>104728289.42857142</v>
      </c>
      <c r="L207" s="96">
        <f t="shared" si="18"/>
        <v>42</v>
      </c>
      <c r="M207" s="96">
        <f t="shared" si="18"/>
        <v>60301908</v>
      </c>
      <c r="N207" s="96">
        <f t="shared" si="18"/>
        <v>44426381.428571433</v>
      </c>
      <c r="O207" s="154"/>
    </row>
    <row r="208" spans="1:256" ht="14.25" thickTop="1">
      <c r="A208" s="155"/>
      <c r="C208" s="102"/>
      <c r="D208" s="103"/>
      <c r="E208" s="156"/>
      <c r="F208" s="157"/>
      <c r="I208" s="28"/>
      <c r="J208" s="28"/>
      <c r="K208" s="28"/>
      <c r="L208" s="28"/>
      <c r="M208" s="28"/>
      <c r="N208" s="28"/>
      <c r="O208" s="28"/>
    </row>
    <row r="209" spans="1:256" ht="6" customHeight="1">
      <c r="A209" s="155"/>
      <c r="C209" s="102"/>
      <c r="D209" s="103"/>
      <c r="E209" s="156"/>
      <c r="F209" s="157"/>
      <c r="H209" s="159"/>
      <c r="I209" s="28"/>
      <c r="J209" s="28"/>
      <c r="K209" s="160"/>
      <c r="L209" s="28"/>
      <c r="M209" s="28"/>
      <c r="N209" s="28"/>
      <c r="O209" s="28"/>
    </row>
    <row r="210" spans="1:256" s="161" customFormat="1">
      <c r="A210" s="155"/>
      <c r="B210" s="101"/>
      <c r="C210" s="102"/>
      <c r="D210" s="103"/>
      <c r="E210" s="156"/>
      <c r="F210" s="157"/>
      <c r="G210" s="106"/>
      <c r="H210" s="159"/>
      <c r="I210" s="28"/>
      <c r="J210" s="28"/>
      <c r="K210" s="160"/>
      <c r="L210" s="28"/>
      <c r="M210" s="28"/>
      <c r="N210" s="28"/>
      <c r="O210" s="28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130"/>
      <c r="AA210" s="130"/>
      <c r="AB210" s="130"/>
      <c r="AC210" s="130"/>
      <c r="AD210" s="130"/>
      <c r="AE210" s="130"/>
      <c r="AF210" s="130"/>
      <c r="AG210" s="130"/>
      <c r="AH210" s="130"/>
      <c r="AI210" s="130"/>
      <c r="AJ210" s="130"/>
      <c r="AK210" s="130"/>
    </row>
    <row r="211" spans="1:256" s="161" customFormat="1">
      <c r="A211" s="155"/>
      <c r="B211" s="101"/>
      <c r="C211" s="102"/>
      <c r="D211" s="103"/>
      <c r="E211" s="156"/>
      <c r="F211" s="105"/>
      <c r="G211" s="106"/>
      <c r="H211" s="159"/>
      <c r="I211" s="108"/>
      <c r="J211" s="108"/>
      <c r="K211" s="14"/>
      <c r="L211" s="108"/>
      <c r="M211" s="108"/>
      <c r="N211" s="108"/>
      <c r="O211" s="108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130"/>
      <c r="AA211" s="130"/>
      <c r="AB211" s="130"/>
      <c r="AC211" s="130"/>
      <c r="AD211" s="130"/>
      <c r="AE211" s="130"/>
      <c r="AF211" s="130"/>
      <c r="AG211" s="130"/>
      <c r="AH211" s="130"/>
      <c r="AI211" s="130"/>
      <c r="AJ211" s="130"/>
      <c r="AK211" s="130"/>
    </row>
    <row r="212" spans="1:256" s="161" customFormat="1">
      <c r="A212" s="155"/>
      <c r="B212" s="101"/>
      <c r="C212" s="102"/>
      <c r="D212" s="103"/>
      <c r="E212" s="156"/>
      <c r="F212" s="105"/>
      <c r="G212" s="106"/>
      <c r="H212" s="159"/>
      <c r="I212" s="108"/>
      <c r="J212" s="108"/>
      <c r="K212" s="14"/>
      <c r="L212" s="108"/>
      <c r="M212" s="108"/>
      <c r="N212" s="108"/>
      <c r="O212" s="108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130"/>
      <c r="AA212" s="130"/>
      <c r="AB212" s="130"/>
      <c r="AC212" s="130"/>
      <c r="AD212" s="130"/>
      <c r="AE212" s="130"/>
      <c r="AF212" s="130"/>
      <c r="AG212" s="130"/>
      <c r="AH212" s="130"/>
      <c r="AI212" s="130"/>
      <c r="AJ212" s="130"/>
      <c r="AK212" s="130"/>
    </row>
    <row r="213" spans="1:256" s="161" customFormat="1">
      <c r="A213" s="155"/>
      <c r="B213" s="101"/>
      <c r="C213" s="102"/>
      <c r="D213" s="103"/>
      <c r="E213" s="156"/>
      <c r="F213" s="105"/>
      <c r="G213" s="106"/>
      <c r="H213" s="159"/>
      <c r="I213" s="108"/>
      <c r="J213" s="108"/>
      <c r="K213" s="14"/>
      <c r="L213" s="108"/>
      <c r="M213" s="108"/>
      <c r="N213" s="108"/>
      <c r="O213" s="108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130"/>
      <c r="AA213" s="130"/>
      <c r="AB213" s="130"/>
      <c r="AC213" s="130"/>
      <c r="AD213" s="130"/>
      <c r="AE213" s="130"/>
      <c r="AF213" s="130"/>
      <c r="AG213" s="130"/>
      <c r="AH213" s="130"/>
      <c r="AI213" s="130"/>
      <c r="AJ213" s="130"/>
      <c r="AK213" s="130"/>
    </row>
    <row r="214" spans="1:256" s="161" customFormat="1" ht="14.25" thickBot="1">
      <c r="A214" s="155"/>
      <c r="B214" s="101"/>
      <c r="C214" s="102"/>
      <c r="D214" s="103"/>
      <c r="E214" s="156"/>
      <c r="F214" s="155"/>
      <c r="G214" s="162"/>
      <c r="H214" s="159"/>
      <c r="I214" s="108"/>
      <c r="J214" s="108"/>
      <c r="K214" s="163"/>
      <c r="L214" s="98"/>
      <c r="M214" s="98"/>
      <c r="N214" s="98"/>
      <c r="O214" s="98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130"/>
      <c r="AA214" s="130"/>
      <c r="AB214" s="130"/>
      <c r="AC214" s="130"/>
      <c r="AD214" s="130"/>
      <c r="AE214" s="130"/>
      <c r="AF214" s="130"/>
      <c r="AG214" s="130"/>
      <c r="AH214" s="130"/>
      <c r="AI214" s="130"/>
      <c r="AJ214" s="130"/>
      <c r="AK214" s="130"/>
    </row>
    <row r="215" spans="1:256" s="161" customFormat="1" ht="15" thickTop="1" thickBot="1">
      <c r="A215" s="155"/>
      <c r="B215" s="101"/>
      <c r="C215" s="102"/>
      <c r="D215" s="103"/>
      <c r="E215" s="156"/>
      <c r="F215" s="105"/>
      <c r="G215" s="106"/>
      <c r="H215" s="107"/>
      <c r="I215" s="108"/>
      <c r="J215" s="108"/>
      <c r="K215" s="108"/>
      <c r="L215" s="108"/>
      <c r="M215" s="108"/>
      <c r="N215" s="108">
        <f>N209-N211</f>
        <v>0</v>
      </c>
      <c r="O215" s="108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130"/>
      <c r="AA215" s="130"/>
      <c r="AB215" s="130"/>
      <c r="AC215" s="130"/>
      <c r="AD215" s="130"/>
      <c r="AE215" s="130"/>
      <c r="AF215" s="130"/>
      <c r="AG215" s="130"/>
      <c r="AH215" s="130"/>
      <c r="AI215" s="130"/>
      <c r="AJ215" s="130"/>
      <c r="AK215" s="130"/>
    </row>
    <row r="216" spans="1:256" s="161" customFormat="1" ht="14.25" thickTop="1">
      <c r="A216" s="164" t="s">
        <v>283</v>
      </c>
      <c r="B216" s="165" t="s">
        <v>159</v>
      </c>
      <c r="C216" s="6" t="s">
        <v>160</v>
      </c>
      <c r="D216" s="7" t="s">
        <v>3</v>
      </c>
      <c r="E216" s="8" t="s">
        <v>161</v>
      </c>
      <c r="F216" s="119" t="s">
        <v>5</v>
      </c>
      <c r="G216" s="10" t="s">
        <v>162</v>
      </c>
      <c r="H216" s="11" t="s">
        <v>163</v>
      </c>
      <c r="I216" s="12" t="s">
        <v>8</v>
      </c>
      <c r="J216" s="12" t="s">
        <v>9</v>
      </c>
      <c r="K216" s="12" t="s">
        <v>10</v>
      </c>
      <c r="L216" s="12" t="s">
        <v>11</v>
      </c>
      <c r="M216" s="12" t="s">
        <v>12</v>
      </c>
      <c r="N216" s="13" t="s">
        <v>13</v>
      </c>
      <c r="O216" s="14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130"/>
      <c r="AA216" s="130"/>
      <c r="AB216" s="130"/>
      <c r="AC216" s="130"/>
      <c r="AD216" s="130"/>
      <c r="AE216" s="130"/>
      <c r="AF216" s="130"/>
      <c r="AG216" s="130"/>
      <c r="AH216" s="130"/>
      <c r="AI216" s="130"/>
      <c r="AJ216" s="130"/>
      <c r="AK216" s="130"/>
    </row>
    <row r="217" spans="1:256" ht="18" customHeight="1">
      <c r="A217" s="16">
        <v>1</v>
      </c>
      <c r="B217" s="60">
        <v>43069</v>
      </c>
      <c r="C217" s="18"/>
      <c r="D217" s="19" t="s">
        <v>284</v>
      </c>
      <c r="E217" s="20" t="s">
        <v>285</v>
      </c>
      <c r="F217" s="62" t="s">
        <v>286</v>
      </c>
      <c r="G217" s="63">
        <v>1707</v>
      </c>
      <c r="H217" s="121">
        <f>1406000-30000</f>
        <v>1376000</v>
      </c>
      <c r="I217" s="24">
        <v>1310476</v>
      </c>
      <c r="J217" s="24"/>
      <c r="K217" s="24">
        <f t="shared" ref="K217:K280" si="19">I217+J217</f>
        <v>1310476</v>
      </c>
      <c r="L217" s="123"/>
      <c r="M217" s="24">
        <f t="shared" ref="M217:M280" si="20">K217*L217</f>
        <v>0</v>
      </c>
      <c r="N217" s="124">
        <f t="shared" ref="N217:N280" si="21">K217-M217</f>
        <v>1310476</v>
      </c>
      <c r="O217" s="87"/>
      <c r="R217" s="166"/>
    </row>
    <row r="218" spans="1:256" s="3" customFormat="1">
      <c r="A218" s="16">
        <v>2</v>
      </c>
      <c r="B218" s="60">
        <v>43069</v>
      </c>
      <c r="C218" s="18"/>
      <c r="D218" s="19" t="s">
        <v>284</v>
      </c>
      <c r="E218" s="20" t="s">
        <v>285</v>
      </c>
      <c r="F218" s="62" t="s">
        <v>287</v>
      </c>
      <c r="G218" s="63">
        <v>1708</v>
      </c>
      <c r="H218" s="121">
        <v>1406000</v>
      </c>
      <c r="I218" s="24">
        <v>1339048</v>
      </c>
      <c r="J218" s="24"/>
      <c r="K218" s="24">
        <f t="shared" si="19"/>
        <v>1339048</v>
      </c>
      <c r="L218" s="123"/>
      <c r="M218" s="24">
        <f t="shared" si="20"/>
        <v>0</v>
      </c>
      <c r="N218" s="124">
        <f t="shared" si="21"/>
        <v>1339048</v>
      </c>
      <c r="O218" s="87"/>
      <c r="AA218" s="130"/>
      <c r="AB218" s="130"/>
      <c r="AC218" s="130"/>
      <c r="AD218" s="130"/>
      <c r="AE218" s="130"/>
      <c r="AF218" s="167"/>
      <c r="AG218" s="167"/>
      <c r="AH218" s="167"/>
      <c r="AI218" s="125"/>
      <c r="AJ218" s="125"/>
      <c r="AK218" s="125"/>
      <c r="AL218" s="125"/>
      <c r="AM218" s="125"/>
      <c r="AN218" s="125"/>
      <c r="AO218" s="125"/>
      <c r="AP218" s="125"/>
      <c r="AQ218" s="125"/>
      <c r="AR218" s="125"/>
      <c r="AS218" s="125"/>
      <c r="AT218" s="125"/>
      <c r="AU218" s="125"/>
      <c r="AV218" s="125"/>
      <c r="AW218" s="125"/>
      <c r="AX218" s="125"/>
      <c r="AY218" s="167"/>
      <c r="AZ218" s="167"/>
      <c r="BA218" s="167"/>
      <c r="BB218" s="167"/>
      <c r="BC218" s="167"/>
      <c r="BD218" s="167"/>
      <c r="BE218" s="167"/>
      <c r="BF218" s="167"/>
      <c r="BG218" s="125"/>
      <c r="BH218" s="125"/>
      <c r="BI218" s="125"/>
      <c r="BJ218" s="125"/>
      <c r="BK218" s="125"/>
      <c r="BL218" s="125"/>
      <c r="BM218" s="125"/>
      <c r="BN218" s="125"/>
      <c r="BO218" s="125"/>
      <c r="BP218" s="125"/>
      <c r="BQ218" s="125"/>
      <c r="BR218" s="125"/>
      <c r="BS218" s="125"/>
      <c r="BT218" s="125"/>
      <c r="BU218" s="125"/>
      <c r="BV218" s="125"/>
      <c r="BW218" s="167"/>
      <c r="BX218" s="167"/>
      <c r="BY218" s="167"/>
      <c r="BZ218" s="167"/>
      <c r="CA218" s="167"/>
      <c r="CB218" s="167"/>
      <c r="CC218" s="167"/>
      <c r="CD218" s="167"/>
      <c r="CE218" s="125"/>
      <c r="CF218" s="125"/>
      <c r="CG218" s="125"/>
      <c r="CH218" s="125"/>
      <c r="CI218" s="125"/>
      <c r="CJ218" s="125"/>
      <c r="CK218" s="125"/>
      <c r="CL218" s="125"/>
      <c r="CM218" s="125"/>
      <c r="CN218" s="125"/>
      <c r="CO218" s="125"/>
      <c r="CP218" s="125"/>
      <c r="CQ218" s="125"/>
      <c r="CR218" s="125"/>
      <c r="CS218" s="125"/>
      <c r="CT218" s="125"/>
      <c r="CU218" s="167"/>
      <c r="CV218" s="167"/>
      <c r="CW218" s="167"/>
      <c r="CX218" s="167"/>
      <c r="CY218" s="167"/>
      <c r="CZ218" s="167"/>
      <c r="DA218" s="167"/>
      <c r="DB218" s="167"/>
      <c r="DC218" s="125"/>
      <c r="DD218" s="125"/>
      <c r="DE218" s="125"/>
      <c r="DF218" s="125"/>
      <c r="DG218" s="125"/>
      <c r="DH218" s="125"/>
      <c r="DI218" s="125"/>
      <c r="DJ218" s="125"/>
      <c r="DK218" s="125"/>
      <c r="DL218" s="125"/>
      <c r="DM218" s="125"/>
      <c r="DN218" s="125"/>
      <c r="DO218" s="125"/>
      <c r="DP218" s="125"/>
      <c r="DQ218" s="125"/>
      <c r="DR218" s="125"/>
      <c r="DS218" s="167"/>
      <c r="DT218" s="167"/>
      <c r="DU218" s="167"/>
      <c r="DV218" s="167"/>
      <c r="DW218" s="167"/>
      <c r="DX218" s="167"/>
      <c r="DY218" s="167"/>
      <c r="DZ218" s="167"/>
      <c r="EA218" s="125"/>
      <c r="EB218" s="125"/>
      <c r="EC218" s="125"/>
      <c r="ED218" s="125"/>
      <c r="EE218" s="125"/>
      <c r="EF218" s="125"/>
      <c r="EG218" s="125"/>
      <c r="EH218" s="125"/>
      <c r="EI218" s="125"/>
      <c r="EJ218" s="125"/>
      <c r="EK218" s="125"/>
      <c r="EL218" s="125"/>
      <c r="EM218" s="125"/>
      <c r="EN218" s="125"/>
      <c r="EO218" s="125"/>
      <c r="EP218" s="125"/>
      <c r="EQ218" s="167"/>
      <c r="ER218" s="167"/>
      <c r="ES218" s="167"/>
      <c r="ET218" s="167"/>
      <c r="EU218" s="167"/>
      <c r="EV218" s="167"/>
      <c r="EW218" s="167"/>
      <c r="EX218" s="167"/>
      <c r="EY218" s="125"/>
      <c r="EZ218" s="125"/>
      <c r="FA218" s="125"/>
      <c r="FB218" s="125"/>
      <c r="FC218" s="125"/>
      <c r="FD218" s="125"/>
      <c r="FE218" s="125"/>
      <c r="FF218" s="125"/>
      <c r="FG218" s="125"/>
      <c r="FH218" s="125"/>
      <c r="FI218" s="125"/>
      <c r="FJ218" s="125"/>
      <c r="FK218" s="125"/>
      <c r="FL218" s="125"/>
      <c r="FM218" s="125"/>
      <c r="FN218" s="125"/>
      <c r="FO218" s="167"/>
      <c r="FP218" s="167"/>
      <c r="FQ218" s="167"/>
      <c r="FR218" s="167"/>
      <c r="FS218" s="167"/>
      <c r="FT218" s="167"/>
      <c r="FU218" s="167"/>
      <c r="FV218" s="167"/>
      <c r="FW218" s="125"/>
      <c r="FX218" s="125"/>
      <c r="FY218" s="125"/>
      <c r="FZ218" s="125"/>
      <c r="GA218" s="125"/>
      <c r="GB218" s="125"/>
      <c r="GC218" s="125"/>
      <c r="GD218" s="125"/>
      <c r="GE218" s="125"/>
      <c r="GF218" s="125"/>
      <c r="GG218" s="125"/>
      <c r="GH218" s="125"/>
      <c r="GI218" s="125"/>
      <c r="GJ218" s="125"/>
      <c r="GK218" s="125"/>
      <c r="GL218" s="125"/>
      <c r="GM218" s="167"/>
      <c r="GN218" s="167"/>
      <c r="GO218" s="167"/>
      <c r="GP218" s="167"/>
      <c r="GQ218" s="167"/>
      <c r="GR218" s="167"/>
      <c r="GS218" s="167"/>
      <c r="GT218" s="167"/>
      <c r="GU218" s="125"/>
      <c r="GV218" s="125"/>
      <c r="GW218" s="125"/>
      <c r="GX218" s="125"/>
      <c r="GY218" s="125"/>
      <c r="GZ218" s="125"/>
      <c r="HA218" s="125"/>
      <c r="HB218" s="125"/>
      <c r="HC218" s="125"/>
      <c r="HD218" s="125"/>
      <c r="HE218" s="125"/>
      <c r="HF218" s="125"/>
      <c r="HG218" s="125"/>
      <c r="HH218" s="125"/>
      <c r="HI218" s="125"/>
      <c r="HJ218" s="125"/>
      <c r="HK218" s="167"/>
      <c r="HL218" s="167"/>
      <c r="HM218" s="167"/>
      <c r="HN218" s="167"/>
      <c r="HO218" s="167"/>
      <c r="HP218" s="167"/>
      <c r="HQ218" s="167"/>
      <c r="HR218" s="167"/>
      <c r="HS218" s="125"/>
      <c r="HT218" s="125"/>
      <c r="HU218" s="125"/>
      <c r="HV218" s="125"/>
      <c r="HW218" s="125"/>
      <c r="HX218" s="125"/>
      <c r="HY218" s="125"/>
      <c r="HZ218" s="125"/>
      <c r="IA218" s="125"/>
      <c r="IB218" s="125"/>
      <c r="IC218" s="125"/>
      <c r="ID218" s="125"/>
      <c r="IE218" s="125"/>
      <c r="IF218" s="125"/>
      <c r="IG218" s="125"/>
      <c r="IH218" s="125"/>
      <c r="II218" s="167"/>
      <c r="IJ218" s="167"/>
      <c r="IK218" s="167"/>
      <c r="IL218" s="167"/>
      <c r="IM218" s="167"/>
      <c r="IN218" s="167"/>
      <c r="IO218" s="167"/>
      <c r="IP218" s="167"/>
      <c r="IQ218" s="125"/>
      <c r="IR218" s="125"/>
      <c r="IS218" s="125"/>
      <c r="IT218" s="125"/>
      <c r="IU218" s="125"/>
      <c r="IV218" s="125"/>
    </row>
    <row r="219" spans="1:256" s="3" customFormat="1">
      <c r="A219" s="16">
        <v>3</v>
      </c>
      <c r="B219" s="56">
        <v>43073</v>
      </c>
      <c r="C219" s="18"/>
      <c r="D219" s="19" t="s">
        <v>284</v>
      </c>
      <c r="E219" s="20" t="s">
        <v>285</v>
      </c>
      <c r="F219" s="57" t="s">
        <v>288</v>
      </c>
      <c r="G219" s="63">
        <v>1708</v>
      </c>
      <c r="H219" s="121">
        <v>1406000</v>
      </c>
      <c r="I219" s="24"/>
      <c r="J219" s="24">
        <f>SUM(H219)/1.05</f>
        <v>1339047.6190476189</v>
      </c>
      <c r="K219" s="24">
        <f t="shared" si="19"/>
        <v>1339047.6190476189</v>
      </c>
      <c r="L219" s="123"/>
      <c r="M219" s="24">
        <f t="shared" si="20"/>
        <v>0</v>
      </c>
      <c r="N219" s="124">
        <f t="shared" si="21"/>
        <v>1339047.6190476189</v>
      </c>
      <c r="O219" s="107"/>
      <c r="Q219" s="140"/>
      <c r="AA219" s="130"/>
      <c r="AB219" s="130"/>
      <c r="AC219" s="130"/>
      <c r="AD219" s="130"/>
      <c r="AE219" s="130"/>
      <c r="AF219" s="130"/>
      <c r="AG219" s="130"/>
      <c r="AH219" s="130"/>
      <c r="AY219" s="130"/>
      <c r="AZ219" s="130"/>
      <c r="BA219" s="130"/>
      <c r="BB219" s="130"/>
      <c r="BC219" s="130"/>
      <c r="BD219" s="130"/>
      <c r="BE219" s="130"/>
      <c r="BF219" s="130"/>
      <c r="BW219" s="130"/>
      <c r="BX219" s="130"/>
      <c r="BY219" s="130"/>
      <c r="BZ219" s="130"/>
      <c r="CA219" s="130"/>
      <c r="CB219" s="130"/>
      <c r="CC219" s="130"/>
      <c r="CD219" s="130"/>
      <c r="CU219" s="130"/>
      <c r="CV219" s="130"/>
      <c r="CW219" s="130"/>
      <c r="CX219" s="130"/>
      <c r="CY219" s="130"/>
      <c r="CZ219" s="130"/>
      <c r="DA219" s="130"/>
      <c r="DB219" s="130"/>
      <c r="DS219" s="130"/>
      <c r="DT219" s="130"/>
      <c r="DU219" s="130"/>
      <c r="DV219" s="130"/>
      <c r="DW219" s="130"/>
      <c r="DX219" s="130"/>
      <c r="DY219" s="130"/>
      <c r="DZ219" s="130"/>
      <c r="EQ219" s="130"/>
      <c r="ER219" s="130"/>
      <c r="ES219" s="130"/>
      <c r="ET219" s="130"/>
      <c r="EU219" s="130"/>
      <c r="EV219" s="130"/>
      <c r="EW219" s="130"/>
      <c r="EX219" s="130"/>
      <c r="FO219" s="130"/>
      <c r="FP219" s="130"/>
      <c r="FQ219" s="130"/>
      <c r="FR219" s="130"/>
      <c r="FS219" s="130"/>
      <c r="FT219" s="130"/>
      <c r="FU219" s="130"/>
      <c r="FV219" s="130"/>
      <c r="GM219" s="130"/>
      <c r="GN219" s="130"/>
      <c r="GO219" s="130"/>
      <c r="GP219" s="130"/>
      <c r="GQ219" s="130"/>
      <c r="GR219" s="130"/>
      <c r="GS219" s="130"/>
      <c r="GT219" s="130"/>
      <c r="HK219" s="130"/>
      <c r="HL219" s="130"/>
      <c r="HM219" s="130"/>
      <c r="HN219" s="130"/>
      <c r="HO219" s="130"/>
      <c r="HP219" s="130"/>
      <c r="HQ219" s="130"/>
      <c r="HR219" s="130"/>
      <c r="II219" s="130"/>
      <c r="IJ219" s="130"/>
      <c r="IK219" s="130"/>
      <c r="IL219" s="130"/>
      <c r="IM219" s="130"/>
      <c r="IN219" s="130"/>
      <c r="IO219" s="130"/>
      <c r="IP219" s="130"/>
    </row>
    <row r="220" spans="1:256" s="3" customFormat="1">
      <c r="A220" s="16">
        <v>4</v>
      </c>
      <c r="B220" s="56">
        <v>43068</v>
      </c>
      <c r="C220" s="18"/>
      <c r="D220" s="19" t="s">
        <v>284</v>
      </c>
      <c r="E220" s="20" t="s">
        <v>285</v>
      </c>
      <c r="F220" s="62" t="s">
        <v>289</v>
      </c>
      <c r="G220" s="63">
        <v>1708</v>
      </c>
      <c r="H220" s="121">
        <v>1406000</v>
      </c>
      <c r="I220" s="24">
        <v>1339048</v>
      </c>
      <c r="J220" s="24"/>
      <c r="K220" s="24">
        <f t="shared" si="19"/>
        <v>1339048</v>
      </c>
      <c r="L220" s="123"/>
      <c r="M220" s="24">
        <f t="shared" si="20"/>
        <v>0</v>
      </c>
      <c r="N220" s="124">
        <f t="shared" si="21"/>
        <v>1339048</v>
      </c>
      <c r="O220" s="87"/>
      <c r="Q220" s="140"/>
      <c r="AA220" s="130"/>
      <c r="AB220" s="130"/>
      <c r="AC220" s="130"/>
      <c r="AD220" s="130"/>
      <c r="AE220" s="130"/>
      <c r="AF220" s="130"/>
      <c r="AG220" s="130"/>
      <c r="AH220" s="130"/>
      <c r="AY220" s="130"/>
      <c r="AZ220" s="130"/>
      <c r="BA220" s="130"/>
      <c r="BB220" s="130"/>
      <c r="BC220" s="130"/>
      <c r="BD220" s="130"/>
      <c r="BE220" s="130"/>
      <c r="BF220" s="130"/>
      <c r="BW220" s="130"/>
      <c r="BX220" s="130"/>
      <c r="BY220" s="130"/>
      <c r="BZ220" s="130"/>
      <c r="CA220" s="130"/>
      <c r="CB220" s="130"/>
      <c r="CC220" s="130"/>
      <c r="CD220" s="130"/>
      <c r="CU220" s="130"/>
      <c r="CV220" s="130"/>
      <c r="CW220" s="130"/>
      <c r="CX220" s="130"/>
      <c r="CY220" s="130"/>
      <c r="CZ220" s="130"/>
      <c r="DA220" s="130"/>
      <c r="DB220" s="130"/>
      <c r="DS220" s="130"/>
      <c r="DT220" s="130"/>
      <c r="DU220" s="130"/>
      <c r="DV220" s="130"/>
      <c r="DW220" s="130"/>
      <c r="DX220" s="130"/>
      <c r="DY220" s="130"/>
      <c r="DZ220" s="130"/>
      <c r="EQ220" s="130"/>
      <c r="ER220" s="130"/>
      <c r="ES220" s="130"/>
      <c r="ET220" s="130"/>
      <c r="EU220" s="130"/>
      <c r="EV220" s="130"/>
      <c r="EW220" s="130"/>
      <c r="EX220" s="130"/>
      <c r="FO220" s="130"/>
      <c r="FP220" s="130"/>
      <c r="FQ220" s="130"/>
      <c r="FR220" s="130"/>
      <c r="FS220" s="130"/>
      <c r="FT220" s="130"/>
      <c r="FU220" s="130"/>
      <c r="FV220" s="130"/>
      <c r="GM220" s="130"/>
      <c r="GN220" s="130"/>
      <c r="GO220" s="130"/>
      <c r="GP220" s="130"/>
      <c r="GQ220" s="130"/>
      <c r="GR220" s="130"/>
      <c r="GS220" s="130"/>
      <c r="GT220" s="130"/>
      <c r="HK220" s="130"/>
      <c r="HL220" s="130"/>
      <c r="HM220" s="130"/>
      <c r="HN220" s="130"/>
      <c r="HO220" s="130"/>
      <c r="HP220" s="130"/>
      <c r="HQ220" s="130"/>
      <c r="HR220" s="130"/>
      <c r="II220" s="130"/>
      <c r="IJ220" s="130"/>
      <c r="IK220" s="130"/>
      <c r="IL220" s="130"/>
      <c r="IM220" s="130"/>
      <c r="IN220" s="130"/>
      <c r="IO220" s="130"/>
      <c r="IP220" s="130"/>
    </row>
    <row r="221" spans="1:256" s="3" customFormat="1">
      <c r="A221" s="16">
        <v>5</v>
      </c>
      <c r="B221" s="60">
        <v>43084</v>
      </c>
      <c r="C221" s="18"/>
      <c r="D221" s="19" t="s">
        <v>284</v>
      </c>
      <c r="E221" s="20" t="s">
        <v>285</v>
      </c>
      <c r="F221" s="168" t="s">
        <v>290</v>
      </c>
      <c r="G221" s="63">
        <v>1709</v>
      </c>
      <c r="H221" s="121">
        <v>1406000</v>
      </c>
      <c r="I221" s="24"/>
      <c r="J221" s="24">
        <f t="shared" ref="J221:J227" si="22">SUM(H221)/1.05</f>
        <v>1339047.6190476189</v>
      </c>
      <c r="K221" s="24">
        <f t="shared" si="19"/>
        <v>1339047.6190476189</v>
      </c>
      <c r="L221" s="123"/>
      <c r="M221" s="24">
        <f t="shared" si="20"/>
        <v>0</v>
      </c>
      <c r="N221" s="124">
        <f t="shared" si="21"/>
        <v>1339047.6190476189</v>
      </c>
      <c r="O221" s="85"/>
      <c r="AA221" s="130"/>
      <c r="AB221" s="130"/>
      <c r="AC221" s="130"/>
      <c r="AD221" s="130"/>
      <c r="AE221" s="130"/>
      <c r="AF221" s="130"/>
      <c r="AG221" s="130"/>
      <c r="AH221" s="130"/>
      <c r="AY221" s="130"/>
      <c r="AZ221" s="130"/>
      <c r="BA221" s="130"/>
      <c r="BB221" s="130"/>
      <c r="BC221" s="130"/>
      <c r="BD221" s="130"/>
      <c r="BE221" s="130"/>
      <c r="BF221" s="130"/>
      <c r="BW221" s="130"/>
      <c r="BX221" s="130"/>
      <c r="BY221" s="130"/>
      <c r="BZ221" s="130"/>
      <c r="CA221" s="130"/>
      <c r="CB221" s="130"/>
      <c r="CC221" s="130"/>
      <c r="CD221" s="130"/>
      <c r="CU221" s="130"/>
      <c r="CV221" s="130"/>
      <c r="CW221" s="130"/>
      <c r="CX221" s="130"/>
      <c r="CY221" s="130"/>
      <c r="CZ221" s="130"/>
      <c r="DA221" s="130"/>
      <c r="DB221" s="130"/>
      <c r="DS221" s="130"/>
      <c r="DT221" s="130"/>
      <c r="DU221" s="130"/>
      <c r="DV221" s="130"/>
      <c r="DW221" s="130"/>
      <c r="DX221" s="130"/>
      <c r="DY221" s="130"/>
      <c r="DZ221" s="130"/>
      <c r="EQ221" s="130"/>
      <c r="ER221" s="130"/>
      <c r="ES221" s="130"/>
      <c r="ET221" s="130"/>
      <c r="EU221" s="130"/>
      <c r="EV221" s="130"/>
      <c r="EW221" s="130"/>
      <c r="EX221" s="130"/>
      <c r="FO221" s="130"/>
      <c r="FP221" s="130"/>
      <c r="FQ221" s="130"/>
      <c r="FR221" s="130"/>
      <c r="FS221" s="130"/>
      <c r="FT221" s="130"/>
      <c r="FU221" s="130"/>
      <c r="FV221" s="130"/>
      <c r="GM221" s="130"/>
      <c r="GN221" s="130"/>
      <c r="GO221" s="130"/>
      <c r="GP221" s="130"/>
      <c r="GQ221" s="130"/>
      <c r="GR221" s="130"/>
      <c r="GS221" s="130"/>
      <c r="GT221" s="130"/>
      <c r="HK221" s="130"/>
      <c r="HL221" s="130"/>
      <c r="HM221" s="130"/>
      <c r="HN221" s="130"/>
      <c r="HO221" s="130"/>
      <c r="HP221" s="130"/>
      <c r="HQ221" s="130"/>
      <c r="HR221" s="130"/>
      <c r="II221" s="130"/>
      <c r="IJ221" s="130"/>
      <c r="IK221" s="130"/>
      <c r="IL221" s="130"/>
      <c r="IM221" s="130"/>
      <c r="IN221" s="130"/>
      <c r="IO221" s="130"/>
      <c r="IP221" s="130"/>
    </row>
    <row r="222" spans="1:256" s="3" customFormat="1">
      <c r="A222" s="16">
        <v>6</v>
      </c>
      <c r="B222" s="56">
        <v>43088</v>
      </c>
      <c r="C222" s="18"/>
      <c r="D222" s="19" t="s">
        <v>284</v>
      </c>
      <c r="E222" s="20" t="s">
        <v>291</v>
      </c>
      <c r="F222" s="82" t="s">
        <v>292</v>
      </c>
      <c r="G222" s="63">
        <v>1709</v>
      </c>
      <c r="H222" s="121">
        <v>1212600</v>
      </c>
      <c r="I222" s="24"/>
      <c r="J222" s="24">
        <f t="shared" si="22"/>
        <v>1154857.1428571427</v>
      </c>
      <c r="K222" s="24">
        <f t="shared" si="19"/>
        <v>1154857.1428571427</v>
      </c>
      <c r="L222" s="26"/>
      <c r="M222" s="24">
        <f t="shared" si="20"/>
        <v>0</v>
      </c>
      <c r="N222" s="124">
        <f t="shared" si="21"/>
        <v>1154857.1428571427</v>
      </c>
      <c r="O222" s="87"/>
      <c r="AA222" s="130"/>
      <c r="AB222" s="130"/>
      <c r="AC222" s="130"/>
      <c r="AD222" s="130"/>
      <c r="AE222" s="130"/>
      <c r="AF222" s="130"/>
      <c r="AG222" s="130"/>
      <c r="AH222" s="130"/>
      <c r="AY222" s="130"/>
      <c r="AZ222" s="130"/>
      <c r="BA222" s="130"/>
      <c r="BB222" s="130"/>
      <c r="BC222" s="130"/>
      <c r="BD222" s="130"/>
      <c r="BE222" s="130"/>
      <c r="BF222" s="130"/>
      <c r="BW222" s="130"/>
      <c r="BX222" s="130"/>
      <c r="BY222" s="130"/>
      <c r="BZ222" s="130"/>
      <c r="CA222" s="130"/>
      <c r="CB222" s="130"/>
      <c r="CC222" s="130"/>
      <c r="CD222" s="130"/>
      <c r="CU222" s="130"/>
      <c r="CV222" s="130"/>
      <c r="CW222" s="130"/>
      <c r="CX222" s="130"/>
      <c r="CY222" s="130"/>
      <c r="CZ222" s="130"/>
      <c r="DA222" s="130"/>
      <c r="DB222" s="130"/>
      <c r="DS222" s="130"/>
      <c r="DT222" s="130"/>
      <c r="DU222" s="130"/>
      <c r="DV222" s="130"/>
      <c r="DW222" s="130"/>
      <c r="DX222" s="130"/>
      <c r="DY222" s="130"/>
      <c r="DZ222" s="130"/>
      <c r="EQ222" s="130"/>
      <c r="ER222" s="130"/>
      <c r="ES222" s="130"/>
      <c r="ET222" s="130"/>
      <c r="EU222" s="130"/>
      <c r="EV222" s="130"/>
      <c r="EW222" s="130"/>
      <c r="EX222" s="130"/>
      <c r="FO222" s="130"/>
      <c r="FP222" s="130"/>
      <c r="FQ222" s="130"/>
      <c r="FR222" s="130"/>
      <c r="FS222" s="130"/>
      <c r="FT222" s="130"/>
      <c r="FU222" s="130"/>
      <c r="FV222" s="130"/>
      <c r="GM222" s="130"/>
      <c r="GN222" s="130"/>
      <c r="GO222" s="130"/>
      <c r="GP222" s="130"/>
      <c r="GQ222" s="130"/>
      <c r="GR222" s="130"/>
      <c r="GS222" s="130"/>
      <c r="GT222" s="130"/>
      <c r="HK222" s="130"/>
      <c r="HL222" s="130"/>
      <c r="HM222" s="130"/>
      <c r="HN222" s="130"/>
      <c r="HO222" s="130"/>
      <c r="HP222" s="130"/>
      <c r="HQ222" s="130"/>
      <c r="HR222" s="130"/>
      <c r="II222" s="130"/>
      <c r="IJ222" s="130"/>
      <c r="IK222" s="130"/>
      <c r="IL222" s="130"/>
      <c r="IM222" s="130"/>
      <c r="IN222" s="130"/>
      <c r="IO222" s="130"/>
      <c r="IP222" s="130"/>
    </row>
    <row r="223" spans="1:256" s="3" customFormat="1">
      <c r="A223" s="16">
        <v>7</v>
      </c>
      <c r="B223" s="60">
        <v>43096</v>
      </c>
      <c r="C223" s="18"/>
      <c r="D223" s="19" t="s">
        <v>284</v>
      </c>
      <c r="E223" s="20" t="s">
        <v>291</v>
      </c>
      <c r="F223" s="168" t="s">
        <v>293</v>
      </c>
      <c r="G223" s="63">
        <v>1709</v>
      </c>
      <c r="H223" s="121">
        <v>1212600</v>
      </c>
      <c r="I223" s="24"/>
      <c r="J223" s="24">
        <f t="shared" si="22"/>
        <v>1154857.1428571427</v>
      </c>
      <c r="K223" s="24">
        <f t="shared" si="19"/>
        <v>1154857.1428571427</v>
      </c>
      <c r="L223" s="123"/>
      <c r="M223" s="24">
        <f t="shared" si="20"/>
        <v>0</v>
      </c>
      <c r="N223" s="124">
        <f t="shared" si="21"/>
        <v>1154857.1428571427</v>
      </c>
      <c r="O223" s="108"/>
      <c r="AA223" s="130"/>
      <c r="AB223" s="130"/>
      <c r="AC223" s="130"/>
      <c r="AD223" s="130"/>
      <c r="AE223" s="130"/>
      <c r="AF223" s="130"/>
      <c r="AG223" s="130"/>
      <c r="AH223" s="130"/>
      <c r="AY223" s="130"/>
      <c r="AZ223" s="130"/>
      <c r="BA223" s="130"/>
      <c r="BB223" s="130"/>
      <c r="BC223" s="130"/>
      <c r="BD223" s="130"/>
      <c r="BE223" s="130"/>
      <c r="BF223" s="130"/>
      <c r="BW223" s="130"/>
      <c r="BX223" s="130"/>
      <c r="BY223" s="130"/>
      <c r="BZ223" s="130"/>
      <c r="CA223" s="130"/>
      <c r="CB223" s="130"/>
      <c r="CC223" s="130"/>
      <c r="CD223" s="130"/>
      <c r="CU223" s="130"/>
      <c r="CV223" s="130"/>
      <c r="CW223" s="130"/>
      <c r="CX223" s="130"/>
      <c r="CY223" s="130"/>
      <c r="CZ223" s="130"/>
      <c r="DA223" s="130"/>
      <c r="DB223" s="130"/>
      <c r="DS223" s="130"/>
      <c r="DT223" s="130"/>
      <c r="DU223" s="130"/>
      <c r="DV223" s="130"/>
      <c r="DW223" s="130"/>
      <c r="DX223" s="130"/>
      <c r="DY223" s="130"/>
      <c r="DZ223" s="130"/>
      <c r="EQ223" s="130"/>
      <c r="ER223" s="130"/>
      <c r="ES223" s="130"/>
      <c r="ET223" s="130"/>
      <c r="EU223" s="130"/>
      <c r="EV223" s="130"/>
      <c r="EW223" s="130"/>
      <c r="EX223" s="130"/>
      <c r="FO223" s="130"/>
      <c r="FP223" s="130"/>
      <c r="FQ223" s="130"/>
      <c r="FR223" s="130"/>
      <c r="FS223" s="130"/>
      <c r="FT223" s="130"/>
      <c r="FU223" s="130"/>
      <c r="FV223" s="130"/>
      <c r="GM223" s="130"/>
      <c r="GN223" s="130"/>
      <c r="GO223" s="130"/>
      <c r="GP223" s="130"/>
      <c r="GQ223" s="130"/>
      <c r="GR223" s="130"/>
      <c r="GS223" s="130"/>
      <c r="GT223" s="130"/>
      <c r="HK223" s="130"/>
      <c r="HL223" s="130"/>
      <c r="HM223" s="130"/>
      <c r="HN223" s="130"/>
      <c r="HO223" s="130"/>
      <c r="HP223" s="130"/>
      <c r="HQ223" s="130"/>
      <c r="HR223" s="130"/>
      <c r="II223" s="130"/>
      <c r="IJ223" s="130"/>
      <c r="IK223" s="130"/>
      <c r="IL223" s="130"/>
      <c r="IM223" s="130"/>
      <c r="IN223" s="130"/>
      <c r="IO223" s="130"/>
      <c r="IP223" s="130"/>
    </row>
    <row r="224" spans="1:256" s="3" customFormat="1">
      <c r="A224" s="16">
        <v>8</v>
      </c>
      <c r="B224" s="60">
        <v>43096</v>
      </c>
      <c r="C224" s="18"/>
      <c r="D224" s="19" t="s">
        <v>284</v>
      </c>
      <c r="E224" s="20" t="s">
        <v>291</v>
      </c>
      <c r="F224" s="168" t="s">
        <v>294</v>
      </c>
      <c r="G224" s="63">
        <v>1709</v>
      </c>
      <c r="H224" s="121">
        <v>1212600</v>
      </c>
      <c r="I224" s="24"/>
      <c r="J224" s="24">
        <f t="shared" si="22"/>
        <v>1154857.1428571427</v>
      </c>
      <c r="K224" s="24">
        <f t="shared" si="19"/>
        <v>1154857.1428571427</v>
      </c>
      <c r="L224" s="123"/>
      <c r="M224" s="24">
        <f t="shared" si="20"/>
        <v>0</v>
      </c>
      <c r="N224" s="124">
        <f t="shared" si="21"/>
        <v>1154857.1428571427</v>
      </c>
      <c r="O224" s="108"/>
      <c r="AA224" s="130"/>
      <c r="AB224" s="130"/>
      <c r="AC224" s="130"/>
      <c r="AD224" s="130"/>
      <c r="AE224" s="130"/>
      <c r="AF224" s="130"/>
      <c r="AG224" s="130"/>
      <c r="AH224" s="130"/>
      <c r="AY224" s="130"/>
      <c r="AZ224" s="130"/>
      <c r="BA224" s="130"/>
      <c r="BB224" s="130"/>
      <c r="BC224" s="130"/>
      <c r="BD224" s="130"/>
      <c r="BE224" s="130"/>
      <c r="BF224" s="130"/>
      <c r="BW224" s="130"/>
      <c r="BX224" s="130"/>
      <c r="BY224" s="130"/>
      <c r="BZ224" s="130"/>
      <c r="CA224" s="130"/>
      <c r="CB224" s="130"/>
      <c r="CC224" s="130"/>
      <c r="CD224" s="130"/>
      <c r="CU224" s="130"/>
      <c r="CV224" s="130"/>
      <c r="CW224" s="130"/>
      <c r="CX224" s="130"/>
      <c r="CY224" s="130"/>
      <c r="CZ224" s="130"/>
      <c r="DA224" s="130"/>
      <c r="DB224" s="130"/>
      <c r="DS224" s="130"/>
      <c r="DT224" s="130"/>
      <c r="DU224" s="130"/>
      <c r="DV224" s="130"/>
      <c r="DW224" s="130"/>
      <c r="DX224" s="130"/>
      <c r="DY224" s="130"/>
      <c r="DZ224" s="130"/>
      <c r="EQ224" s="130"/>
      <c r="ER224" s="130"/>
      <c r="ES224" s="130"/>
      <c r="ET224" s="130"/>
      <c r="EU224" s="130"/>
      <c r="EV224" s="130"/>
      <c r="EW224" s="130"/>
      <c r="EX224" s="130"/>
      <c r="FO224" s="130"/>
      <c r="FP224" s="130"/>
      <c r="FQ224" s="130"/>
      <c r="FR224" s="130"/>
      <c r="FS224" s="130"/>
      <c r="FT224" s="130"/>
      <c r="FU224" s="130"/>
      <c r="FV224" s="130"/>
      <c r="GM224" s="130"/>
      <c r="GN224" s="130"/>
      <c r="GO224" s="130"/>
      <c r="GP224" s="130"/>
      <c r="GQ224" s="130"/>
      <c r="GR224" s="130"/>
      <c r="GS224" s="130"/>
      <c r="GT224" s="130"/>
      <c r="HK224" s="130"/>
      <c r="HL224" s="130"/>
      <c r="HM224" s="130"/>
      <c r="HN224" s="130"/>
      <c r="HO224" s="130"/>
      <c r="HP224" s="130"/>
      <c r="HQ224" s="130"/>
      <c r="HR224" s="130"/>
      <c r="II224" s="130"/>
      <c r="IJ224" s="130"/>
      <c r="IK224" s="130"/>
      <c r="IL224" s="130"/>
      <c r="IM224" s="130"/>
      <c r="IN224" s="130"/>
      <c r="IO224" s="130"/>
      <c r="IP224" s="130"/>
    </row>
    <row r="225" spans="1:256" s="3" customFormat="1">
      <c r="A225" s="16">
        <v>9</v>
      </c>
      <c r="B225" s="56">
        <v>43088</v>
      </c>
      <c r="C225" s="18"/>
      <c r="D225" s="19" t="s">
        <v>284</v>
      </c>
      <c r="E225" s="20" t="s">
        <v>295</v>
      </c>
      <c r="F225" s="62" t="s">
        <v>296</v>
      </c>
      <c r="G225" s="63">
        <v>1708</v>
      </c>
      <c r="H225" s="121">
        <f>50000+1567500</f>
        <v>1617500</v>
      </c>
      <c r="I225" s="24"/>
      <c r="J225" s="24">
        <f t="shared" si="22"/>
        <v>1540476.1904761903</v>
      </c>
      <c r="K225" s="24">
        <f t="shared" si="19"/>
        <v>1540476.1904761903</v>
      </c>
      <c r="L225" s="123"/>
      <c r="M225" s="24">
        <f t="shared" si="20"/>
        <v>0</v>
      </c>
      <c r="N225" s="124">
        <f t="shared" si="21"/>
        <v>1540476.1904761903</v>
      </c>
      <c r="O225" s="85"/>
      <c r="P225" s="169"/>
      <c r="Q225" s="140"/>
      <c r="AA225" s="130"/>
      <c r="AB225" s="130"/>
      <c r="AC225" s="130"/>
      <c r="AD225" s="130"/>
      <c r="AE225" s="130"/>
      <c r="AF225" s="130"/>
      <c r="AG225" s="130"/>
      <c r="AH225" s="130"/>
      <c r="AY225" s="130"/>
      <c r="AZ225" s="130"/>
      <c r="BA225" s="130"/>
      <c r="BB225" s="130"/>
      <c r="BC225" s="130"/>
      <c r="BD225" s="130"/>
      <c r="BE225" s="130"/>
      <c r="BF225" s="130"/>
      <c r="BW225" s="130"/>
      <c r="BX225" s="130"/>
      <c r="BY225" s="130"/>
      <c r="BZ225" s="130"/>
      <c r="CA225" s="130"/>
      <c r="CB225" s="130"/>
      <c r="CC225" s="130"/>
      <c r="CD225" s="130"/>
      <c r="CU225" s="130"/>
      <c r="CV225" s="130"/>
      <c r="CW225" s="130"/>
      <c r="CX225" s="130"/>
      <c r="CY225" s="130"/>
      <c r="CZ225" s="130"/>
      <c r="DA225" s="130"/>
      <c r="DB225" s="130"/>
      <c r="DS225" s="130"/>
      <c r="DT225" s="130"/>
      <c r="DU225" s="130"/>
      <c r="DV225" s="130"/>
      <c r="DW225" s="130"/>
      <c r="DX225" s="130"/>
      <c r="DY225" s="130"/>
      <c r="DZ225" s="130"/>
      <c r="EQ225" s="130"/>
      <c r="ER225" s="130"/>
      <c r="ES225" s="130"/>
      <c r="ET225" s="130"/>
      <c r="EU225" s="130"/>
      <c r="EV225" s="130"/>
      <c r="EW225" s="130"/>
      <c r="EX225" s="130"/>
      <c r="FO225" s="130"/>
      <c r="FP225" s="130"/>
      <c r="FQ225" s="130"/>
      <c r="FR225" s="130"/>
      <c r="FS225" s="130"/>
      <c r="FT225" s="130"/>
      <c r="FU225" s="130"/>
      <c r="FV225" s="130"/>
      <c r="GM225" s="130"/>
      <c r="GN225" s="130"/>
      <c r="GO225" s="130"/>
      <c r="GP225" s="130"/>
      <c r="GQ225" s="130"/>
      <c r="GR225" s="130"/>
      <c r="GS225" s="130"/>
      <c r="GT225" s="130"/>
      <c r="HK225" s="130"/>
      <c r="HL225" s="130"/>
      <c r="HM225" s="130"/>
      <c r="HN225" s="130"/>
      <c r="HO225" s="130"/>
      <c r="HP225" s="130"/>
      <c r="HQ225" s="130"/>
      <c r="HR225" s="130"/>
      <c r="II225" s="130"/>
      <c r="IJ225" s="130"/>
      <c r="IK225" s="130"/>
      <c r="IL225" s="130"/>
      <c r="IM225" s="130"/>
      <c r="IN225" s="130"/>
      <c r="IO225" s="130"/>
      <c r="IP225" s="130"/>
    </row>
    <row r="226" spans="1:256" s="3" customFormat="1">
      <c r="A226" s="16">
        <v>10</v>
      </c>
      <c r="B226" s="56">
        <v>43098</v>
      </c>
      <c r="C226" s="18"/>
      <c r="D226" s="19" t="s">
        <v>284</v>
      </c>
      <c r="E226" s="20" t="s">
        <v>295</v>
      </c>
      <c r="F226" s="62" t="s">
        <v>297</v>
      </c>
      <c r="G226" s="63">
        <v>1709</v>
      </c>
      <c r="H226" s="121">
        <f>50000+1567500</f>
        <v>1617500</v>
      </c>
      <c r="I226" s="24"/>
      <c r="J226" s="24">
        <f t="shared" si="22"/>
        <v>1540476.1904761903</v>
      </c>
      <c r="K226" s="24">
        <f t="shared" si="19"/>
        <v>1540476.1904761903</v>
      </c>
      <c r="L226" s="123"/>
      <c r="M226" s="24">
        <f t="shared" si="20"/>
        <v>0</v>
      </c>
      <c r="N226" s="124">
        <f t="shared" si="21"/>
        <v>1540476.1904761903</v>
      </c>
      <c r="O226" s="87"/>
      <c r="Q226" s="140"/>
      <c r="AA226" s="141"/>
      <c r="AB226" s="142"/>
      <c r="AC226" s="142"/>
      <c r="AD226" s="142"/>
      <c r="AE226" s="142"/>
      <c r="AF226" s="142"/>
      <c r="AG226" s="142"/>
      <c r="AH226" s="143"/>
      <c r="AY226" s="141"/>
      <c r="AZ226" s="142"/>
      <c r="BA226" s="142"/>
      <c r="BB226" s="142"/>
      <c r="BC226" s="142"/>
      <c r="BD226" s="142"/>
      <c r="BE226" s="142"/>
      <c r="BF226" s="143"/>
      <c r="BW226" s="141"/>
      <c r="BX226" s="142"/>
      <c r="BY226" s="142"/>
      <c r="BZ226" s="142"/>
      <c r="CA226" s="142"/>
      <c r="CB226" s="142"/>
      <c r="CC226" s="142"/>
      <c r="CD226" s="143"/>
      <c r="CU226" s="141"/>
      <c r="CV226" s="142"/>
      <c r="CW226" s="142"/>
      <c r="CX226" s="142"/>
      <c r="CY226" s="142"/>
      <c r="CZ226" s="142"/>
      <c r="DA226" s="142"/>
      <c r="DB226" s="143"/>
      <c r="DS226" s="141"/>
      <c r="DT226" s="142"/>
      <c r="DU226" s="142"/>
      <c r="DV226" s="142"/>
      <c r="DW226" s="142"/>
      <c r="DX226" s="142"/>
      <c r="DY226" s="142"/>
      <c r="DZ226" s="143"/>
      <c r="EQ226" s="141"/>
      <c r="ER226" s="142"/>
      <c r="ES226" s="142"/>
      <c r="ET226" s="142"/>
      <c r="EU226" s="142"/>
      <c r="EV226" s="142"/>
      <c r="EW226" s="142"/>
      <c r="EX226" s="143"/>
      <c r="FO226" s="141"/>
      <c r="FP226" s="142"/>
      <c r="FQ226" s="142"/>
      <c r="FR226" s="142"/>
      <c r="FS226" s="142"/>
      <c r="FT226" s="142"/>
      <c r="FU226" s="142"/>
      <c r="FV226" s="143"/>
      <c r="GM226" s="141"/>
      <c r="GN226" s="142"/>
      <c r="GO226" s="142"/>
      <c r="GP226" s="142"/>
      <c r="GQ226" s="142"/>
      <c r="GR226" s="142"/>
      <c r="GS226" s="142"/>
      <c r="GT226" s="143"/>
      <c r="HK226" s="141"/>
      <c r="HL226" s="142"/>
      <c r="HM226" s="142"/>
      <c r="HN226" s="142"/>
      <c r="HO226" s="142"/>
      <c r="HP226" s="142"/>
      <c r="HQ226" s="142"/>
      <c r="HR226" s="143"/>
      <c r="II226" s="141"/>
      <c r="IJ226" s="142"/>
      <c r="IK226" s="142"/>
      <c r="IL226" s="142"/>
      <c r="IM226" s="142"/>
      <c r="IN226" s="142"/>
      <c r="IO226" s="142"/>
      <c r="IP226" s="143"/>
    </row>
    <row r="227" spans="1:256" s="3" customFormat="1">
      <c r="A227" s="16">
        <v>11</v>
      </c>
      <c r="B227" s="56">
        <v>43097</v>
      </c>
      <c r="C227" s="18"/>
      <c r="D227" s="19" t="s">
        <v>284</v>
      </c>
      <c r="E227" s="20" t="s">
        <v>298</v>
      </c>
      <c r="F227" s="62" t="s">
        <v>299</v>
      </c>
      <c r="G227" s="63">
        <v>1710</v>
      </c>
      <c r="H227" s="121">
        <v>1850700</v>
      </c>
      <c r="I227" s="24"/>
      <c r="J227" s="24">
        <f t="shared" si="22"/>
        <v>1762571.4285714284</v>
      </c>
      <c r="K227" s="24">
        <f t="shared" si="19"/>
        <v>1762571.4285714284</v>
      </c>
      <c r="L227" s="123"/>
      <c r="M227" s="24">
        <f t="shared" si="20"/>
        <v>0</v>
      </c>
      <c r="N227" s="124">
        <f t="shared" si="21"/>
        <v>1762571.4285714284</v>
      </c>
      <c r="O227" s="87"/>
      <c r="Y227" s="131"/>
      <c r="Z227" s="15"/>
      <c r="AA227" s="170"/>
      <c r="AB227" s="171"/>
      <c r="AC227" s="172"/>
      <c r="AD227" s="172"/>
      <c r="AE227" s="173"/>
      <c r="AF227" s="174"/>
      <c r="AG227" s="175"/>
      <c r="AH227" s="176"/>
      <c r="AJ227" s="138"/>
      <c r="AK227" s="2"/>
      <c r="AL227" s="139"/>
      <c r="AW227" s="131"/>
      <c r="AX227" s="15"/>
      <c r="AY227" s="170"/>
      <c r="AZ227" s="171"/>
      <c r="BA227" s="172"/>
      <c r="BB227" s="172"/>
      <c r="BC227" s="173"/>
      <c r="BD227" s="174"/>
      <c r="BE227" s="175"/>
      <c r="BF227" s="176"/>
      <c r="BH227" s="138"/>
      <c r="BI227" s="2"/>
      <c r="BJ227" s="139"/>
      <c r="BU227" s="131"/>
      <c r="BV227" s="15"/>
      <c r="BW227" s="170"/>
      <c r="BX227" s="171"/>
      <c r="BY227" s="172"/>
      <c r="BZ227" s="172"/>
      <c r="CA227" s="173"/>
      <c r="CB227" s="174"/>
      <c r="CC227" s="175"/>
      <c r="CD227" s="176"/>
      <c r="CF227" s="138"/>
      <c r="CG227" s="2"/>
      <c r="CH227" s="139"/>
      <c r="CS227" s="131"/>
      <c r="CT227" s="15"/>
      <c r="CU227" s="170"/>
      <c r="CV227" s="171"/>
      <c r="CW227" s="172"/>
      <c r="CX227" s="172"/>
      <c r="CY227" s="173"/>
      <c r="CZ227" s="174"/>
      <c r="DA227" s="175"/>
      <c r="DB227" s="176"/>
      <c r="DD227" s="138"/>
      <c r="DE227" s="2"/>
      <c r="DF227" s="139"/>
      <c r="DQ227" s="131"/>
      <c r="DR227" s="15"/>
      <c r="DS227" s="170"/>
      <c r="DT227" s="171"/>
      <c r="DU227" s="172"/>
      <c r="DV227" s="172"/>
      <c r="DW227" s="173"/>
      <c r="DX227" s="174"/>
      <c r="DY227" s="175"/>
      <c r="DZ227" s="176"/>
      <c r="EB227" s="138"/>
      <c r="EC227" s="2"/>
      <c r="ED227" s="139"/>
      <c r="EO227" s="131"/>
      <c r="EP227" s="15"/>
      <c r="EQ227" s="170"/>
      <c r="ER227" s="171"/>
      <c r="ES227" s="172"/>
      <c r="ET227" s="172"/>
      <c r="EU227" s="173"/>
      <c r="EV227" s="174"/>
      <c r="EW227" s="175"/>
      <c r="EX227" s="176"/>
      <c r="EZ227" s="138"/>
      <c r="FA227" s="2"/>
      <c r="FB227" s="139"/>
      <c r="FM227" s="131"/>
      <c r="FN227" s="15"/>
      <c r="FO227" s="170"/>
      <c r="FP227" s="171"/>
      <c r="FQ227" s="172"/>
      <c r="FR227" s="172"/>
      <c r="FS227" s="173"/>
      <c r="FT227" s="174"/>
      <c r="FU227" s="175"/>
      <c r="FV227" s="176"/>
      <c r="FX227" s="138"/>
      <c r="FY227" s="2"/>
      <c r="FZ227" s="139"/>
      <c r="GK227" s="131"/>
      <c r="GL227" s="15"/>
      <c r="GM227" s="170"/>
      <c r="GN227" s="171"/>
      <c r="GO227" s="172"/>
      <c r="GP227" s="172"/>
      <c r="GQ227" s="173"/>
      <c r="GR227" s="174"/>
      <c r="GS227" s="175"/>
      <c r="GT227" s="176"/>
      <c r="GV227" s="138"/>
      <c r="GW227" s="2"/>
      <c r="GX227" s="139"/>
      <c r="HI227" s="131"/>
      <c r="HJ227" s="15"/>
      <c r="HK227" s="170"/>
      <c r="HL227" s="171"/>
      <c r="HM227" s="172"/>
      <c r="HN227" s="172"/>
      <c r="HO227" s="173"/>
      <c r="HP227" s="174"/>
      <c r="HQ227" s="175"/>
      <c r="HR227" s="176"/>
      <c r="HT227" s="138"/>
      <c r="HU227" s="2"/>
      <c r="HV227" s="139"/>
      <c r="IG227" s="131"/>
      <c r="IH227" s="15"/>
      <c r="II227" s="170"/>
      <c r="IJ227" s="171"/>
      <c r="IK227" s="172"/>
      <c r="IL227" s="172"/>
      <c r="IM227" s="173"/>
      <c r="IN227" s="174"/>
      <c r="IO227" s="175"/>
      <c r="IP227" s="176"/>
      <c r="IR227" s="138"/>
      <c r="IS227" s="2"/>
      <c r="IT227" s="139"/>
    </row>
    <row r="228" spans="1:256" s="125" customFormat="1">
      <c r="A228" s="16">
        <v>12</v>
      </c>
      <c r="B228" s="56">
        <v>43005</v>
      </c>
      <c r="C228" s="18"/>
      <c r="D228" s="19" t="s">
        <v>300</v>
      </c>
      <c r="E228" s="20" t="s">
        <v>301</v>
      </c>
      <c r="F228" s="82" t="s">
        <v>302</v>
      </c>
      <c r="G228" s="58">
        <v>1707</v>
      </c>
      <c r="H228" s="121">
        <f>40000-30000+1692600</f>
        <v>1702600</v>
      </c>
      <c r="I228" s="24">
        <v>1621524</v>
      </c>
      <c r="J228" s="24"/>
      <c r="K228" s="24">
        <f t="shared" si="19"/>
        <v>1621524</v>
      </c>
      <c r="L228" s="123"/>
      <c r="M228" s="24">
        <f t="shared" si="20"/>
        <v>0</v>
      </c>
      <c r="N228" s="124">
        <f t="shared" si="21"/>
        <v>1621524</v>
      </c>
      <c r="O228" s="108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130"/>
      <c r="AB228" s="130"/>
      <c r="AC228" s="130"/>
      <c r="AD228" s="130"/>
      <c r="AE228" s="130"/>
      <c r="AF228" s="130"/>
      <c r="AG228" s="130"/>
      <c r="AH228" s="130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130"/>
      <c r="AZ228" s="130"/>
      <c r="BA228" s="130"/>
      <c r="BB228" s="130"/>
      <c r="BC228" s="130"/>
      <c r="BD228" s="130"/>
      <c r="BE228" s="130"/>
      <c r="BF228" s="130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130"/>
      <c r="BX228" s="130"/>
      <c r="BY228" s="130"/>
      <c r="BZ228" s="130"/>
      <c r="CA228" s="130"/>
      <c r="CB228" s="130"/>
      <c r="CC228" s="130"/>
      <c r="CD228" s="130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130"/>
      <c r="CV228" s="130"/>
      <c r="CW228" s="130"/>
      <c r="CX228" s="130"/>
      <c r="CY228" s="130"/>
      <c r="CZ228" s="130"/>
      <c r="DA228" s="130"/>
      <c r="DB228" s="130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3"/>
      <c r="DQ228" s="3"/>
      <c r="DR228" s="3"/>
      <c r="DS228" s="130"/>
      <c r="DT228" s="130"/>
      <c r="DU228" s="130"/>
      <c r="DV228" s="130"/>
      <c r="DW228" s="130"/>
      <c r="DX228" s="130"/>
      <c r="DY228" s="130"/>
      <c r="DZ228" s="130"/>
      <c r="EA228" s="3"/>
      <c r="EB228" s="3"/>
      <c r="EC228" s="3"/>
      <c r="ED228" s="3"/>
      <c r="EE228" s="3"/>
      <c r="EF228" s="3"/>
      <c r="EG228" s="3"/>
      <c r="EH228" s="3"/>
      <c r="EI228" s="3"/>
      <c r="EJ228" s="3"/>
      <c r="EK228" s="3"/>
      <c r="EL228" s="3"/>
      <c r="EM228" s="3"/>
      <c r="EN228" s="3"/>
      <c r="EO228" s="3"/>
      <c r="EP228" s="3"/>
      <c r="EQ228" s="130"/>
      <c r="ER228" s="130"/>
      <c r="ES228" s="130"/>
      <c r="ET228" s="130"/>
      <c r="EU228" s="130"/>
      <c r="EV228" s="130"/>
      <c r="EW228" s="130"/>
      <c r="EX228" s="130"/>
      <c r="EY228" s="3"/>
      <c r="EZ228" s="3"/>
      <c r="FA228" s="3"/>
      <c r="FB228" s="3"/>
      <c r="FC228" s="3"/>
      <c r="FD228" s="3"/>
      <c r="FE228" s="3"/>
      <c r="FF228" s="3"/>
      <c r="FG228" s="3"/>
      <c r="FH228" s="3"/>
      <c r="FI228" s="3"/>
      <c r="FJ228" s="3"/>
      <c r="FK228" s="3"/>
      <c r="FL228" s="3"/>
      <c r="FM228" s="3"/>
      <c r="FN228" s="3"/>
      <c r="FO228" s="130"/>
      <c r="FP228" s="130"/>
      <c r="FQ228" s="130"/>
      <c r="FR228" s="130"/>
      <c r="FS228" s="130"/>
      <c r="FT228" s="130"/>
      <c r="FU228" s="130"/>
      <c r="FV228" s="130"/>
      <c r="FW228" s="3"/>
      <c r="FX228" s="3"/>
      <c r="FY228" s="3"/>
      <c r="FZ228" s="3"/>
      <c r="GA228" s="3"/>
      <c r="GB228" s="3"/>
      <c r="GC228" s="3"/>
      <c r="GD228" s="3"/>
      <c r="GE228" s="3"/>
      <c r="GF228" s="3"/>
      <c r="GG228" s="3"/>
      <c r="GH228" s="3"/>
      <c r="GI228" s="3"/>
      <c r="GJ228" s="3"/>
      <c r="GK228" s="3"/>
      <c r="GL228" s="3"/>
      <c r="GM228" s="130"/>
      <c r="GN228" s="130"/>
      <c r="GO228" s="130"/>
      <c r="GP228" s="130"/>
      <c r="GQ228" s="130"/>
      <c r="GR228" s="130"/>
      <c r="GS228" s="130"/>
      <c r="GT228" s="130"/>
      <c r="GU228" s="3"/>
      <c r="GV228" s="3"/>
      <c r="GW228" s="3"/>
      <c r="GX228" s="3"/>
      <c r="GY228" s="3"/>
      <c r="GZ228" s="3"/>
      <c r="HA228" s="3"/>
      <c r="HB228" s="3"/>
      <c r="HC228" s="3"/>
      <c r="HD228" s="3"/>
      <c r="HE228" s="3"/>
      <c r="HF228" s="3"/>
      <c r="HG228" s="3"/>
      <c r="HH228" s="3"/>
      <c r="HI228" s="3"/>
      <c r="HJ228" s="3"/>
      <c r="HK228" s="130"/>
      <c r="HL228" s="130"/>
      <c r="HM228" s="130"/>
      <c r="HN228" s="130"/>
      <c r="HO228" s="130"/>
      <c r="HP228" s="130"/>
      <c r="HQ228" s="130"/>
      <c r="HR228" s="130"/>
      <c r="HS228" s="3"/>
      <c r="HT228" s="3"/>
      <c r="HU228" s="3"/>
      <c r="HV228" s="3"/>
      <c r="HW228" s="3"/>
      <c r="HX228" s="3"/>
      <c r="HY228" s="3"/>
      <c r="HZ228" s="3"/>
      <c r="IA228" s="3"/>
      <c r="IB228" s="3"/>
      <c r="IC228" s="3"/>
      <c r="ID228" s="3"/>
      <c r="IE228" s="3"/>
      <c r="IF228" s="3"/>
      <c r="IG228" s="3"/>
      <c r="IH228" s="3"/>
      <c r="II228" s="130"/>
      <c r="IJ228" s="130"/>
      <c r="IK228" s="130"/>
      <c r="IL228" s="130"/>
      <c r="IM228" s="130"/>
      <c r="IN228" s="130"/>
      <c r="IO228" s="130"/>
      <c r="IP228" s="130"/>
      <c r="IQ228" s="3"/>
      <c r="IR228" s="3"/>
      <c r="IS228" s="3"/>
      <c r="IT228" s="3"/>
      <c r="IU228" s="3"/>
      <c r="IV228" s="3"/>
    </row>
    <row r="229" spans="1:256" s="3" customFormat="1">
      <c r="A229" s="16">
        <v>13</v>
      </c>
      <c r="B229" s="60">
        <v>43095</v>
      </c>
      <c r="C229" s="18"/>
      <c r="D229" s="19" t="s">
        <v>300</v>
      </c>
      <c r="E229" s="20" t="s">
        <v>301</v>
      </c>
      <c r="F229" s="168" t="s">
        <v>303</v>
      </c>
      <c r="G229" s="63">
        <v>1708</v>
      </c>
      <c r="H229" s="121">
        <v>1674000</v>
      </c>
      <c r="I229" s="24"/>
      <c r="J229" s="24">
        <f>SUM(H229)/1.05</f>
        <v>1594285.7142857143</v>
      </c>
      <c r="K229" s="24">
        <f t="shared" si="19"/>
        <v>1594285.7142857143</v>
      </c>
      <c r="L229" s="123"/>
      <c r="M229" s="24">
        <f t="shared" si="20"/>
        <v>0</v>
      </c>
      <c r="N229" s="124">
        <f t="shared" si="21"/>
        <v>1594285.7142857143</v>
      </c>
      <c r="O229" s="108"/>
      <c r="Q229" s="140"/>
      <c r="AA229" s="141"/>
      <c r="AB229" s="142"/>
      <c r="AC229" s="142"/>
      <c r="AD229" s="142"/>
      <c r="AE229" s="142"/>
      <c r="AF229" s="142"/>
      <c r="AG229" s="142"/>
      <c r="AH229" s="143"/>
      <c r="AY229" s="141"/>
      <c r="AZ229" s="142"/>
      <c r="BA229" s="142"/>
      <c r="BB229" s="142"/>
      <c r="BC229" s="142"/>
      <c r="BD229" s="142"/>
      <c r="BE229" s="142"/>
      <c r="BF229" s="143"/>
      <c r="BW229" s="141"/>
      <c r="BX229" s="142"/>
      <c r="BY229" s="142"/>
      <c r="BZ229" s="142"/>
      <c r="CA229" s="142"/>
      <c r="CB229" s="142"/>
      <c r="CC229" s="142"/>
      <c r="CD229" s="143"/>
      <c r="CU229" s="141"/>
      <c r="CV229" s="142"/>
      <c r="CW229" s="142"/>
      <c r="CX229" s="142"/>
      <c r="CY229" s="142"/>
      <c r="CZ229" s="142"/>
      <c r="DA229" s="142"/>
      <c r="DB229" s="143"/>
      <c r="DS229" s="141"/>
      <c r="DT229" s="142"/>
      <c r="DU229" s="142"/>
      <c r="DV229" s="142"/>
      <c r="DW229" s="142"/>
      <c r="DX229" s="142"/>
      <c r="DY229" s="142"/>
      <c r="DZ229" s="143"/>
      <c r="EQ229" s="141"/>
      <c r="ER229" s="142"/>
      <c r="ES229" s="142"/>
      <c r="ET229" s="142"/>
      <c r="EU229" s="142"/>
      <c r="EV229" s="142"/>
      <c r="EW229" s="142"/>
      <c r="EX229" s="143"/>
      <c r="FO229" s="141"/>
      <c r="FP229" s="142"/>
      <c r="FQ229" s="142"/>
      <c r="FR229" s="142"/>
      <c r="FS229" s="142"/>
      <c r="FT229" s="142"/>
      <c r="FU229" s="142"/>
      <c r="FV229" s="143"/>
      <c r="GM229" s="141"/>
      <c r="GN229" s="142"/>
      <c r="GO229" s="142"/>
      <c r="GP229" s="142"/>
      <c r="GQ229" s="142"/>
      <c r="GR229" s="142"/>
      <c r="GS229" s="142"/>
      <c r="GT229" s="143"/>
      <c r="HK229" s="141"/>
      <c r="HL229" s="142"/>
      <c r="HM229" s="142"/>
      <c r="HN229" s="142"/>
      <c r="HO229" s="142"/>
      <c r="HP229" s="142"/>
      <c r="HQ229" s="142"/>
      <c r="HR229" s="143"/>
      <c r="II229" s="141"/>
      <c r="IJ229" s="142"/>
      <c r="IK229" s="142"/>
      <c r="IL229" s="142"/>
      <c r="IM229" s="142"/>
      <c r="IN229" s="142"/>
      <c r="IO229" s="142"/>
      <c r="IP229" s="143"/>
    </row>
    <row r="230" spans="1:256" s="3" customFormat="1">
      <c r="A230" s="16">
        <v>14</v>
      </c>
      <c r="B230" s="56">
        <v>43054</v>
      </c>
      <c r="C230" s="18"/>
      <c r="D230" s="19" t="s">
        <v>300</v>
      </c>
      <c r="E230" s="20" t="s">
        <v>301</v>
      </c>
      <c r="F230" s="82" t="s">
        <v>304</v>
      </c>
      <c r="G230" s="63">
        <v>1708</v>
      </c>
      <c r="H230" s="121">
        <v>1674000</v>
      </c>
      <c r="I230" s="24">
        <v>1594286</v>
      </c>
      <c r="J230" s="24"/>
      <c r="K230" s="24">
        <f t="shared" si="19"/>
        <v>1594286</v>
      </c>
      <c r="L230" s="123"/>
      <c r="M230" s="24">
        <f t="shared" si="20"/>
        <v>0</v>
      </c>
      <c r="N230" s="124">
        <f t="shared" si="21"/>
        <v>1594286</v>
      </c>
      <c r="O230" s="107"/>
      <c r="Q230" s="140"/>
      <c r="AA230" s="141"/>
      <c r="AB230" s="142"/>
      <c r="AC230" s="142"/>
      <c r="AD230" s="142"/>
      <c r="AE230" s="142"/>
      <c r="AF230" s="177"/>
      <c r="AG230" s="177"/>
      <c r="AH230" s="178"/>
      <c r="AI230" s="125"/>
      <c r="AJ230" s="125"/>
      <c r="AK230" s="125"/>
      <c r="AL230" s="125"/>
      <c r="AM230" s="125"/>
      <c r="AN230" s="125"/>
      <c r="AO230" s="125"/>
      <c r="AP230" s="125"/>
      <c r="AQ230" s="125"/>
      <c r="AR230" s="125"/>
      <c r="AS230" s="125"/>
      <c r="AT230" s="125"/>
      <c r="AU230" s="125"/>
      <c r="AV230" s="125"/>
      <c r="AW230" s="125"/>
      <c r="AX230" s="125"/>
      <c r="AY230" s="179"/>
      <c r="AZ230" s="177"/>
      <c r="BA230" s="177"/>
      <c r="BB230" s="177"/>
      <c r="BC230" s="177"/>
      <c r="BD230" s="177"/>
      <c r="BE230" s="177"/>
      <c r="BF230" s="178"/>
      <c r="BG230" s="125"/>
      <c r="BH230" s="125"/>
      <c r="BI230" s="125"/>
      <c r="BJ230" s="125"/>
      <c r="BK230" s="125"/>
      <c r="BL230" s="125"/>
      <c r="BM230" s="125"/>
      <c r="BN230" s="125"/>
      <c r="BO230" s="125"/>
      <c r="BP230" s="125"/>
      <c r="BQ230" s="125"/>
      <c r="BR230" s="125"/>
      <c r="BS230" s="125"/>
      <c r="BT230" s="125"/>
      <c r="BU230" s="125"/>
      <c r="BV230" s="125"/>
      <c r="BW230" s="179"/>
      <c r="BX230" s="177"/>
      <c r="BY230" s="177"/>
      <c r="BZ230" s="177"/>
      <c r="CA230" s="177"/>
      <c r="CB230" s="177"/>
      <c r="CC230" s="177"/>
      <c r="CD230" s="178"/>
      <c r="CE230" s="125"/>
      <c r="CF230" s="125"/>
      <c r="CG230" s="125"/>
      <c r="CH230" s="125"/>
      <c r="CI230" s="125"/>
      <c r="CJ230" s="125"/>
      <c r="CK230" s="125"/>
      <c r="CL230" s="125"/>
      <c r="CM230" s="125"/>
      <c r="CN230" s="125"/>
      <c r="CO230" s="125"/>
      <c r="CP230" s="125"/>
      <c r="CQ230" s="125"/>
      <c r="CR230" s="125"/>
      <c r="CS230" s="125"/>
      <c r="CT230" s="125"/>
      <c r="CU230" s="179"/>
      <c r="CV230" s="177"/>
      <c r="CW230" s="177"/>
      <c r="CX230" s="177"/>
      <c r="CY230" s="177"/>
      <c r="CZ230" s="177"/>
      <c r="DA230" s="177"/>
      <c r="DB230" s="178"/>
      <c r="DC230" s="125"/>
      <c r="DD230" s="125"/>
      <c r="DE230" s="125"/>
      <c r="DF230" s="125"/>
      <c r="DG230" s="125"/>
      <c r="DH230" s="125"/>
      <c r="DI230" s="125"/>
      <c r="DJ230" s="125"/>
      <c r="DK230" s="125"/>
      <c r="DL230" s="125"/>
      <c r="DM230" s="125"/>
      <c r="DN230" s="125"/>
      <c r="DO230" s="125"/>
      <c r="DP230" s="125"/>
      <c r="DQ230" s="125"/>
      <c r="DR230" s="125"/>
      <c r="DS230" s="179"/>
      <c r="DT230" s="177"/>
      <c r="DU230" s="177"/>
      <c r="DV230" s="177"/>
      <c r="DW230" s="177"/>
      <c r="DX230" s="177"/>
      <c r="DY230" s="177"/>
      <c r="DZ230" s="178"/>
      <c r="EA230" s="125"/>
      <c r="EB230" s="125"/>
      <c r="EC230" s="125"/>
      <c r="ED230" s="125"/>
      <c r="EE230" s="125"/>
      <c r="EF230" s="125"/>
      <c r="EG230" s="125"/>
      <c r="EH230" s="125"/>
      <c r="EI230" s="125"/>
      <c r="EJ230" s="125"/>
      <c r="EK230" s="125"/>
      <c r="EL230" s="125"/>
      <c r="EM230" s="125"/>
      <c r="EN230" s="125"/>
      <c r="EO230" s="125"/>
      <c r="EP230" s="125"/>
      <c r="EQ230" s="179"/>
      <c r="ER230" s="177"/>
      <c r="ES230" s="177"/>
      <c r="ET230" s="177"/>
      <c r="EU230" s="177"/>
      <c r="EV230" s="177"/>
      <c r="EW230" s="177"/>
      <c r="EX230" s="178"/>
      <c r="EY230" s="125"/>
      <c r="EZ230" s="125"/>
      <c r="FA230" s="125"/>
      <c r="FB230" s="125"/>
      <c r="FC230" s="125"/>
      <c r="FD230" s="125"/>
      <c r="FE230" s="125"/>
      <c r="FF230" s="125"/>
      <c r="FG230" s="125"/>
      <c r="FH230" s="125"/>
      <c r="FI230" s="125"/>
      <c r="FJ230" s="125"/>
      <c r="FK230" s="125"/>
      <c r="FL230" s="125"/>
      <c r="FM230" s="125"/>
      <c r="FN230" s="125"/>
      <c r="FO230" s="179"/>
      <c r="FP230" s="177"/>
      <c r="FQ230" s="177"/>
      <c r="FR230" s="177"/>
      <c r="FS230" s="177"/>
      <c r="FT230" s="177"/>
      <c r="FU230" s="177"/>
      <c r="FV230" s="178"/>
      <c r="FW230" s="125"/>
      <c r="FX230" s="125"/>
      <c r="FY230" s="125"/>
      <c r="FZ230" s="125"/>
      <c r="GA230" s="125"/>
      <c r="GB230" s="125"/>
      <c r="GC230" s="125"/>
      <c r="GD230" s="125"/>
      <c r="GE230" s="125"/>
      <c r="GF230" s="125"/>
      <c r="GG230" s="125"/>
      <c r="GH230" s="125"/>
      <c r="GI230" s="125"/>
      <c r="GJ230" s="125"/>
      <c r="GK230" s="125"/>
      <c r="GL230" s="125"/>
      <c r="GM230" s="179"/>
      <c r="GN230" s="177"/>
      <c r="GO230" s="177"/>
      <c r="GP230" s="177"/>
      <c r="GQ230" s="177"/>
      <c r="GR230" s="177"/>
      <c r="GS230" s="177"/>
      <c r="GT230" s="178"/>
      <c r="GU230" s="125"/>
      <c r="GV230" s="125"/>
      <c r="GW230" s="125"/>
      <c r="GX230" s="125"/>
      <c r="GY230" s="125"/>
      <c r="GZ230" s="125"/>
      <c r="HA230" s="125"/>
      <c r="HB230" s="125"/>
      <c r="HC230" s="125"/>
      <c r="HD230" s="125"/>
      <c r="HE230" s="125"/>
      <c r="HF230" s="125"/>
      <c r="HG230" s="125"/>
      <c r="HH230" s="125"/>
      <c r="HI230" s="125"/>
      <c r="HJ230" s="125"/>
      <c r="HK230" s="179"/>
      <c r="HL230" s="177"/>
      <c r="HM230" s="177"/>
      <c r="HN230" s="177"/>
      <c r="HO230" s="177"/>
      <c r="HP230" s="177"/>
      <c r="HQ230" s="177"/>
      <c r="HR230" s="178"/>
      <c r="HS230" s="125"/>
      <c r="HT230" s="125"/>
      <c r="HU230" s="125"/>
      <c r="HV230" s="125"/>
      <c r="HW230" s="125"/>
      <c r="HX230" s="125"/>
      <c r="HY230" s="125"/>
      <c r="HZ230" s="125"/>
      <c r="IA230" s="125"/>
      <c r="IB230" s="125"/>
      <c r="IC230" s="125"/>
      <c r="ID230" s="125"/>
      <c r="IE230" s="125"/>
      <c r="IF230" s="125"/>
      <c r="IG230" s="125"/>
      <c r="IH230" s="125"/>
      <c r="II230" s="179"/>
      <c r="IJ230" s="177"/>
      <c r="IK230" s="177"/>
      <c r="IL230" s="177"/>
      <c r="IM230" s="177"/>
      <c r="IN230" s="177"/>
      <c r="IO230" s="177"/>
      <c r="IP230" s="178"/>
      <c r="IQ230" s="125"/>
      <c r="IR230" s="125"/>
      <c r="IS230" s="125"/>
      <c r="IT230" s="125"/>
      <c r="IU230" s="125"/>
      <c r="IV230" s="125"/>
    </row>
    <row r="231" spans="1:256" s="3" customFormat="1">
      <c r="A231" s="16">
        <v>15</v>
      </c>
      <c r="B231" s="83">
        <v>43073</v>
      </c>
      <c r="C231" s="18"/>
      <c r="D231" s="19" t="s">
        <v>305</v>
      </c>
      <c r="E231" s="20" t="s">
        <v>306</v>
      </c>
      <c r="F231" s="168" t="s">
        <v>307</v>
      </c>
      <c r="G231" s="63">
        <v>1708</v>
      </c>
      <c r="H231" s="121">
        <v>1660000</v>
      </c>
      <c r="I231" s="24"/>
      <c r="J231" s="24">
        <f>SUM(H231)/1.05</f>
        <v>1580952.3809523808</v>
      </c>
      <c r="K231" s="24">
        <f t="shared" si="19"/>
        <v>1580952.3809523808</v>
      </c>
      <c r="L231" s="26"/>
      <c r="M231" s="24">
        <f t="shared" si="20"/>
        <v>0</v>
      </c>
      <c r="N231" s="124">
        <f t="shared" si="21"/>
        <v>1580952.3809523808</v>
      </c>
      <c r="O231" s="107"/>
      <c r="Q231" s="140"/>
      <c r="AA231" s="141"/>
      <c r="AB231" s="142"/>
      <c r="AC231" s="142"/>
      <c r="AD231" s="142"/>
      <c r="AE231" s="142"/>
      <c r="AF231" s="142"/>
      <c r="AG231" s="142"/>
      <c r="AH231" s="143"/>
      <c r="AY231" s="141"/>
      <c r="AZ231" s="142"/>
      <c r="BA231" s="142"/>
      <c r="BB231" s="142"/>
      <c r="BC231" s="142"/>
      <c r="BD231" s="142"/>
      <c r="BE231" s="142"/>
      <c r="BF231" s="143"/>
      <c r="BW231" s="141"/>
      <c r="BX231" s="142"/>
      <c r="BY231" s="142"/>
      <c r="BZ231" s="142"/>
      <c r="CA231" s="142"/>
      <c r="CB231" s="142"/>
      <c r="CC231" s="142"/>
      <c r="CD231" s="143"/>
      <c r="CU231" s="141"/>
      <c r="CV231" s="142"/>
      <c r="CW231" s="142"/>
      <c r="CX231" s="142"/>
      <c r="CY231" s="142"/>
      <c r="CZ231" s="142"/>
      <c r="DA231" s="142"/>
      <c r="DB231" s="143"/>
      <c r="DS231" s="141"/>
      <c r="DT231" s="142"/>
      <c r="DU231" s="142"/>
      <c r="DV231" s="142"/>
      <c r="DW231" s="142"/>
      <c r="DX231" s="142"/>
      <c r="DY231" s="142"/>
      <c r="DZ231" s="143"/>
      <c r="EQ231" s="141"/>
      <c r="ER231" s="142"/>
      <c r="ES231" s="142"/>
      <c r="ET231" s="142"/>
      <c r="EU231" s="142"/>
      <c r="EV231" s="142"/>
      <c r="EW231" s="142"/>
      <c r="EX231" s="143"/>
      <c r="FO231" s="141"/>
      <c r="FP231" s="142"/>
      <c r="FQ231" s="142"/>
      <c r="FR231" s="142"/>
      <c r="FS231" s="142"/>
      <c r="FT231" s="142"/>
      <c r="FU231" s="142"/>
      <c r="FV231" s="143"/>
      <c r="GM231" s="141"/>
      <c r="GN231" s="142"/>
      <c r="GO231" s="142"/>
      <c r="GP231" s="142"/>
      <c r="GQ231" s="142"/>
      <c r="GR231" s="142"/>
      <c r="GS231" s="142"/>
      <c r="GT231" s="143"/>
      <c r="HK231" s="141"/>
      <c r="HL231" s="142"/>
      <c r="HM231" s="142"/>
      <c r="HN231" s="142"/>
      <c r="HO231" s="142"/>
      <c r="HP231" s="142"/>
      <c r="HQ231" s="142"/>
      <c r="HR231" s="143"/>
      <c r="II231" s="141"/>
      <c r="IJ231" s="142"/>
      <c r="IK231" s="142"/>
      <c r="IL231" s="142"/>
      <c r="IM231" s="142"/>
      <c r="IN231" s="142"/>
      <c r="IO231" s="142"/>
      <c r="IP231" s="143"/>
    </row>
    <row r="232" spans="1:256" s="3" customFormat="1">
      <c r="A232" s="16">
        <v>16</v>
      </c>
      <c r="B232" s="60">
        <v>43048</v>
      </c>
      <c r="C232" s="18"/>
      <c r="D232" s="19" t="s">
        <v>305</v>
      </c>
      <c r="E232" s="20" t="s">
        <v>306</v>
      </c>
      <c r="F232" s="168" t="s">
        <v>308</v>
      </c>
      <c r="G232" s="63">
        <v>1709</v>
      </c>
      <c r="H232" s="121">
        <v>1660000</v>
      </c>
      <c r="I232" s="24">
        <v>1580952</v>
      </c>
      <c r="J232" s="24"/>
      <c r="K232" s="24">
        <f t="shared" si="19"/>
        <v>1580952</v>
      </c>
      <c r="L232" s="123"/>
      <c r="M232" s="24">
        <f t="shared" si="20"/>
        <v>0</v>
      </c>
      <c r="N232" s="124">
        <f t="shared" si="21"/>
        <v>1580952</v>
      </c>
      <c r="O232" s="107"/>
      <c r="Q232" s="140"/>
      <c r="AA232" s="141"/>
      <c r="AB232" s="142"/>
      <c r="AC232" s="142"/>
      <c r="AD232" s="142"/>
      <c r="AE232" s="142"/>
      <c r="AF232" s="142"/>
      <c r="AG232" s="142"/>
      <c r="AH232" s="143"/>
      <c r="AY232" s="141"/>
      <c r="AZ232" s="142"/>
      <c r="BA232" s="142"/>
      <c r="BB232" s="142"/>
      <c r="BC232" s="142"/>
      <c r="BD232" s="142"/>
      <c r="BE232" s="142"/>
      <c r="BF232" s="143"/>
      <c r="BW232" s="141"/>
      <c r="BX232" s="142"/>
      <c r="BY232" s="142"/>
      <c r="BZ232" s="142"/>
      <c r="CA232" s="142"/>
      <c r="CB232" s="142"/>
      <c r="CC232" s="142"/>
      <c r="CD232" s="143"/>
      <c r="CU232" s="141"/>
      <c r="CV232" s="142"/>
      <c r="CW232" s="142"/>
      <c r="CX232" s="142"/>
      <c r="CY232" s="142"/>
      <c r="CZ232" s="142"/>
      <c r="DA232" s="142"/>
      <c r="DB232" s="143"/>
      <c r="DS232" s="141"/>
      <c r="DT232" s="142"/>
      <c r="DU232" s="142"/>
      <c r="DV232" s="142"/>
      <c r="DW232" s="142"/>
      <c r="DX232" s="142"/>
      <c r="DY232" s="142"/>
      <c r="DZ232" s="143"/>
      <c r="EQ232" s="141"/>
      <c r="ER232" s="142"/>
      <c r="ES232" s="142"/>
      <c r="ET232" s="142"/>
      <c r="EU232" s="142"/>
      <c r="EV232" s="142"/>
      <c r="EW232" s="142"/>
      <c r="EX232" s="143"/>
      <c r="FO232" s="141"/>
      <c r="FP232" s="142"/>
      <c r="FQ232" s="142"/>
      <c r="FR232" s="142"/>
      <c r="FS232" s="142"/>
      <c r="FT232" s="142"/>
      <c r="FU232" s="142"/>
      <c r="FV232" s="143"/>
      <c r="GM232" s="141"/>
      <c r="GN232" s="142"/>
      <c r="GO232" s="142"/>
      <c r="GP232" s="142"/>
      <c r="GQ232" s="142"/>
      <c r="GR232" s="142"/>
      <c r="GS232" s="142"/>
      <c r="GT232" s="143"/>
      <c r="HK232" s="141"/>
      <c r="HL232" s="142"/>
      <c r="HM232" s="142"/>
      <c r="HN232" s="142"/>
      <c r="HO232" s="142"/>
      <c r="HP232" s="142"/>
      <c r="HQ232" s="142"/>
      <c r="HR232" s="143"/>
      <c r="II232" s="141"/>
      <c r="IJ232" s="142"/>
      <c r="IK232" s="142"/>
      <c r="IL232" s="142"/>
      <c r="IM232" s="142"/>
      <c r="IN232" s="142"/>
      <c r="IO232" s="142"/>
      <c r="IP232" s="143"/>
    </row>
    <row r="233" spans="1:256" s="3" customFormat="1">
      <c r="A233" s="16">
        <v>17</v>
      </c>
      <c r="B233" s="60">
        <v>43074</v>
      </c>
      <c r="C233" s="18"/>
      <c r="D233" s="19" t="s">
        <v>305</v>
      </c>
      <c r="E233" s="20" t="s">
        <v>306</v>
      </c>
      <c r="F233" s="180" t="s">
        <v>309</v>
      </c>
      <c r="G233" s="181">
        <v>1709</v>
      </c>
      <c r="H233" s="121">
        <v>1660000</v>
      </c>
      <c r="I233" s="24"/>
      <c r="J233" s="24">
        <f>SUM(H233)/1.05</f>
        <v>1580952.3809523808</v>
      </c>
      <c r="K233" s="24">
        <f t="shared" si="19"/>
        <v>1580952.3809523808</v>
      </c>
      <c r="L233" s="123"/>
      <c r="M233" s="24">
        <f t="shared" si="20"/>
        <v>0</v>
      </c>
      <c r="N233" s="124">
        <f t="shared" si="21"/>
        <v>1580952.3809523808</v>
      </c>
      <c r="O233" s="107"/>
      <c r="Y233" s="131"/>
      <c r="Z233" s="15"/>
      <c r="AA233" s="170"/>
      <c r="AB233" s="171"/>
      <c r="AC233" s="172"/>
      <c r="AD233" s="172"/>
      <c r="AE233" s="173"/>
      <c r="AF233" s="174"/>
      <c r="AG233" s="175"/>
      <c r="AH233" s="176"/>
      <c r="AJ233" s="138"/>
      <c r="AK233" s="2"/>
      <c r="AL233" s="139"/>
      <c r="AW233" s="131"/>
      <c r="AX233" s="15"/>
      <c r="AY233" s="170"/>
      <c r="AZ233" s="171"/>
      <c r="BA233" s="172"/>
      <c r="BB233" s="172"/>
      <c r="BC233" s="173"/>
      <c r="BD233" s="174"/>
      <c r="BE233" s="175"/>
      <c r="BF233" s="176"/>
      <c r="BH233" s="138"/>
      <c r="BI233" s="2"/>
      <c r="BJ233" s="139"/>
      <c r="BU233" s="131"/>
      <c r="BV233" s="15"/>
      <c r="BW233" s="170"/>
      <c r="BX233" s="171"/>
      <c r="BY233" s="172"/>
      <c r="BZ233" s="172"/>
      <c r="CA233" s="173"/>
      <c r="CB233" s="174"/>
      <c r="CC233" s="175"/>
      <c r="CD233" s="176"/>
      <c r="CF233" s="138"/>
      <c r="CG233" s="2"/>
      <c r="CH233" s="139"/>
      <c r="CS233" s="131"/>
      <c r="CT233" s="15"/>
      <c r="CU233" s="170"/>
      <c r="CV233" s="171"/>
      <c r="CW233" s="172"/>
      <c r="CX233" s="172"/>
      <c r="CY233" s="173"/>
      <c r="CZ233" s="174"/>
      <c r="DA233" s="175"/>
      <c r="DB233" s="176"/>
      <c r="DD233" s="138"/>
      <c r="DE233" s="2"/>
      <c r="DF233" s="139"/>
      <c r="DQ233" s="131"/>
      <c r="DR233" s="15"/>
      <c r="DS233" s="170"/>
      <c r="DT233" s="171"/>
      <c r="DU233" s="172"/>
      <c r="DV233" s="172"/>
      <c r="DW233" s="173"/>
      <c r="DX233" s="174"/>
      <c r="DY233" s="175"/>
      <c r="DZ233" s="176"/>
      <c r="EB233" s="138"/>
      <c r="EC233" s="2"/>
      <c r="ED233" s="139"/>
      <c r="EO233" s="131"/>
      <c r="EP233" s="15"/>
      <c r="EQ233" s="170"/>
      <c r="ER233" s="171"/>
      <c r="ES233" s="172"/>
      <c r="ET233" s="172"/>
      <c r="EU233" s="173"/>
      <c r="EV233" s="174"/>
      <c r="EW233" s="175"/>
      <c r="EX233" s="176"/>
      <c r="EZ233" s="138"/>
      <c r="FA233" s="2"/>
      <c r="FB233" s="139"/>
      <c r="FM233" s="131"/>
      <c r="FN233" s="15"/>
      <c r="FO233" s="170"/>
      <c r="FP233" s="171"/>
      <c r="FQ233" s="172"/>
      <c r="FR233" s="172"/>
      <c r="FS233" s="173"/>
      <c r="FT233" s="174"/>
      <c r="FU233" s="175"/>
      <c r="FV233" s="176"/>
      <c r="FX233" s="138"/>
      <c r="FY233" s="2"/>
      <c r="FZ233" s="139"/>
      <c r="GK233" s="131"/>
      <c r="GL233" s="15"/>
      <c r="GM233" s="170"/>
      <c r="GN233" s="171"/>
      <c r="GO233" s="172"/>
      <c r="GP233" s="172"/>
      <c r="GQ233" s="173"/>
      <c r="GR233" s="174"/>
      <c r="GS233" s="175"/>
      <c r="GT233" s="176"/>
      <c r="GV233" s="138"/>
      <c r="GW233" s="2"/>
      <c r="GX233" s="139"/>
      <c r="HI233" s="131"/>
      <c r="HJ233" s="15"/>
      <c r="HK233" s="170"/>
      <c r="HL233" s="171"/>
      <c r="HM233" s="172"/>
      <c r="HN233" s="172"/>
      <c r="HO233" s="173"/>
      <c r="HP233" s="174"/>
      <c r="HQ233" s="175"/>
      <c r="HR233" s="176"/>
      <c r="HT233" s="138"/>
      <c r="HU233" s="2"/>
      <c r="HV233" s="139"/>
      <c r="IG233" s="131"/>
      <c r="IH233" s="15"/>
      <c r="II233" s="170"/>
      <c r="IJ233" s="171"/>
      <c r="IK233" s="172"/>
      <c r="IL233" s="172"/>
      <c r="IM233" s="173"/>
      <c r="IN233" s="174"/>
      <c r="IO233" s="175"/>
      <c r="IP233" s="176"/>
      <c r="IR233" s="138"/>
      <c r="IS233" s="2"/>
      <c r="IT233" s="139"/>
    </row>
    <row r="234" spans="1:256" s="125" customFormat="1">
      <c r="A234" s="16">
        <v>18</v>
      </c>
      <c r="B234" s="56">
        <v>43083</v>
      </c>
      <c r="C234" s="18"/>
      <c r="D234" s="19" t="s">
        <v>305</v>
      </c>
      <c r="E234" s="20" t="s">
        <v>306</v>
      </c>
      <c r="F234" s="62" t="s">
        <v>310</v>
      </c>
      <c r="G234" s="63">
        <v>1709</v>
      </c>
      <c r="H234" s="121">
        <v>1660000</v>
      </c>
      <c r="I234" s="24"/>
      <c r="J234" s="24">
        <f>SUM(H234)/1.05</f>
        <v>1580952.3809523808</v>
      </c>
      <c r="K234" s="24">
        <f t="shared" si="19"/>
        <v>1580952.3809523808</v>
      </c>
      <c r="L234" s="123"/>
      <c r="M234" s="24">
        <f t="shared" si="20"/>
        <v>0</v>
      </c>
      <c r="N234" s="124">
        <f t="shared" si="21"/>
        <v>1580952.3809523808</v>
      </c>
      <c r="O234" s="85" t="s">
        <v>311</v>
      </c>
      <c r="P234" s="3"/>
      <c r="Q234" s="140"/>
      <c r="R234" s="3"/>
      <c r="S234" s="3"/>
      <c r="T234" s="3"/>
      <c r="U234" s="3"/>
      <c r="V234" s="3"/>
      <c r="W234" s="3"/>
      <c r="X234" s="3"/>
      <c r="Y234" s="3"/>
      <c r="Z234" s="3"/>
      <c r="AA234" s="130"/>
      <c r="AB234" s="130"/>
      <c r="AC234" s="130"/>
      <c r="AD234" s="130"/>
      <c r="AE234" s="130"/>
      <c r="AF234" s="167"/>
      <c r="AG234" s="167"/>
      <c r="AH234" s="167"/>
      <c r="AY234" s="167"/>
      <c r="AZ234" s="167"/>
      <c r="BA234" s="167"/>
      <c r="BB234" s="167"/>
      <c r="BC234" s="167"/>
      <c r="BD234" s="167"/>
      <c r="BE234" s="167"/>
      <c r="BF234" s="167"/>
      <c r="BW234" s="167"/>
      <c r="BX234" s="167"/>
      <c r="BY234" s="167"/>
      <c r="BZ234" s="167"/>
      <c r="CA234" s="167"/>
      <c r="CB234" s="167"/>
      <c r="CC234" s="167"/>
      <c r="CD234" s="167"/>
      <c r="CU234" s="167"/>
      <c r="CV234" s="167"/>
      <c r="CW234" s="167"/>
      <c r="CX234" s="167"/>
      <c r="CY234" s="167"/>
      <c r="CZ234" s="167"/>
      <c r="DA234" s="167"/>
      <c r="DB234" s="167"/>
      <c r="DS234" s="167"/>
      <c r="DT234" s="167"/>
      <c r="DU234" s="167"/>
      <c r="DV234" s="167"/>
      <c r="DW234" s="167"/>
      <c r="DX234" s="167"/>
      <c r="DY234" s="167"/>
      <c r="DZ234" s="167"/>
      <c r="EQ234" s="167"/>
      <c r="ER234" s="167"/>
      <c r="ES234" s="167"/>
      <c r="ET234" s="167"/>
      <c r="EU234" s="167"/>
      <c r="EV234" s="167"/>
      <c r="EW234" s="167"/>
      <c r="EX234" s="167"/>
      <c r="FO234" s="167"/>
      <c r="FP234" s="167"/>
      <c r="FQ234" s="167"/>
      <c r="FR234" s="167"/>
      <c r="FS234" s="167"/>
      <c r="FT234" s="167"/>
      <c r="FU234" s="167"/>
      <c r="FV234" s="167"/>
      <c r="GM234" s="167"/>
      <c r="GN234" s="167"/>
      <c r="GO234" s="167"/>
      <c r="GP234" s="167"/>
      <c r="GQ234" s="167"/>
      <c r="GR234" s="167"/>
      <c r="GS234" s="167"/>
      <c r="GT234" s="167"/>
      <c r="HK234" s="167"/>
      <c r="HL234" s="167"/>
      <c r="HM234" s="167"/>
      <c r="HN234" s="167"/>
      <c r="HO234" s="167"/>
      <c r="HP234" s="167"/>
      <c r="HQ234" s="167"/>
      <c r="HR234" s="167"/>
      <c r="II234" s="167"/>
      <c r="IJ234" s="167"/>
      <c r="IK234" s="167"/>
      <c r="IL234" s="167"/>
      <c r="IM234" s="167"/>
      <c r="IN234" s="167"/>
      <c r="IO234" s="167"/>
      <c r="IP234" s="167"/>
    </row>
    <row r="235" spans="1:256" s="125" customFormat="1">
      <c r="A235" s="16">
        <v>19</v>
      </c>
      <c r="B235" s="60">
        <v>43096</v>
      </c>
      <c r="C235" s="18"/>
      <c r="D235" s="19" t="s">
        <v>305</v>
      </c>
      <c r="E235" s="20" t="s">
        <v>306</v>
      </c>
      <c r="F235" s="168" t="s">
        <v>312</v>
      </c>
      <c r="G235" s="63">
        <v>1709</v>
      </c>
      <c r="H235" s="121">
        <v>1660000</v>
      </c>
      <c r="I235" s="24"/>
      <c r="J235" s="24">
        <f>SUM(H235)/1.05</f>
        <v>1580952.3809523808</v>
      </c>
      <c r="K235" s="24">
        <f t="shared" si="19"/>
        <v>1580952.3809523808</v>
      </c>
      <c r="L235" s="123"/>
      <c r="M235" s="24">
        <f t="shared" si="20"/>
        <v>0</v>
      </c>
      <c r="N235" s="124">
        <f t="shared" si="21"/>
        <v>1580952.3809523808</v>
      </c>
      <c r="O235" s="108"/>
      <c r="P235" s="3"/>
      <c r="Q235" s="140"/>
      <c r="R235" s="3"/>
      <c r="S235" s="3"/>
      <c r="T235" s="3"/>
      <c r="U235" s="3"/>
      <c r="V235" s="3"/>
      <c r="W235" s="3"/>
      <c r="X235" s="3"/>
      <c r="Y235" s="3"/>
      <c r="Z235" s="3"/>
      <c r="AA235" s="130"/>
      <c r="AB235" s="130"/>
      <c r="AC235" s="130"/>
      <c r="AD235" s="130"/>
      <c r="AE235" s="130"/>
      <c r="AF235" s="130"/>
      <c r="AG235" s="130"/>
      <c r="AH235" s="130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130"/>
      <c r="AZ235" s="130"/>
      <c r="BA235" s="130"/>
      <c r="BB235" s="130"/>
      <c r="BC235" s="130"/>
      <c r="BD235" s="130"/>
      <c r="BE235" s="130"/>
      <c r="BF235" s="130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130"/>
      <c r="BX235" s="130"/>
      <c r="BY235" s="130"/>
      <c r="BZ235" s="130"/>
      <c r="CA235" s="130"/>
      <c r="CB235" s="130"/>
      <c r="CC235" s="130"/>
      <c r="CD235" s="130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130"/>
      <c r="CV235" s="130"/>
      <c r="CW235" s="130"/>
      <c r="CX235" s="130"/>
      <c r="CY235" s="130"/>
      <c r="CZ235" s="130"/>
      <c r="DA235" s="130"/>
      <c r="DB235" s="130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130"/>
      <c r="DT235" s="130"/>
      <c r="DU235" s="130"/>
      <c r="DV235" s="130"/>
      <c r="DW235" s="130"/>
      <c r="DX235" s="130"/>
      <c r="DY235" s="130"/>
      <c r="DZ235" s="130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130"/>
      <c r="ER235" s="130"/>
      <c r="ES235" s="130"/>
      <c r="ET235" s="130"/>
      <c r="EU235" s="130"/>
      <c r="EV235" s="130"/>
      <c r="EW235" s="130"/>
      <c r="EX235" s="130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130"/>
      <c r="FP235" s="130"/>
      <c r="FQ235" s="130"/>
      <c r="FR235" s="130"/>
      <c r="FS235" s="130"/>
      <c r="FT235" s="130"/>
      <c r="FU235" s="130"/>
      <c r="FV235" s="130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130"/>
      <c r="GN235" s="130"/>
      <c r="GO235" s="130"/>
      <c r="GP235" s="130"/>
      <c r="GQ235" s="130"/>
      <c r="GR235" s="130"/>
      <c r="GS235" s="130"/>
      <c r="GT235" s="130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  <c r="HG235" s="3"/>
      <c r="HH235" s="3"/>
      <c r="HI235" s="3"/>
      <c r="HJ235" s="3"/>
      <c r="HK235" s="130"/>
      <c r="HL235" s="130"/>
      <c r="HM235" s="130"/>
      <c r="HN235" s="130"/>
      <c r="HO235" s="130"/>
      <c r="HP235" s="130"/>
      <c r="HQ235" s="130"/>
      <c r="HR235" s="130"/>
      <c r="HS235" s="3"/>
      <c r="HT235" s="3"/>
      <c r="HU235" s="3"/>
      <c r="HV235" s="3"/>
      <c r="HW235" s="3"/>
      <c r="HX235" s="3"/>
      <c r="HY235" s="3"/>
      <c r="HZ235" s="3"/>
      <c r="IA235" s="3"/>
      <c r="IB235" s="3"/>
      <c r="IC235" s="3"/>
      <c r="ID235" s="3"/>
      <c r="IE235" s="3"/>
      <c r="IF235" s="3"/>
      <c r="IG235" s="3"/>
      <c r="IH235" s="3"/>
      <c r="II235" s="130"/>
      <c r="IJ235" s="130"/>
      <c r="IK235" s="130"/>
      <c r="IL235" s="130"/>
      <c r="IM235" s="130"/>
      <c r="IN235" s="130"/>
      <c r="IO235" s="130"/>
      <c r="IP235" s="130"/>
      <c r="IQ235" s="3"/>
      <c r="IR235" s="3"/>
      <c r="IS235" s="3"/>
      <c r="IT235" s="3"/>
      <c r="IU235" s="3"/>
      <c r="IV235" s="3"/>
    </row>
    <row r="236" spans="1:256" s="3" customFormat="1">
      <c r="A236" s="16">
        <v>20</v>
      </c>
      <c r="B236" s="56">
        <v>43098</v>
      </c>
      <c r="C236" s="18"/>
      <c r="D236" s="19" t="s">
        <v>305</v>
      </c>
      <c r="E236" s="20" t="s">
        <v>306</v>
      </c>
      <c r="F236" s="62" t="s">
        <v>313</v>
      </c>
      <c r="G236" s="63">
        <v>1709</v>
      </c>
      <c r="H236" s="121">
        <v>1660000</v>
      </c>
      <c r="I236" s="24"/>
      <c r="J236" s="24">
        <f>SUM(H236)/1.05</f>
        <v>1580952.3809523808</v>
      </c>
      <c r="K236" s="24">
        <f t="shared" si="19"/>
        <v>1580952.3809523808</v>
      </c>
      <c r="L236" s="123"/>
      <c r="M236" s="24">
        <f t="shared" si="20"/>
        <v>0</v>
      </c>
      <c r="N236" s="124">
        <f t="shared" si="21"/>
        <v>1580952.3809523808</v>
      </c>
      <c r="O236" s="87"/>
      <c r="Q236" s="140"/>
      <c r="AA236" s="130"/>
      <c r="AB236" s="130"/>
      <c r="AC236" s="130"/>
      <c r="AD236" s="130"/>
      <c r="AE236" s="130"/>
      <c r="AF236" s="130"/>
      <c r="AG236" s="130"/>
      <c r="AH236" s="130"/>
      <c r="AY236" s="130"/>
      <c r="AZ236" s="130"/>
      <c r="BA236" s="130"/>
      <c r="BB236" s="130"/>
      <c r="BC236" s="130"/>
      <c r="BD236" s="130"/>
      <c r="BE236" s="130"/>
      <c r="BF236" s="130"/>
      <c r="BW236" s="130"/>
      <c r="BX236" s="130"/>
      <c r="BY236" s="130"/>
      <c r="BZ236" s="130"/>
      <c r="CA236" s="130"/>
      <c r="CB236" s="130"/>
      <c r="CC236" s="130"/>
      <c r="CD236" s="130"/>
      <c r="CU236" s="130"/>
      <c r="CV236" s="130"/>
      <c r="CW236" s="130"/>
      <c r="CX236" s="130"/>
      <c r="CY236" s="130"/>
      <c r="CZ236" s="130"/>
      <c r="DA236" s="130"/>
      <c r="DB236" s="130"/>
      <c r="DS236" s="130"/>
      <c r="DT236" s="130"/>
      <c r="DU236" s="130"/>
      <c r="DV236" s="130"/>
      <c r="DW236" s="130"/>
      <c r="DX236" s="130"/>
      <c r="DY236" s="130"/>
      <c r="DZ236" s="130"/>
      <c r="EQ236" s="130"/>
      <c r="ER236" s="130"/>
      <c r="ES236" s="130"/>
      <c r="ET236" s="130"/>
      <c r="EU236" s="130"/>
      <c r="EV236" s="130"/>
      <c r="EW236" s="130"/>
      <c r="EX236" s="130"/>
      <c r="FO236" s="130"/>
      <c r="FP236" s="130"/>
      <c r="FQ236" s="130"/>
      <c r="FR236" s="130"/>
      <c r="FS236" s="130"/>
      <c r="FT236" s="130"/>
      <c r="FU236" s="130"/>
      <c r="FV236" s="130"/>
      <c r="GM236" s="130"/>
      <c r="GN236" s="130"/>
      <c r="GO236" s="130"/>
      <c r="GP236" s="130"/>
      <c r="GQ236" s="130"/>
      <c r="GR236" s="130"/>
      <c r="GS236" s="130"/>
      <c r="GT236" s="130"/>
      <c r="HK236" s="130"/>
      <c r="HL236" s="130"/>
      <c r="HM236" s="130"/>
      <c r="HN236" s="130"/>
      <c r="HO236" s="130"/>
      <c r="HP236" s="130"/>
      <c r="HQ236" s="130"/>
      <c r="HR236" s="130"/>
      <c r="II236" s="130"/>
      <c r="IJ236" s="130"/>
      <c r="IK236" s="130"/>
      <c r="IL236" s="130"/>
      <c r="IM236" s="130"/>
      <c r="IN236" s="130"/>
      <c r="IO236" s="130"/>
      <c r="IP236" s="130"/>
    </row>
    <row r="237" spans="1:256" s="125" customFormat="1">
      <c r="A237" s="16">
        <v>21</v>
      </c>
      <c r="B237" s="56">
        <v>43084</v>
      </c>
      <c r="C237" s="18"/>
      <c r="D237" s="19" t="s">
        <v>305</v>
      </c>
      <c r="E237" s="20" t="s">
        <v>314</v>
      </c>
      <c r="F237" s="120" t="s">
        <v>315</v>
      </c>
      <c r="G237" s="63">
        <v>1708</v>
      </c>
      <c r="H237" s="121">
        <f>1938000+160000</f>
        <v>2098000</v>
      </c>
      <c r="I237" s="24"/>
      <c r="J237" s="24">
        <f>SUM(H237)/1.05</f>
        <v>1998095.2380952381</v>
      </c>
      <c r="K237" s="24">
        <f t="shared" si="19"/>
        <v>1998095.2380952381</v>
      </c>
      <c r="L237" s="123"/>
      <c r="M237" s="24">
        <f t="shared" si="20"/>
        <v>0</v>
      </c>
      <c r="N237" s="124">
        <f t="shared" si="21"/>
        <v>1998095.2380952381</v>
      </c>
      <c r="O237" s="85"/>
      <c r="P237" s="3"/>
      <c r="Q237" s="140"/>
      <c r="R237" s="3"/>
      <c r="S237" s="3"/>
      <c r="T237" s="3"/>
      <c r="U237" s="3"/>
      <c r="V237" s="3"/>
      <c r="W237" s="3"/>
      <c r="X237" s="3"/>
      <c r="Y237" s="131"/>
      <c r="Z237" s="15"/>
      <c r="AA237" s="99"/>
      <c r="AB237" s="149"/>
      <c r="AC237" s="134"/>
      <c r="AD237" s="134"/>
      <c r="AE237" s="137"/>
      <c r="AF237" s="150"/>
      <c r="AG237" s="137"/>
      <c r="AH237" s="137"/>
      <c r="AI237" s="3"/>
      <c r="AJ237" s="138"/>
      <c r="AK237" s="2"/>
      <c r="AL237" s="139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131"/>
      <c r="AX237" s="15"/>
      <c r="AY237" s="99"/>
      <c r="AZ237" s="149"/>
      <c r="BA237" s="134"/>
      <c r="BB237" s="134"/>
      <c r="BC237" s="137"/>
      <c r="BD237" s="150"/>
      <c r="BE237" s="137"/>
      <c r="BF237" s="137"/>
      <c r="BG237" s="3"/>
      <c r="BH237" s="138"/>
      <c r="BI237" s="2"/>
      <c r="BJ237" s="139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131"/>
      <c r="BV237" s="15"/>
      <c r="BW237" s="99"/>
      <c r="BX237" s="149"/>
      <c r="BY237" s="134"/>
      <c r="BZ237" s="134"/>
      <c r="CA237" s="137"/>
      <c r="CB237" s="150"/>
      <c r="CC237" s="137"/>
      <c r="CD237" s="137"/>
      <c r="CE237" s="3"/>
      <c r="CF237" s="138"/>
      <c r="CG237" s="2"/>
      <c r="CH237" s="139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131"/>
      <c r="CT237" s="15"/>
      <c r="CU237" s="99"/>
      <c r="CV237" s="149"/>
      <c r="CW237" s="134"/>
      <c r="CX237" s="134"/>
      <c r="CY237" s="137"/>
      <c r="CZ237" s="150"/>
      <c r="DA237" s="137"/>
      <c r="DB237" s="137"/>
      <c r="DC237" s="3"/>
      <c r="DD237" s="138"/>
      <c r="DE237" s="2"/>
      <c r="DF237" s="139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131"/>
      <c r="DR237" s="15"/>
      <c r="DS237" s="99"/>
      <c r="DT237" s="149"/>
      <c r="DU237" s="134"/>
      <c r="DV237" s="134"/>
      <c r="DW237" s="137"/>
      <c r="DX237" s="150"/>
      <c r="DY237" s="137"/>
      <c r="DZ237" s="137"/>
      <c r="EA237" s="3"/>
      <c r="EB237" s="138"/>
      <c r="EC237" s="2"/>
      <c r="ED237" s="139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131"/>
      <c r="EP237" s="15"/>
      <c r="EQ237" s="99"/>
      <c r="ER237" s="149"/>
      <c r="ES237" s="134"/>
      <c r="ET237" s="134"/>
      <c r="EU237" s="137"/>
      <c r="EV237" s="150"/>
      <c r="EW237" s="137"/>
      <c r="EX237" s="137"/>
      <c r="EY237" s="3"/>
      <c r="EZ237" s="138"/>
      <c r="FA237" s="2"/>
      <c r="FB237" s="139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131"/>
      <c r="FN237" s="15"/>
      <c r="FO237" s="99"/>
      <c r="FP237" s="149"/>
      <c r="FQ237" s="134"/>
      <c r="FR237" s="134"/>
      <c r="FS237" s="137"/>
      <c r="FT237" s="150"/>
      <c r="FU237" s="137"/>
      <c r="FV237" s="137"/>
      <c r="FW237" s="3"/>
      <c r="FX237" s="138"/>
      <c r="FY237" s="2"/>
      <c r="FZ237" s="139"/>
      <c r="GA237" s="3"/>
      <c r="GB237" s="3"/>
      <c r="GC237" s="3"/>
      <c r="GD237" s="3"/>
      <c r="GE237" s="3"/>
      <c r="GF237" s="3"/>
      <c r="GG237" s="3"/>
      <c r="GH237" s="3"/>
      <c r="GI237" s="3"/>
      <c r="GJ237" s="3"/>
      <c r="GK237" s="131"/>
      <c r="GL237" s="15"/>
      <c r="GM237" s="99"/>
      <c r="GN237" s="149"/>
      <c r="GO237" s="134"/>
      <c r="GP237" s="134"/>
      <c r="GQ237" s="137"/>
      <c r="GR237" s="150"/>
      <c r="GS237" s="137"/>
      <c r="GT237" s="137"/>
      <c r="GU237" s="3"/>
      <c r="GV237" s="138"/>
      <c r="GW237" s="2"/>
      <c r="GX237" s="139"/>
      <c r="GY237" s="3"/>
      <c r="GZ237" s="3"/>
      <c r="HA237" s="3"/>
      <c r="HB237" s="3"/>
      <c r="HC237" s="3"/>
      <c r="HD237" s="3"/>
      <c r="HE237" s="3"/>
      <c r="HF237" s="3"/>
      <c r="HG237" s="3"/>
      <c r="HH237" s="3"/>
      <c r="HI237" s="131"/>
      <c r="HJ237" s="15"/>
      <c r="HK237" s="99"/>
      <c r="HL237" s="149"/>
      <c r="HM237" s="134"/>
      <c r="HN237" s="134"/>
      <c r="HO237" s="137"/>
      <c r="HP237" s="150"/>
      <c r="HQ237" s="137"/>
      <c r="HR237" s="137"/>
      <c r="HS237" s="3"/>
      <c r="HT237" s="138"/>
      <c r="HU237" s="2"/>
      <c r="HV237" s="139"/>
      <c r="HW237" s="3"/>
      <c r="HX237" s="3"/>
      <c r="HY237" s="3"/>
      <c r="HZ237" s="3"/>
      <c r="IA237" s="3"/>
      <c r="IB237" s="3"/>
      <c r="IC237" s="3"/>
      <c r="ID237" s="3"/>
      <c r="IE237" s="3"/>
      <c r="IF237" s="3"/>
      <c r="IG237" s="131"/>
      <c r="IH237" s="15"/>
      <c r="II237" s="99"/>
      <c r="IJ237" s="149"/>
      <c r="IK237" s="134"/>
      <c r="IL237" s="134"/>
      <c r="IM237" s="137"/>
      <c r="IN237" s="150"/>
      <c r="IO237" s="137"/>
      <c r="IP237" s="137"/>
      <c r="IQ237" s="3"/>
      <c r="IR237" s="138"/>
      <c r="IS237" s="2"/>
      <c r="IT237" s="139"/>
      <c r="IU237" s="3"/>
      <c r="IV237" s="3"/>
    </row>
    <row r="238" spans="1:256" s="125" customFormat="1">
      <c r="A238" s="16">
        <v>22</v>
      </c>
      <c r="B238" s="56">
        <v>43062</v>
      </c>
      <c r="C238" s="18"/>
      <c r="D238" s="19" t="s">
        <v>316</v>
      </c>
      <c r="E238" s="20" t="s">
        <v>317</v>
      </c>
      <c r="F238" s="120" t="s">
        <v>318</v>
      </c>
      <c r="G238" s="63">
        <v>1709</v>
      </c>
      <c r="H238" s="121">
        <v>2444000</v>
      </c>
      <c r="I238" s="24">
        <v>2327619</v>
      </c>
      <c r="J238" s="24"/>
      <c r="K238" s="24">
        <f t="shared" si="19"/>
        <v>2327619</v>
      </c>
      <c r="L238" s="123"/>
      <c r="M238" s="24">
        <f t="shared" si="20"/>
        <v>0</v>
      </c>
      <c r="N238" s="124">
        <f t="shared" si="21"/>
        <v>2327619</v>
      </c>
      <c r="O238" s="85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130"/>
      <c r="AB238" s="130"/>
      <c r="AC238" s="130"/>
      <c r="AD238" s="130"/>
      <c r="AE238" s="130"/>
      <c r="AF238" s="167"/>
      <c r="AG238" s="167"/>
      <c r="AH238" s="167"/>
      <c r="AY238" s="167"/>
      <c r="AZ238" s="167"/>
      <c r="BA238" s="167"/>
      <c r="BB238" s="167"/>
      <c r="BC238" s="167"/>
      <c r="BD238" s="167"/>
      <c r="BE238" s="167"/>
      <c r="BF238" s="167"/>
      <c r="BW238" s="167"/>
      <c r="BX238" s="167"/>
      <c r="BY238" s="167"/>
      <c r="BZ238" s="167"/>
      <c r="CA238" s="167"/>
      <c r="CB238" s="167"/>
      <c r="CC238" s="167"/>
      <c r="CD238" s="167"/>
      <c r="CU238" s="167"/>
      <c r="CV238" s="167"/>
      <c r="CW238" s="167"/>
      <c r="CX238" s="167"/>
      <c r="CY238" s="167"/>
      <c r="CZ238" s="167"/>
      <c r="DA238" s="167"/>
      <c r="DB238" s="167"/>
      <c r="DS238" s="167"/>
      <c r="DT238" s="167"/>
      <c r="DU238" s="167"/>
      <c r="DV238" s="167"/>
      <c r="DW238" s="167"/>
      <c r="DX238" s="167"/>
      <c r="DY238" s="167"/>
      <c r="DZ238" s="167"/>
      <c r="EQ238" s="167"/>
      <c r="ER238" s="167"/>
      <c r="ES238" s="167"/>
      <c r="ET238" s="167"/>
      <c r="EU238" s="167"/>
      <c r="EV238" s="167"/>
      <c r="EW238" s="167"/>
      <c r="EX238" s="167"/>
      <c r="FO238" s="167"/>
      <c r="FP238" s="167"/>
      <c r="FQ238" s="167"/>
      <c r="FR238" s="167"/>
      <c r="FS238" s="167"/>
      <c r="FT238" s="167"/>
      <c r="FU238" s="167"/>
      <c r="FV238" s="167"/>
      <c r="GM238" s="167"/>
      <c r="GN238" s="167"/>
      <c r="GO238" s="167"/>
      <c r="GP238" s="167"/>
      <c r="GQ238" s="167"/>
      <c r="GR238" s="167"/>
      <c r="GS238" s="167"/>
      <c r="GT238" s="167"/>
      <c r="HK238" s="167"/>
      <c r="HL238" s="167"/>
      <c r="HM238" s="167"/>
      <c r="HN238" s="167"/>
      <c r="HO238" s="167"/>
      <c r="HP238" s="167"/>
      <c r="HQ238" s="167"/>
      <c r="HR238" s="167"/>
      <c r="II238" s="167"/>
      <c r="IJ238" s="167"/>
      <c r="IK238" s="167"/>
      <c r="IL238" s="167"/>
      <c r="IM238" s="167"/>
      <c r="IN238" s="167"/>
      <c r="IO238" s="167"/>
      <c r="IP238" s="167"/>
    </row>
    <row r="239" spans="1:256" s="125" customFormat="1">
      <c r="A239" s="16">
        <v>23</v>
      </c>
      <c r="B239" s="60">
        <v>42970</v>
      </c>
      <c r="C239" s="18"/>
      <c r="D239" s="19" t="s">
        <v>316</v>
      </c>
      <c r="E239" s="20" t="s">
        <v>319</v>
      </c>
      <c r="F239" s="168" t="s">
        <v>320</v>
      </c>
      <c r="G239" s="63">
        <v>1705</v>
      </c>
      <c r="H239" s="121"/>
      <c r="I239" s="24">
        <v>1895429</v>
      </c>
      <c r="J239" s="24"/>
      <c r="K239" s="24">
        <f t="shared" si="19"/>
        <v>1895429</v>
      </c>
      <c r="L239" s="123"/>
      <c r="M239" s="24">
        <f t="shared" si="20"/>
        <v>0</v>
      </c>
      <c r="N239" s="124">
        <f t="shared" si="21"/>
        <v>1895429</v>
      </c>
      <c r="O239" s="108"/>
      <c r="P239" s="3"/>
      <c r="Q239" s="140"/>
      <c r="R239" s="3"/>
      <c r="S239" s="3"/>
      <c r="T239" s="3"/>
      <c r="U239" s="3"/>
      <c r="V239" s="3"/>
      <c r="W239" s="3"/>
      <c r="X239" s="3"/>
      <c r="Y239" s="3"/>
      <c r="Z239" s="3"/>
      <c r="AA239" s="130"/>
      <c r="AB239" s="130"/>
      <c r="AC239" s="130"/>
      <c r="AD239" s="130"/>
      <c r="AE239" s="130"/>
      <c r="AF239" s="167"/>
      <c r="AG239" s="167"/>
      <c r="AH239" s="167"/>
      <c r="AY239" s="167"/>
      <c r="AZ239" s="167"/>
      <c r="BA239" s="167"/>
      <c r="BB239" s="167"/>
      <c r="BC239" s="167"/>
      <c r="BD239" s="167"/>
      <c r="BE239" s="167"/>
      <c r="BF239" s="167"/>
      <c r="BW239" s="167"/>
      <c r="BX239" s="167"/>
      <c r="BY239" s="167"/>
      <c r="BZ239" s="167"/>
      <c r="CA239" s="167"/>
      <c r="CB239" s="167"/>
      <c r="CC239" s="167"/>
      <c r="CD239" s="167"/>
      <c r="CU239" s="167"/>
      <c r="CV239" s="167"/>
      <c r="CW239" s="167"/>
      <c r="CX239" s="167"/>
      <c r="CY239" s="167"/>
      <c r="CZ239" s="167"/>
      <c r="DA239" s="167"/>
      <c r="DB239" s="167"/>
      <c r="DS239" s="167"/>
      <c r="DT239" s="167"/>
      <c r="DU239" s="167"/>
      <c r="DV239" s="167"/>
      <c r="DW239" s="167"/>
      <c r="DX239" s="167"/>
      <c r="DY239" s="167"/>
      <c r="DZ239" s="167"/>
      <c r="EQ239" s="167"/>
      <c r="ER239" s="167"/>
      <c r="ES239" s="167"/>
      <c r="ET239" s="167"/>
      <c r="EU239" s="167"/>
      <c r="EV239" s="167"/>
      <c r="EW239" s="167"/>
      <c r="EX239" s="167"/>
      <c r="FO239" s="167"/>
      <c r="FP239" s="167"/>
      <c r="FQ239" s="167"/>
      <c r="FR239" s="167"/>
      <c r="FS239" s="167"/>
      <c r="FT239" s="167"/>
      <c r="FU239" s="167"/>
      <c r="FV239" s="167"/>
      <c r="GM239" s="167"/>
      <c r="GN239" s="167"/>
      <c r="GO239" s="167"/>
      <c r="GP239" s="167"/>
      <c r="GQ239" s="167"/>
      <c r="GR239" s="167"/>
      <c r="GS239" s="167"/>
      <c r="GT239" s="167"/>
      <c r="HK239" s="167"/>
      <c r="HL239" s="167"/>
      <c r="HM239" s="167"/>
      <c r="HN239" s="167"/>
      <c r="HO239" s="167"/>
      <c r="HP239" s="167"/>
      <c r="HQ239" s="167"/>
      <c r="HR239" s="167"/>
      <c r="II239" s="167"/>
      <c r="IJ239" s="167"/>
      <c r="IK239" s="167"/>
      <c r="IL239" s="167"/>
      <c r="IM239" s="167"/>
      <c r="IN239" s="167"/>
      <c r="IO239" s="167"/>
      <c r="IP239" s="167"/>
    </row>
    <row r="240" spans="1:256" s="125" customFormat="1">
      <c r="A240" s="16">
        <v>24</v>
      </c>
      <c r="B240" s="29">
        <v>43097</v>
      </c>
      <c r="C240" s="18"/>
      <c r="D240" s="19" t="s">
        <v>316</v>
      </c>
      <c r="E240" s="20" t="s">
        <v>321</v>
      </c>
      <c r="F240" s="62" t="s">
        <v>322</v>
      </c>
      <c r="G240" s="63">
        <v>1711</v>
      </c>
      <c r="H240" s="121">
        <f>22500+2585000</f>
        <v>2607500</v>
      </c>
      <c r="I240" s="24"/>
      <c r="J240" s="24">
        <f>SUM(H240)/1.05</f>
        <v>2483333.333333333</v>
      </c>
      <c r="K240" s="24">
        <f t="shared" si="19"/>
        <v>2483333.333333333</v>
      </c>
      <c r="L240" s="123"/>
      <c r="M240" s="24">
        <f t="shared" si="20"/>
        <v>0</v>
      </c>
      <c r="N240" s="124">
        <f t="shared" si="21"/>
        <v>2483333.333333333</v>
      </c>
      <c r="O240" s="87"/>
      <c r="P240" s="3"/>
      <c r="Q240" s="140"/>
      <c r="R240" s="3"/>
      <c r="S240" s="3"/>
      <c r="T240" s="3"/>
      <c r="U240" s="3"/>
      <c r="V240" s="3"/>
      <c r="W240" s="3"/>
      <c r="X240" s="3"/>
      <c r="Y240" s="3"/>
      <c r="Z240" s="3"/>
      <c r="AA240" s="130"/>
      <c r="AB240" s="130"/>
      <c r="AC240" s="130"/>
      <c r="AD240" s="130"/>
      <c r="AE240" s="130"/>
      <c r="AF240" s="167"/>
      <c r="AG240" s="167"/>
      <c r="AH240" s="167"/>
      <c r="AY240" s="167"/>
      <c r="AZ240" s="167"/>
      <c r="BA240" s="167"/>
      <c r="BB240" s="167"/>
      <c r="BC240" s="167"/>
      <c r="BD240" s="167"/>
      <c r="BE240" s="167"/>
      <c r="BF240" s="167"/>
      <c r="BW240" s="167"/>
      <c r="BX240" s="167"/>
      <c r="BY240" s="167"/>
      <c r="BZ240" s="167"/>
      <c r="CA240" s="167"/>
      <c r="CB240" s="167"/>
      <c r="CC240" s="167"/>
      <c r="CD240" s="167"/>
      <c r="CU240" s="167"/>
      <c r="CV240" s="167"/>
      <c r="CW240" s="167"/>
      <c r="CX240" s="167"/>
      <c r="CY240" s="167"/>
      <c r="CZ240" s="167"/>
      <c r="DA240" s="167"/>
      <c r="DB240" s="167"/>
      <c r="DS240" s="167"/>
      <c r="DT240" s="167"/>
      <c r="DU240" s="167"/>
      <c r="DV240" s="167"/>
      <c r="DW240" s="167"/>
      <c r="DX240" s="167"/>
      <c r="DY240" s="167"/>
      <c r="DZ240" s="167"/>
      <c r="EQ240" s="167"/>
      <c r="ER240" s="167"/>
      <c r="ES240" s="167"/>
      <c r="ET240" s="167"/>
      <c r="EU240" s="167"/>
      <c r="EV240" s="167"/>
      <c r="EW240" s="167"/>
      <c r="EX240" s="167"/>
      <c r="FO240" s="167"/>
      <c r="FP240" s="167"/>
      <c r="FQ240" s="167"/>
      <c r="FR240" s="167"/>
      <c r="FS240" s="167"/>
      <c r="FT240" s="167"/>
      <c r="FU240" s="167"/>
      <c r="FV240" s="167"/>
      <c r="GM240" s="167"/>
      <c r="GN240" s="167"/>
      <c r="GO240" s="167"/>
      <c r="GP240" s="167"/>
      <c r="GQ240" s="167"/>
      <c r="GR240" s="167"/>
      <c r="GS240" s="167"/>
      <c r="GT240" s="167"/>
      <c r="HK240" s="167"/>
      <c r="HL240" s="167"/>
      <c r="HM240" s="167"/>
      <c r="HN240" s="167"/>
      <c r="HO240" s="167"/>
      <c r="HP240" s="167"/>
      <c r="HQ240" s="167"/>
      <c r="HR240" s="167"/>
      <c r="II240" s="167"/>
      <c r="IJ240" s="167"/>
      <c r="IK240" s="167"/>
      <c r="IL240" s="167"/>
      <c r="IM240" s="167"/>
      <c r="IN240" s="167"/>
      <c r="IO240" s="167"/>
      <c r="IP240" s="167"/>
    </row>
    <row r="241" spans="1:256" s="125" customFormat="1">
      <c r="A241" s="16">
        <v>25</v>
      </c>
      <c r="B241" s="128">
        <v>43070</v>
      </c>
      <c r="C241" s="18"/>
      <c r="D241" s="19" t="s">
        <v>323</v>
      </c>
      <c r="E241" s="20" t="s">
        <v>324</v>
      </c>
      <c r="F241" s="82" t="s">
        <v>325</v>
      </c>
      <c r="G241" s="58">
        <v>1704</v>
      </c>
      <c r="H241" s="121">
        <f>20000+2130000</f>
        <v>2150000</v>
      </c>
      <c r="I241" s="24"/>
      <c r="J241" s="24">
        <f>SUM(H241)/1.05</f>
        <v>2047619.0476190476</v>
      </c>
      <c r="K241" s="24">
        <f t="shared" si="19"/>
        <v>2047619.0476190476</v>
      </c>
      <c r="L241" s="123"/>
      <c r="M241" s="24">
        <f t="shared" si="20"/>
        <v>0</v>
      </c>
      <c r="N241" s="124">
        <f t="shared" si="21"/>
        <v>2047619.0476190476</v>
      </c>
      <c r="O241" s="107"/>
      <c r="P241" s="3"/>
      <c r="Q241" s="3"/>
      <c r="R241" s="3"/>
      <c r="S241" s="3"/>
      <c r="T241" s="3"/>
      <c r="U241" s="3"/>
      <c r="V241" s="3"/>
      <c r="W241" s="3"/>
      <c r="X241" s="3"/>
      <c r="Y241" s="131"/>
      <c r="Z241" s="15"/>
      <c r="AA241" s="132"/>
      <c r="AB241" s="133"/>
      <c r="AC241" s="134"/>
      <c r="AD241" s="134"/>
      <c r="AE241" s="135"/>
      <c r="AF241" s="136"/>
      <c r="AG241" s="137"/>
      <c r="AH241" s="137"/>
      <c r="AI241" s="3"/>
      <c r="AJ241" s="138"/>
      <c r="AK241" s="2"/>
      <c r="AL241" s="139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131"/>
      <c r="AX241" s="15"/>
      <c r="AY241" s="132"/>
      <c r="AZ241" s="133"/>
      <c r="BA241" s="134"/>
      <c r="BB241" s="134"/>
      <c r="BC241" s="135"/>
      <c r="BD241" s="136"/>
      <c r="BE241" s="137"/>
      <c r="BF241" s="137"/>
      <c r="BG241" s="3"/>
      <c r="BH241" s="138"/>
      <c r="BI241" s="2"/>
      <c r="BJ241" s="139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131"/>
      <c r="BV241" s="15"/>
      <c r="BW241" s="132"/>
      <c r="BX241" s="133"/>
      <c r="BY241" s="134"/>
      <c r="BZ241" s="134"/>
      <c r="CA241" s="135"/>
      <c r="CB241" s="136"/>
      <c r="CC241" s="137"/>
      <c r="CD241" s="137"/>
      <c r="CE241" s="3"/>
      <c r="CF241" s="138"/>
      <c r="CG241" s="2"/>
      <c r="CH241" s="139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131"/>
      <c r="CT241" s="15"/>
      <c r="CU241" s="132"/>
      <c r="CV241" s="133"/>
      <c r="CW241" s="134"/>
      <c r="CX241" s="134"/>
      <c r="CY241" s="135"/>
      <c r="CZ241" s="136"/>
      <c r="DA241" s="137"/>
      <c r="DB241" s="137"/>
      <c r="DC241" s="3"/>
      <c r="DD241" s="138"/>
      <c r="DE241" s="2"/>
      <c r="DF241" s="139"/>
      <c r="DG241" s="3"/>
      <c r="DH241" s="3"/>
      <c r="DI241" s="3"/>
      <c r="DJ241" s="3"/>
      <c r="DK241" s="3"/>
      <c r="DL241" s="3"/>
      <c r="DM241" s="3"/>
      <c r="DN241" s="3"/>
      <c r="DO241" s="3"/>
      <c r="DP241" s="3"/>
      <c r="DQ241" s="131"/>
      <c r="DR241" s="15"/>
      <c r="DS241" s="132"/>
      <c r="DT241" s="133"/>
      <c r="DU241" s="134"/>
      <c r="DV241" s="134"/>
      <c r="DW241" s="135"/>
      <c r="DX241" s="136"/>
      <c r="DY241" s="137"/>
      <c r="DZ241" s="137"/>
      <c r="EA241" s="3"/>
      <c r="EB241" s="138"/>
      <c r="EC241" s="2"/>
      <c r="ED241" s="139"/>
      <c r="EE241" s="3"/>
      <c r="EF241" s="3"/>
      <c r="EG241" s="3"/>
      <c r="EH241" s="3"/>
      <c r="EI241" s="3"/>
      <c r="EJ241" s="3"/>
      <c r="EK241" s="3"/>
      <c r="EL241" s="3"/>
      <c r="EM241" s="3"/>
      <c r="EN241" s="3"/>
      <c r="EO241" s="131"/>
      <c r="EP241" s="15"/>
      <c r="EQ241" s="132"/>
      <c r="ER241" s="133"/>
      <c r="ES241" s="134"/>
      <c r="ET241" s="134"/>
      <c r="EU241" s="135"/>
      <c r="EV241" s="136"/>
      <c r="EW241" s="137"/>
      <c r="EX241" s="137"/>
      <c r="EY241" s="3"/>
      <c r="EZ241" s="138"/>
      <c r="FA241" s="2"/>
      <c r="FB241" s="139"/>
      <c r="FC241" s="3"/>
      <c r="FD241" s="3"/>
      <c r="FE241" s="3"/>
      <c r="FF241" s="3"/>
      <c r="FG241" s="3"/>
      <c r="FH241" s="3"/>
      <c r="FI241" s="3"/>
      <c r="FJ241" s="3"/>
      <c r="FK241" s="3"/>
      <c r="FL241" s="3"/>
      <c r="FM241" s="131"/>
      <c r="FN241" s="15"/>
      <c r="FO241" s="132"/>
      <c r="FP241" s="133"/>
      <c r="FQ241" s="134"/>
      <c r="FR241" s="134"/>
      <c r="FS241" s="135"/>
      <c r="FT241" s="136"/>
      <c r="FU241" s="137"/>
      <c r="FV241" s="137"/>
      <c r="FW241" s="3"/>
      <c r="FX241" s="138"/>
      <c r="FY241" s="2"/>
      <c r="FZ241" s="139"/>
      <c r="GA241" s="3"/>
      <c r="GB241" s="3"/>
      <c r="GC241" s="3"/>
      <c r="GD241" s="3"/>
      <c r="GE241" s="3"/>
      <c r="GF241" s="3"/>
      <c r="GG241" s="3"/>
      <c r="GH241" s="3"/>
      <c r="GI241" s="3"/>
      <c r="GJ241" s="3"/>
      <c r="GK241" s="131"/>
      <c r="GL241" s="15"/>
      <c r="GM241" s="132"/>
      <c r="GN241" s="133"/>
      <c r="GO241" s="134"/>
      <c r="GP241" s="134"/>
      <c r="GQ241" s="135"/>
      <c r="GR241" s="136"/>
      <c r="GS241" s="137"/>
      <c r="GT241" s="137"/>
      <c r="GU241" s="3"/>
      <c r="GV241" s="138"/>
      <c r="GW241" s="2"/>
      <c r="GX241" s="139"/>
      <c r="GY241" s="3"/>
      <c r="GZ241" s="3"/>
      <c r="HA241" s="3"/>
      <c r="HB241" s="3"/>
      <c r="HC241" s="3"/>
      <c r="HD241" s="3"/>
      <c r="HE241" s="3"/>
      <c r="HF241" s="3"/>
      <c r="HG241" s="3"/>
      <c r="HH241" s="3"/>
      <c r="HI241" s="131"/>
      <c r="HJ241" s="15"/>
      <c r="HK241" s="132"/>
      <c r="HL241" s="133"/>
      <c r="HM241" s="134"/>
      <c r="HN241" s="134"/>
      <c r="HO241" s="135"/>
      <c r="HP241" s="136"/>
      <c r="HQ241" s="137"/>
      <c r="HR241" s="137"/>
      <c r="HS241" s="3"/>
      <c r="HT241" s="138"/>
      <c r="HU241" s="2"/>
      <c r="HV241" s="139"/>
      <c r="HW241" s="3"/>
      <c r="HX241" s="3"/>
      <c r="HY241" s="3"/>
      <c r="HZ241" s="3"/>
      <c r="IA241" s="3"/>
      <c r="IB241" s="3"/>
      <c r="IC241" s="3"/>
      <c r="ID241" s="3"/>
      <c r="IE241" s="3"/>
      <c r="IF241" s="3"/>
      <c r="IG241" s="131"/>
      <c r="IH241" s="15"/>
      <c r="II241" s="132"/>
      <c r="IJ241" s="133"/>
      <c r="IK241" s="134"/>
      <c r="IL241" s="134"/>
      <c r="IM241" s="135"/>
      <c r="IN241" s="136"/>
      <c r="IO241" s="137"/>
      <c r="IP241" s="137"/>
      <c r="IQ241" s="3"/>
      <c r="IR241" s="138"/>
      <c r="IS241" s="2"/>
      <c r="IT241" s="139"/>
      <c r="IU241" s="3"/>
      <c r="IV241" s="3"/>
    </row>
    <row r="242" spans="1:256" s="125" customFormat="1">
      <c r="A242" s="16">
        <v>26</v>
      </c>
      <c r="B242" s="56">
        <v>43082</v>
      </c>
      <c r="C242" s="18"/>
      <c r="D242" s="19" t="s">
        <v>323</v>
      </c>
      <c r="E242" s="20" t="s">
        <v>324</v>
      </c>
      <c r="F242" s="62" t="s">
        <v>326</v>
      </c>
      <c r="G242" s="63">
        <v>1707</v>
      </c>
      <c r="H242" s="121">
        <f>2218400-30000</f>
        <v>2188400</v>
      </c>
      <c r="I242" s="24"/>
      <c r="J242" s="24">
        <f>SUM(H242)/1.05</f>
        <v>2084190.4761904762</v>
      </c>
      <c r="K242" s="24">
        <f t="shared" si="19"/>
        <v>2084190.4761904762</v>
      </c>
      <c r="L242" s="123"/>
      <c r="M242" s="24">
        <f t="shared" si="20"/>
        <v>0</v>
      </c>
      <c r="N242" s="124">
        <f t="shared" si="21"/>
        <v>2084190.4761904762</v>
      </c>
      <c r="O242" s="107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130"/>
      <c r="AB242" s="130"/>
      <c r="AC242" s="130"/>
      <c r="AD242" s="130"/>
      <c r="AE242" s="130"/>
      <c r="AF242" s="130"/>
      <c r="AG242" s="130"/>
      <c r="AH242" s="130"/>
      <c r="AI242" s="3"/>
      <c r="AJ242" s="3"/>
      <c r="AK242" s="3"/>
      <c r="AY242" s="167"/>
      <c r="AZ242" s="167"/>
      <c r="BA242" s="167"/>
      <c r="BB242" s="167"/>
      <c r="BC242" s="167"/>
      <c r="BD242" s="167"/>
      <c r="BE242" s="167"/>
      <c r="BF242" s="167"/>
      <c r="BW242" s="167"/>
      <c r="BX242" s="167"/>
      <c r="BY242" s="167"/>
      <c r="BZ242" s="167"/>
      <c r="CA242" s="167"/>
      <c r="CB242" s="167"/>
      <c r="CC242" s="167"/>
      <c r="CD242" s="167"/>
      <c r="CU242" s="167"/>
      <c r="CV242" s="167"/>
      <c r="CW242" s="167"/>
      <c r="CX242" s="167"/>
      <c r="CY242" s="167"/>
      <c r="CZ242" s="167"/>
      <c r="DA242" s="167"/>
      <c r="DB242" s="167"/>
      <c r="DS242" s="167"/>
      <c r="DT242" s="167"/>
      <c r="DU242" s="167"/>
      <c r="DV242" s="167"/>
      <c r="DW242" s="167"/>
      <c r="DX242" s="167"/>
      <c r="DY242" s="167"/>
      <c r="DZ242" s="167"/>
      <c r="EQ242" s="167"/>
      <c r="ER242" s="167"/>
      <c r="ES242" s="167"/>
      <c r="ET242" s="167"/>
      <c r="EU242" s="167"/>
      <c r="EV242" s="167"/>
      <c r="EW242" s="167"/>
      <c r="EX242" s="167"/>
      <c r="FO242" s="167"/>
      <c r="FP242" s="167"/>
      <c r="FQ242" s="167"/>
      <c r="FR242" s="167"/>
      <c r="FS242" s="167"/>
      <c r="FT242" s="167"/>
      <c r="FU242" s="167"/>
      <c r="FV242" s="167"/>
      <c r="GM242" s="167"/>
      <c r="GN242" s="167"/>
      <c r="GO242" s="167"/>
      <c r="GP242" s="167"/>
      <c r="GQ242" s="167"/>
      <c r="GR242" s="167"/>
      <c r="GS242" s="167"/>
      <c r="GT242" s="167"/>
      <c r="HK242" s="167"/>
      <c r="HL242" s="167"/>
      <c r="HM242" s="167"/>
      <c r="HN242" s="167"/>
      <c r="HO242" s="167"/>
      <c r="HP242" s="167"/>
      <c r="HQ242" s="167"/>
      <c r="HR242" s="167"/>
      <c r="II242" s="167"/>
      <c r="IJ242" s="167"/>
      <c r="IK242" s="167"/>
      <c r="IL242" s="167"/>
      <c r="IM242" s="167"/>
      <c r="IN242" s="167"/>
      <c r="IO242" s="167"/>
      <c r="IP242" s="167"/>
    </row>
    <row r="243" spans="1:256" s="125" customFormat="1">
      <c r="A243" s="16">
        <v>27</v>
      </c>
      <c r="B243" s="17">
        <v>43083</v>
      </c>
      <c r="C243" s="18"/>
      <c r="D243" s="19" t="s">
        <v>323</v>
      </c>
      <c r="E243" s="20" t="s">
        <v>324</v>
      </c>
      <c r="F243" s="82" t="s">
        <v>327</v>
      </c>
      <c r="G243" s="63">
        <v>1707</v>
      </c>
      <c r="H243" s="121">
        <f>2218400-30000</f>
        <v>2188400</v>
      </c>
      <c r="I243" s="24"/>
      <c r="J243" s="24">
        <f>SUM(H243)/1.05</f>
        <v>2084190.4761904762</v>
      </c>
      <c r="K243" s="24">
        <f t="shared" si="19"/>
        <v>2084190.4761904762</v>
      </c>
      <c r="L243" s="123"/>
      <c r="M243" s="24">
        <f t="shared" si="20"/>
        <v>0</v>
      </c>
      <c r="N243" s="124">
        <f t="shared" si="21"/>
        <v>2084190.4761904762</v>
      </c>
      <c r="O243" s="107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130"/>
      <c r="AB243" s="130"/>
      <c r="AC243" s="130"/>
      <c r="AD243" s="130"/>
      <c r="AE243" s="130"/>
      <c r="AF243" s="167"/>
      <c r="AG243" s="167"/>
      <c r="AH243" s="167"/>
      <c r="AY243" s="167"/>
      <c r="AZ243" s="167"/>
      <c r="BA243" s="167"/>
      <c r="BB243" s="167"/>
      <c r="BC243" s="167"/>
      <c r="BD243" s="167"/>
      <c r="BE243" s="167"/>
      <c r="BF243" s="167"/>
      <c r="BW243" s="167"/>
      <c r="BX243" s="167"/>
      <c r="BY243" s="167"/>
      <c r="BZ243" s="167"/>
      <c r="CA243" s="167"/>
      <c r="CB243" s="167"/>
      <c r="CC243" s="167"/>
      <c r="CD243" s="167"/>
      <c r="CU243" s="167"/>
      <c r="CV243" s="167"/>
      <c r="CW243" s="167"/>
      <c r="CX243" s="167"/>
      <c r="CY243" s="167"/>
      <c r="CZ243" s="167"/>
      <c r="DA243" s="167"/>
      <c r="DB243" s="167"/>
      <c r="DS243" s="167"/>
      <c r="DT243" s="167"/>
      <c r="DU243" s="167"/>
      <c r="DV243" s="167"/>
      <c r="DW243" s="167"/>
      <c r="DX243" s="167"/>
      <c r="DY243" s="167"/>
      <c r="DZ243" s="167"/>
      <c r="EQ243" s="167"/>
      <c r="ER243" s="167"/>
      <c r="ES243" s="167"/>
      <c r="ET243" s="167"/>
      <c r="EU243" s="167"/>
      <c r="EV243" s="167"/>
      <c r="EW243" s="167"/>
      <c r="EX243" s="167"/>
      <c r="FO243" s="167"/>
      <c r="FP243" s="167"/>
      <c r="FQ243" s="167"/>
      <c r="FR243" s="167"/>
      <c r="FS243" s="167"/>
      <c r="FT243" s="167"/>
      <c r="FU243" s="167"/>
      <c r="FV243" s="167"/>
      <c r="GM243" s="167"/>
      <c r="GN243" s="167"/>
      <c r="GO243" s="167"/>
      <c r="GP243" s="167"/>
      <c r="GQ243" s="167"/>
      <c r="GR243" s="167"/>
      <c r="GS243" s="167"/>
      <c r="GT243" s="167"/>
      <c r="HK243" s="167"/>
      <c r="HL243" s="167"/>
      <c r="HM243" s="167"/>
      <c r="HN243" s="167"/>
      <c r="HO243" s="167"/>
      <c r="HP243" s="167"/>
      <c r="HQ243" s="167"/>
      <c r="HR243" s="167"/>
      <c r="II243" s="167"/>
      <c r="IJ243" s="167"/>
      <c r="IK243" s="167"/>
      <c r="IL243" s="167"/>
      <c r="IM243" s="167"/>
      <c r="IN243" s="167"/>
      <c r="IO243" s="167"/>
      <c r="IP243" s="167"/>
    </row>
    <row r="244" spans="1:256" s="125" customFormat="1">
      <c r="A244" s="16">
        <v>28</v>
      </c>
      <c r="B244" s="29">
        <v>43068</v>
      </c>
      <c r="C244" s="18"/>
      <c r="D244" s="19" t="s">
        <v>323</v>
      </c>
      <c r="E244" s="20" t="s">
        <v>328</v>
      </c>
      <c r="F244" s="82" t="s">
        <v>329</v>
      </c>
      <c r="G244" s="63">
        <v>1707</v>
      </c>
      <c r="H244" s="121">
        <f>90000+2501700-30000</f>
        <v>2561700</v>
      </c>
      <c r="I244" s="24">
        <v>2439714</v>
      </c>
      <c r="J244" s="24"/>
      <c r="K244" s="24">
        <f t="shared" si="19"/>
        <v>2439714</v>
      </c>
      <c r="L244" s="123"/>
      <c r="M244" s="24">
        <f t="shared" si="20"/>
        <v>0</v>
      </c>
      <c r="N244" s="124">
        <f t="shared" si="21"/>
        <v>2439714</v>
      </c>
      <c r="O244" s="126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130"/>
      <c r="AB244" s="130"/>
      <c r="AC244" s="130"/>
      <c r="AD244" s="130"/>
      <c r="AE244" s="130"/>
      <c r="AF244" s="130"/>
      <c r="AG244" s="130"/>
      <c r="AH244" s="130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130"/>
      <c r="AZ244" s="130"/>
      <c r="BA244" s="130"/>
      <c r="BB244" s="130"/>
      <c r="BC244" s="130"/>
      <c r="BD244" s="130"/>
      <c r="BE244" s="130"/>
      <c r="BF244" s="130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130"/>
      <c r="BX244" s="130"/>
      <c r="BY244" s="130"/>
      <c r="BZ244" s="130"/>
      <c r="CA244" s="130"/>
      <c r="CB244" s="130"/>
      <c r="CC244" s="130"/>
      <c r="CD244" s="130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130"/>
      <c r="CV244" s="130"/>
      <c r="CW244" s="130"/>
      <c r="CX244" s="130"/>
      <c r="CY244" s="130"/>
      <c r="CZ244" s="130"/>
      <c r="DA244" s="130"/>
      <c r="DB244" s="130"/>
      <c r="DC244" s="3"/>
      <c r="DD244" s="3"/>
      <c r="DE244" s="3"/>
      <c r="DF244" s="3"/>
      <c r="DG244" s="3"/>
      <c r="DH244" s="3"/>
      <c r="DI244" s="3"/>
      <c r="DJ244" s="3"/>
      <c r="DK244" s="3"/>
      <c r="DL244" s="3"/>
      <c r="DM244" s="3"/>
      <c r="DN244" s="3"/>
      <c r="DO244" s="3"/>
      <c r="DP244" s="3"/>
      <c r="DQ244" s="3"/>
      <c r="DR244" s="3"/>
      <c r="DS244" s="130"/>
      <c r="DT244" s="130"/>
      <c r="DU244" s="130"/>
      <c r="DV244" s="130"/>
      <c r="DW244" s="130"/>
      <c r="DX244" s="130"/>
      <c r="DY244" s="130"/>
      <c r="DZ244" s="130"/>
      <c r="EA244" s="3"/>
      <c r="EB244" s="3"/>
      <c r="EC244" s="3"/>
      <c r="ED244" s="3"/>
      <c r="EE244" s="3"/>
      <c r="EF244" s="3"/>
      <c r="EG244" s="3"/>
      <c r="EH244" s="3"/>
      <c r="EI244" s="3"/>
      <c r="EJ244" s="3"/>
      <c r="EK244" s="3"/>
      <c r="EL244" s="3"/>
      <c r="EM244" s="3"/>
      <c r="EN244" s="3"/>
      <c r="EO244" s="3"/>
      <c r="EP244" s="3"/>
      <c r="EQ244" s="130"/>
      <c r="ER244" s="130"/>
      <c r="ES244" s="130"/>
      <c r="ET244" s="130"/>
      <c r="EU244" s="130"/>
      <c r="EV244" s="130"/>
      <c r="EW244" s="130"/>
      <c r="EX244" s="130"/>
      <c r="EY244" s="3"/>
      <c r="EZ244" s="3"/>
      <c r="FA244" s="3"/>
      <c r="FB244" s="3"/>
      <c r="FC244" s="3"/>
      <c r="FD244" s="3"/>
      <c r="FE244" s="3"/>
      <c r="FF244" s="3"/>
      <c r="FG244" s="3"/>
      <c r="FH244" s="3"/>
      <c r="FI244" s="3"/>
      <c r="FJ244" s="3"/>
      <c r="FK244" s="3"/>
      <c r="FL244" s="3"/>
      <c r="FM244" s="3"/>
      <c r="FN244" s="3"/>
      <c r="FO244" s="130"/>
      <c r="FP244" s="130"/>
      <c r="FQ244" s="130"/>
      <c r="FR244" s="130"/>
      <c r="FS244" s="130"/>
      <c r="FT244" s="130"/>
      <c r="FU244" s="130"/>
      <c r="FV244" s="130"/>
      <c r="FW244" s="3"/>
      <c r="FX244" s="3"/>
      <c r="FY244" s="3"/>
      <c r="FZ244" s="3"/>
      <c r="GA244" s="3"/>
      <c r="GB244" s="3"/>
      <c r="GC244" s="3"/>
      <c r="GD244" s="3"/>
      <c r="GE244" s="3"/>
      <c r="GF244" s="3"/>
      <c r="GG244" s="3"/>
      <c r="GH244" s="3"/>
      <c r="GI244" s="3"/>
      <c r="GJ244" s="3"/>
      <c r="GK244" s="3"/>
      <c r="GL244" s="3"/>
      <c r="GM244" s="130"/>
      <c r="GN244" s="130"/>
      <c r="GO244" s="130"/>
      <c r="GP244" s="130"/>
      <c r="GQ244" s="130"/>
      <c r="GR244" s="130"/>
      <c r="GS244" s="130"/>
      <c r="GT244" s="130"/>
      <c r="GU244" s="3"/>
      <c r="GV244" s="3"/>
      <c r="GW244" s="3"/>
      <c r="GX244" s="3"/>
      <c r="GY244" s="3"/>
      <c r="GZ244" s="3"/>
      <c r="HA244" s="3"/>
      <c r="HB244" s="3"/>
      <c r="HC244" s="3"/>
      <c r="HD244" s="3"/>
      <c r="HE244" s="3"/>
      <c r="HF244" s="3"/>
      <c r="HG244" s="3"/>
      <c r="HH244" s="3"/>
      <c r="HI244" s="3"/>
      <c r="HJ244" s="3"/>
      <c r="HK244" s="130"/>
      <c r="HL244" s="130"/>
      <c r="HM244" s="130"/>
      <c r="HN244" s="130"/>
      <c r="HO244" s="130"/>
      <c r="HP244" s="130"/>
      <c r="HQ244" s="130"/>
      <c r="HR244" s="130"/>
      <c r="HS244" s="3"/>
      <c r="HT244" s="3"/>
      <c r="HU244" s="3"/>
      <c r="HV244" s="3"/>
      <c r="HW244" s="3"/>
      <c r="HX244" s="3"/>
      <c r="HY244" s="3"/>
      <c r="HZ244" s="3"/>
      <c r="IA244" s="3"/>
      <c r="IB244" s="3"/>
      <c r="IC244" s="3"/>
      <c r="ID244" s="3"/>
      <c r="IE244" s="3"/>
      <c r="IF244" s="3"/>
      <c r="IG244" s="3"/>
      <c r="IH244" s="3"/>
      <c r="II244" s="130"/>
      <c r="IJ244" s="130"/>
      <c r="IK244" s="130"/>
      <c r="IL244" s="130"/>
      <c r="IM244" s="130"/>
      <c r="IN244" s="130"/>
      <c r="IO244" s="130"/>
      <c r="IP244" s="130"/>
      <c r="IQ244" s="3"/>
      <c r="IR244" s="3"/>
      <c r="IS244" s="3"/>
      <c r="IT244" s="3"/>
      <c r="IU244" s="3"/>
      <c r="IV244" s="3"/>
    </row>
    <row r="245" spans="1:256" s="125" customFormat="1">
      <c r="A245" s="16">
        <v>29</v>
      </c>
      <c r="B245" s="29">
        <v>43041</v>
      </c>
      <c r="C245" s="18"/>
      <c r="D245" s="19" t="s">
        <v>323</v>
      </c>
      <c r="E245" s="20" t="s">
        <v>330</v>
      </c>
      <c r="F245" s="82" t="s">
        <v>331</v>
      </c>
      <c r="G245" s="58">
        <v>1707</v>
      </c>
      <c r="H245" s="121">
        <v>2368800</v>
      </c>
      <c r="I245" s="24">
        <v>2256000</v>
      </c>
      <c r="J245" s="24"/>
      <c r="K245" s="24">
        <f t="shared" si="19"/>
        <v>2256000</v>
      </c>
      <c r="L245" s="123"/>
      <c r="M245" s="24">
        <f t="shared" si="20"/>
        <v>0</v>
      </c>
      <c r="N245" s="124">
        <f t="shared" si="21"/>
        <v>2256000</v>
      </c>
      <c r="O245" s="107"/>
      <c r="P245" s="3"/>
      <c r="Q245" s="3"/>
      <c r="R245" s="3"/>
      <c r="S245" s="3"/>
      <c r="T245" s="3"/>
      <c r="U245" s="3"/>
      <c r="V245" s="3"/>
      <c r="W245" s="3"/>
      <c r="X245" s="3"/>
      <c r="Y245" s="131"/>
      <c r="Z245" s="15"/>
      <c r="AA245" s="132"/>
      <c r="AB245" s="133"/>
      <c r="AC245" s="134"/>
      <c r="AD245" s="134"/>
      <c r="AE245" s="135"/>
      <c r="AF245" s="182"/>
      <c r="AG245" s="183"/>
      <c r="AH245" s="183"/>
      <c r="AJ245" s="184"/>
      <c r="AK245" s="185"/>
      <c r="AL245" s="186"/>
      <c r="AW245" s="187"/>
      <c r="AX245" s="188"/>
      <c r="AY245" s="189"/>
      <c r="AZ245" s="190"/>
      <c r="BA245" s="191"/>
      <c r="BB245" s="191"/>
      <c r="BC245" s="192"/>
      <c r="BD245" s="182"/>
      <c r="BE245" s="183"/>
      <c r="BF245" s="183"/>
      <c r="BH245" s="184"/>
      <c r="BI245" s="185"/>
      <c r="BJ245" s="186"/>
      <c r="BU245" s="187"/>
      <c r="BV245" s="188"/>
      <c r="BW245" s="189"/>
      <c r="BX245" s="190"/>
      <c r="BY245" s="191"/>
      <c r="BZ245" s="191"/>
      <c r="CA245" s="192"/>
      <c r="CB245" s="182"/>
      <c r="CC245" s="183"/>
      <c r="CD245" s="183"/>
      <c r="CF245" s="184"/>
      <c r="CG245" s="185"/>
      <c r="CH245" s="186"/>
      <c r="CS245" s="187"/>
      <c r="CT245" s="188"/>
      <c r="CU245" s="189"/>
      <c r="CV245" s="190"/>
      <c r="CW245" s="191"/>
      <c r="CX245" s="191"/>
      <c r="CY245" s="192"/>
      <c r="CZ245" s="182"/>
      <c r="DA245" s="183"/>
      <c r="DB245" s="183"/>
      <c r="DD245" s="184"/>
      <c r="DE245" s="185"/>
      <c r="DF245" s="186"/>
      <c r="DQ245" s="187"/>
      <c r="DR245" s="188"/>
      <c r="DS245" s="189"/>
      <c r="DT245" s="190"/>
      <c r="DU245" s="191"/>
      <c r="DV245" s="191"/>
      <c r="DW245" s="192"/>
      <c r="DX245" s="182"/>
      <c r="DY245" s="183"/>
      <c r="DZ245" s="183"/>
      <c r="EB245" s="184"/>
      <c r="EC245" s="185"/>
      <c r="ED245" s="186"/>
      <c r="EO245" s="187"/>
      <c r="EP245" s="188"/>
      <c r="EQ245" s="189"/>
      <c r="ER245" s="190"/>
      <c r="ES245" s="191"/>
      <c r="ET245" s="191"/>
      <c r="EU245" s="192"/>
      <c r="EV245" s="182"/>
      <c r="EW245" s="183"/>
      <c r="EX245" s="183"/>
      <c r="EZ245" s="184"/>
      <c r="FA245" s="185"/>
      <c r="FB245" s="186"/>
      <c r="FM245" s="187"/>
      <c r="FN245" s="188"/>
      <c r="FO245" s="189"/>
      <c r="FP245" s="190"/>
      <c r="FQ245" s="191"/>
      <c r="FR245" s="191"/>
      <c r="FS245" s="192"/>
      <c r="FT245" s="182"/>
      <c r="FU245" s="183"/>
      <c r="FV245" s="183"/>
      <c r="FX245" s="184"/>
      <c r="FY245" s="185"/>
      <c r="FZ245" s="186"/>
      <c r="GK245" s="187"/>
      <c r="GL245" s="188"/>
      <c r="GM245" s="189"/>
      <c r="GN245" s="190"/>
      <c r="GO245" s="191"/>
      <c r="GP245" s="191"/>
      <c r="GQ245" s="192"/>
      <c r="GR245" s="182"/>
      <c r="GS245" s="183"/>
      <c r="GT245" s="183"/>
      <c r="GV245" s="184"/>
      <c r="GW245" s="185"/>
      <c r="GX245" s="186"/>
      <c r="HI245" s="187"/>
      <c r="HJ245" s="188"/>
      <c r="HK245" s="189"/>
      <c r="HL245" s="190"/>
      <c r="HM245" s="191"/>
      <c r="HN245" s="191"/>
      <c r="HO245" s="192"/>
      <c r="HP245" s="182"/>
      <c r="HQ245" s="183"/>
      <c r="HR245" s="183"/>
      <c r="HT245" s="184"/>
      <c r="HU245" s="185"/>
      <c r="HV245" s="186"/>
      <c r="IG245" s="187"/>
      <c r="IH245" s="188"/>
      <c r="II245" s="189"/>
      <c r="IJ245" s="190"/>
      <c r="IK245" s="191"/>
      <c r="IL245" s="191"/>
      <c r="IM245" s="192"/>
      <c r="IN245" s="182"/>
      <c r="IO245" s="183"/>
      <c r="IP245" s="183"/>
      <c r="IR245" s="184"/>
      <c r="IS245" s="185"/>
      <c r="IT245" s="186"/>
    </row>
    <row r="246" spans="1:256" s="125" customFormat="1">
      <c r="A246" s="16">
        <v>30</v>
      </c>
      <c r="B246" s="17">
        <v>43041</v>
      </c>
      <c r="C246" s="18"/>
      <c r="D246" s="19" t="s">
        <v>323</v>
      </c>
      <c r="E246" s="20" t="s">
        <v>330</v>
      </c>
      <c r="F246" s="82" t="s">
        <v>332</v>
      </c>
      <c r="G246" s="63">
        <v>1708</v>
      </c>
      <c r="H246" s="121">
        <v>2368800</v>
      </c>
      <c r="I246" s="24">
        <v>2256000</v>
      </c>
      <c r="J246" s="24"/>
      <c r="K246" s="24">
        <f t="shared" si="19"/>
        <v>2256000</v>
      </c>
      <c r="L246" s="123"/>
      <c r="M246" s="24">
        <f t="shared" si="20"/>
        <v>0</v>
      </c>
      <c r="N246" s="124">
        <f t="shared" si="21"/>
        <v>2256000</v>
      </c>
      <c r="O246" s="107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130"/>
      <c r="AB246" s="130"/>
      <c r="AC246" s="130"/>
      <c r="AD246" s="130"/>
      <c r="AE246" s="130"/>
      <c r="AF246" s="167"/>
      <c r="AG246" s="167"/>
      <c r="AH246" s="167"/>
      <c r="AY246" s="167"/>
      <c r="AZ246" s="167"/>
      <c r="BA246" s="167"/>
      <c r="BB246" s="167"/>
      <c r="BC246" s="167"/>
      <c r="BD246" s="167"/>
      <c r="BE246" s="167"/>
      <c r="BF246" s="167"/>
      <c r="BW246" s="167"/>
      <c r="BX246" s="167"/>
      <c r="BY246" s="167"/>
      <c r="BZ246" s="167"/>
      <c r="CA246" s="167"/>
      <c r="CB246" s="167"/>
      <c r="CC246" s="167"/>
      <c r="CD246" s="167"/>
      <c r="CU246" s="167"/>
      <c r="CV246" s="167"/>
      <c r="CW246" s="167"/>
      <c r="CX246" s="167"/>
      <c r="CY246" s="167"/>
      <c r="CZ246" s="167"/>
      <c r="DA246" s="167"/>
      <c r="DB246" s="167"/>
      <c r="DS246" s="167"/>
      <c r="DT246" s="167"/>
      <c r="DU246" s="167"/>
      <c r="DV246" s="167"/>
      <c r="DW246" s="167"/>
      <c r="DX246" s="167"/>
      <c r="DY246" s="167"/>
      <c r="DZ246" s="167"/>
      <c r="EQ246" s="167"/>
      <c r="ER246" s="167"/>
      <c r="ES246" s="167"/>
      <c r="ET246" s="167"/>
      <c r="EU246" s="167"/>
      <c r="EV246" s="167"/>
      <c r="EW246" s="167"/>
      <c r="EX246" s="167"/>
      <c r="FO246" s="167"/>
      <c r="FP246" s="167"/>
      <c r="FQ246" s="167"/>
      <c r="FR246" s="167"/>
      <c r="FS246" s="167"/>
      <c r="FT246" s="167"/>
      <c r="FU246" s="167"/>
      <c r="FV246" s="167"/>
      <c r="GM246" s="167"/>
      <c r="GN246" s="167"/>
      <c r="GO246" s="167"/>
      <c r="GP246" s="167"/>
      <c r="GQ246" s="167"/>
      <c r="GR246" s="167"/>
      <c r="GS246" s="167"/>
      <c r="GT246" s="167"/>
      <c r="HK246" s="167"/>
      <c r="HL246" s="167"/>
      <c r="HM246" s="167"/>
      <c r="HN246" s="167"/>
      <c r="HO246" s="167"/>
      <c r="HP246" s="167"/>
      <c r="HQ246" s="167"/>
      <c r="HR246" s="167"/>
      <c r="II246" s="167"/>
      <c r="IJ246" s="167"/>
      <c r="IK246" s="167"/>
      <c r="IL246" s="167"/>
      <c r="IM246" s="167"/>
      <c r="IN246" s="167"/>
      <c r="IO246" s="167"/>
      <c r="IP246" s="167"/>
    </row>
    <row r="247" spans="1:256" s="125" customFormat="1">
      <c r="A247" s="16">
        <v>31</v>
      </c>
      <c r="B247" s="17">
        <v>43095</v>
      </c>
      <c r="C247" s="18"/>
      <c r="D247" s="19" t="s">
        <v>323</v>
      </c>
      <c r="E247" s="20" t="s">
        <v>330</v>
      </c>
      <c r="F247" s="168" t="s">
        <v>333</v>
      </c>
      <c r="G247" s="63">
        <v>1708</v>
      </c>
      <c r="H247" s="121">
        <v>2440000</v>
      </c>
      <c r="I247" s="24"/>
      <c r="J247" s="24">
        <f t="shared" ref="J247:J255" si="23">SUM(H247)/1.05</f>
        <v>2323809.5238095238</v>
      </c>
      <c r="K247" s="24">
        <f t="shared" si="19"/>
        <v>2323809.5238095238</v>
      </c>
      <c r="L247" s="123"/>
      <c r="M247" s="24">
        <f t="shared" si="20"/>
        <v>0</v>
      </c>
      <c r="N247" s="124">
        <f t="shared" si="21"/>
        <v>2323809.5238095238</v>
      </c>
      <c r="O247" s="108"/>
      <c r="P247" s="3"/>
      <c r="Q247" s="140"/>
      <c r="R247" s="3"/>
      <c r="S247" s="3"/>
      <c r="T247" s="3"/>
      <c r="U247" s="3"/>
      <c r="V247" s="3"/>
      <c r="W247" s="3"/>
      <c r="X247" s="3"/>
      <c r="Y247" s="3"/>
      <c r="Z247" s="3"/>
      <c r="AA247" s="130"/>
      <c r="AB247" s="130"/>
      <c r="AC247" s="130"/>
      <c r="AD247" s="130"/>
      <c r="AE247" s="130"/>
      <c r="AF247" s="130"/>
      <c r="AG247" s="130"/>
      <c r="AH247" s="130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130"/>
      <c r="AZ247" s="130"/>
      <c r="BA247" s="130"/>
      <c r="BB247" s="130"/>
      <c r="BC247" s="130"/>
      <c r="BD247" s="130"/>
      <c r="BE247" s="130"/>
      <c r="BF247" s="130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130"/>
      <c r="BX247" s="130"/>
      <c r="BY247" s="130"/>
      <c r="BZ247" s="130"/>
      <c r="CA247" s="130"/>
      <c r="CB247" s="130"/>
      <c r="CC247" s="130"/>
      <c r="CD247" s="130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130"/>
      <c r="CV247" s="130"/>
      <c r="CW247" s="130"/>
      <c r="CX247" s="130"/>
      <c r="CY247" s="130"/>
      <c r="CZ247" s="130"/>
      <c r="DA247" s="130"/>
      <c r="DB247" s="130"/>
      <c r="DC247" s="3"/>
      <c r="DD247" s="3"/>
      <c r="DE247" s="3"/>
      <c r="DF247" s="3"/>
      <c r="DG247" s="3"/>
      <c r="DH247" s="3"/>
      <c r="DI247" s="3"/>
      <c r="DJ247" s="3"/>
      <c r="DK247" s="3"/>
      <c r="DL247" s="3"/>
      <c r="DM247" s="3"/>
      <c r="DN247" s="3"/>
      <c r="DO247" s="3"/>
      <c r="DP247" s="3"/>
      <c r="DQ247" s="3"/>
      <c r="DR247" s="3"/>
      <c r="DS247" s="130"/>
      <c r="DT247" s="130"/>
      <c r="DU247" s="130"/>
      <c r="DV247" s="130"/>
      <c r="DW247" s="130"/>
      <c r="DX247" s="130"/>
      <c r="DY247" s="130"/>
      <c r="DZ247" s="130"/>
      <c r="EA247" s="3"/>
      <c r="EB247" s="3"/>
      <c r="EC247" s="3"/>
      <c r="ED247" s="3"/>
      <c r="EE247" s="3"/>
      <c r="EF247" s="3"/>
      <c r="EG247" s="3"/>
      <c r="EH247" s="3"/>
      <c r="EI247" s="3"/>
      <c r="EJ247" s="3"/>
      <c r="EK247" s="3"/>
      <c r="EL247" s="3"/>
      <c r="EM247" s="3"/>
      <c r="EN247" s="3"/>
      <c r="EO247" s="3"/>
      <c r="EP247" s="3"/>
      <c r="EQ247" s="130"/>
      <c r="ER247" s="130"/>
      <c r="ES247" s="130"/>
      <c r="ET247" s="130"/>
      <c r="EU247" s="130"/>
      <c r="EV247" s="130"/>
      <c r="EW247" s="130"/>
      <c r="EX247" s="130"/>
      <c r="EY247" s="3"/>
      <c r="EZ247" s="3"/>
      <c r="FA247" s="3"/>
      <c r="FB247" s="3"/>
      <c r="FC247" s="3"/>
      <c r="FD247" s="3"/>
      <c r="FE247" s="3"/>
      <c r="FF247" s="3"/>
      <c r="FG247" s="3"/>
      <c r="FH247" s="3"/>
      <c r="FI247" s="3"/>
      <c r="FJ247" s="3"/>
      <c r="FK247" s="3"/>
      <c r="FL247" s="3"/>
      <c r="FM247" s="3"/>
      <c r="FN247" s="3"/>
      <c r="FO247" s="130"/>
      <c r="FP247" s="130"/>
      <c r="FQ247" s="130"/>
      <c r="FR247" s="130"/>
      <c r="FS247" s="130"/>
      <c r="FT247" s="130"/>
      <c r="FU247" s="130"/>
      <c r="FV247" s="130"/>
      <c r="FW247" s="3"/>
      <c r="FX247" s="3"/>
      <c r="FY247" s="3"/>
      <c r="FZ247" s="3"/>
      <c r="GA247" s="3"/>
      <c r="GB247" s="3"/>
      <c r="GC247" s="3"/>
      <c r="GD247" s="3"/>
      <c r="GE247" s="3"/>
      <c r="GF247" s="3"/>
      <c r="GG247" s="3"/>
      <c r="GH247" s="3"/>
      <c r="GI247" s="3"/>
      <c r="GJ247" s="3"/>
      <c r="GK247" s="3"/>
      <c r="GL247" s="3"/>
      <c r="GM247" s="130"/>
      <c r="GN247" s="130"/>
      <c r="GO247" s="130"/>
      <c r="GP247" s="130"/>
      <c r="GQ247" s="130"/>
      <c r="GR247" s="130"/>
      <c r="GS247" s="130"/>
      <c r="GT247" s="130"/>
      <c r="GU247" s="3"/>
      <c r="GV247" s="3"/>
      <c r="GW247" s="3"/>
      <c r="GX247" s="3"/>
      <c r="GY247" s="3"/>
      <c r="GZ247" s="3"/>
      <c r="HA247" s="3"/>
      <c r="HB247" s="3"/>
      <c r="HC247" s="3"/>
      <c r="HD247" s="3"/>
      <c r="HE247" s="3"/>
      <c r="HF247" s="3"/>
      <c r="HG247" s="3"/>
      <c r="HH247" s="3"/>
      <c r="HI247" s="3"/>
      <c r="HJ247" s="3"/>
      <c r="HK247" s="130"/>
      <c r="HL247" s="130"/>
      <c r="HM247" s="130"/>
      <c r="HN247" s="130"/>
      <c r="HO247" s="130"/>
      <c r="HP247" s="130"/>
      <c r="HQ247" s="130"/>
      <c r="HR247" s="130"/>
      <c r="HS247" s="3"/>
      <c r="HT247" s="3"/>
      <c r="HU247" s="3"/>
      <c r="HV247" s="3"/>
      <c r="HW247" s="3"/>
      <c r="HX247" s="3"/>
      <c r="HY247" s="3"/>
      <c r="HZ247" s="3"/>
      <c r="IA247" s="3"/>
      <c r="IB247" s="3"/>
      <c r="IC247" s="3"/>
      <c r="ID247" s="3"/>
      <c r="IE247" s="3"/>
      <c r="IF247" s="3"/>
      <c r="IG247" s="3"/>
      <c r="IH247" s="3"/>
      <c r="II247" s="130"/>
      <c r="IJ247" s="130"/>
      <c r="IK247" s="130"/>
      <c r="IL247" s="130"/>
      <c r="IM247" s="130"/>
      <c r="IN247" s="130"/>
      <c r="IO247" s="130"/>
      <c r="IP247" s="130"/>
      <c r="IQ247" s="3"/>
      <c r="IR247" s="3"/>
      <c r="IS247" s="3"/>
      <c r="IT247" s="3"/>
      <c r="IU247" s="3"/>
      <c r="IV247" s="3"/>
    </row>
    <row r="248" spans="1:256" s="125" customFormat="1">
      <c r="A248" s="16">
        <v>32</v>
      </c>
      <c r="B248" s="17">
        <v>43095</v>
      </c>
      <c r="C248" s="18"/>
      <c r="D248" s="19" t="s">
        <v>323</v>
      </c>
      <c r="E248" s="20" t="s">
        <v>330</v>
      </c>
      <c r="F248" s="168" t="s">
        <v>334</v>
      </c>
      <c r="G248" s="63">
        <v>1708</v>
      </c>
      <c r="H248" s="121">
        <v>2440000</v>
      </c>
      <c r="I248" s="24"/>
      <c r="J248" s="24">
        <f t="shared" si="23"/>
        <v>2323809.5238095238</v>
      </c>
      <c r="K248" s="24">
        <f t="shared" si="19"/>
        <v>2323809.5238095238</v>
      </c>
      <c r="L248" s="123"/>
      <c r="M248" s="24">
        <f t="shared" si="20"/>
        <v>0</v>
      </c>
      <c r="N248" s="124">
        <f t="shared" si="21"/>
        <v>2323809.5238095238</v>
      </c>
      <c r="O248" s="108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130"/>
      <c r="AB248" s="130"/>
      <c r="AC248" s="130"/>
      <c r="AD248" s="130"/>
      <c r="AE248" s="130"/>
      <c r="AF248" s="130"/>
      <c r="AG248" s="130"/>
      <c r="AH248" s="130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130"/>
      <c r="AZ248" s="130"/>
      <c r="BA248" s="130"/>
      <c r="BB248" s="130"/>
      <c r="BC248" s="130"/>
      <c r="BD248" s="130"/>
      <c r="BE248" s="130"/>
      <c r="BF248" s="130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130"/>
      <c r="BX248" s="130"/>
      <c r="BY248" s="130"/>
      <c r="BZ248" s="130"/>
      <c r="CA248" s="130"/>
      <c r="CB248" s="130"/>
      <c r="CC248" s="130"/>
      <c r="CD248" s="130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130"/>
      <c r="CV248" s="130"/>
      <c r="CW248" s="130"/>
      <c r="CX248" s="130"/>
      <c r="CY248" s="130"/>
      <c r="CZ248" s="130"/>
      <c r="DA248" s="130"/>
      <c r="DB248" s="130"/>
      <c r="DC248" s="3"/>
      <c r="DD248" s="3"/>
      <c r="DE248" s="3"/>
      <c r="DF248" s="3"/>
      <c r="DG248" s="3"/>
      <c r="DH248" s="3"/>
      <c r="DI248" s="3"/>
      <c r="DJ248" s="3"/>
      <c r="DK248" s="3"/>
      <c r="DL248" s="3"/>
      <c r="DM248" s="3"/>
      <c r="DN248" s="3"/>
      <c r="DO248" s="3"/>
      <c r="DP248" s="3"/>
      <c r="DQ248" s="3"/>
      <c r="DR248" s="3"/>
      <c r="DS248" s="130"/>
      <c r="DT248" s="130"/>
      <c r="DU248" s="130"/>
      <c r="DV248" s="130"/>
      <c r="DW248" s="130"/>
      <c r="DX248" s="130"/>
      <c r="DY248" s="130"/>
      <c r="DZ248" s="130"/>
      <c r="EA248" s="3"/>
      <c r="EB248" s="3"/>
      <c r="EC248" s="3"/>
      <c r="ED248" s="3"/>
      <c r="EE248" s="3"/>
      <c r="EF248" s="3"/>
      <c r="EG248" s="3"/>
      <c r="EH248" s="3"/>
      <c r="EI248" s="3"/>
      <c r="EJ248" s="3"/>
      <c r="EK248" s="3"/>
      <c r="EL248" s="3"/>
      <c r="EM248" s="3"/>
      <c r="EN248" s="3"/>
      <c r="EO248" s="3"/>
      <c r="EP248" s="3"/>
      <c r="EQ248" s="130"/>
      <c r="ER248" s="130"/>
      <c r="ES248" s="130"/>
      <c r="ET248" s="130"/>
      <c r="EU248" s="130"/>
      <c r="EV248" s="130"/>
      <c r="EW248" s="130"/>
      <c r="EX248" s="130"/>
      <c r="EY248" s="3"/>
      <c r="EZ248" s="3"/>
      <c r="FA248" s="3"/>
      <c r="FB248" s="3"/>
      <c r="FC248" s="3"/>
      <c r="FD248" s="3"/>
      <c r="FE248" s="3"/>
      <c r="FF248" s="3"/>
      <c r="FG248" s="3"/>
      <c r="FH248" s="3"/>
      <c r="FI248" s="3"/>
      <c r="FJ248" s="3"/>
      <c r="FK248" s="3"/>
      <c r="FL248" s="3"/>
      <c r="FM248" s="3"/>
      <c r="FN248" s="3"/>
      <c r="FO248" s="130"/>
      <c r="FP248" s="130"/>
      <c r="FQ248" s="130"/>
      <c r="FR248" s="130"/>
      <c r="FS248" s="130"/>
      <c r="FT248" s="130"/>
      <c r="FU248" s="130"/>
      <c r="FV248" s="130"/>
      <c r="FW248" s="3"/>
      <c r="FX248" s="3"/>
      <c r="FY248" s="3"/>
      <c r="FZ248" s="3"/>
      <c r="GA248" s="3"/>
      <c r="GB248" s="3"/>
      <c r="GC248" s="3"/>
      <c r="GD248" s="3"/>
      <c r="GE248" s="3"/>
      <c r="GF248" s="3"/>
      <c r="GG248" s="3"/>
      <c r="GH248" s="3"/>
      <c r="GI248" s="3"/>
      <c r="GJ248" s="3"/>
      <c r="GK248" s="3"/>
      <c r="GL248" s="3"/>
      <c r="GM248" s="130"/>
      <c r="GN248" s="130"/>
      <c r="GO248" s="130"/>
      <c r="GP248" s="130"/>
      <c r="GQ248" s="130"/>
      <c r="GR248" s="130"/>
      <c r="GS248" s="130"/>
      <c r="GT248" s="130"/>
      <c r="GU248" s="3"/>
      <c r="GV248" s="3"/>
      <c r="GW248" s="3"/>
      <c r="GX248" s="3"/>
      <c r="GY248" s="3"/>
      <c r="GZ248" s="3"/>
      <c r="HA248" s="3"/>
      <c r="HB248" s="3"/>
      <c r="HC248" s="3"/>
      <c r="HD248" s="3"/>
      <c r="HE248" s="3"/>
      <c r="HF248" s="3"/>
      <c r="HG248" s="3"/>
      <c r="HH248" s="3"/>
      <c r="HI248" s="3"/>
      <c r="HJ248" s="3"/>
      <c r="HK248" s="130"/>
      <c r="HL248" s="130"/>
      <c r="HM248" s="130"/>
      <c r="HN248" s="130"/>
      <c r="HO248" s="130"/>
      <c r="HP248" s="130"/>
      <c r="HQ248" s="130"/>
      <c r="HR248" s="130"/>
      <c r="HS248" s="3"/>
      <c r="HT248" s="3"/>
      <c r="HU248" s="3"/>
      <c r="HV248" s="3"/>
      <c r="HW248" s="3"/>
      <c r="HX248" s="3"/>
      <c r="HY248" s="3"/>
      <c r="HZ248" s="3"/>
      <c r="IA248" s="3"/>
      <c r="IB248" s="3"/>
      <c r="IC248" s="3"/>
      <c r="ID248" s="3"/>
      <c r="IE248" s="3"/>
      <c r="IF248" s="3"/>
      <c r="IG248" s="3"/>
      <c r="IH248" s="3"/>
      <c r="II248" s="130"/>
      <c r="IJ248" s="130"/>
      <c r="IK248" s="130"/>
      <c r="IL248" s="130"/>
      <c r="IM248" s="130"/>
      <c r="IN248" s="130"/>
      <c r="IO248" s="130"/>
      <c r="IP248" s="130"/>
      <c r="IQ248" s="3"/>
      <c r="IR248" s="3"/>
      <c r="IS248" s="3"/>
      <c r="IT248" s="3"/>
      <c r="IU248" s="3"/>
      <c r="IV248" s="3"/>
    </row>
    <row r="249" spans="1:256" s="125" customFormat="1">
      <c r="A249" s="16">
        <v>33</v>
      </c>
      <c r="B249" s="17">
        <v>43095</v>
      </c>
      <c r="C249" s="18"/>
      <c r="D249" s="19" t="s">
        <v>323</v>
      </c>
      <c r="E249" s="20" t="s">
        <v>330</v>
      </c>
      <c r="F249" s="168" t="s">
        <v>335</v>
      </c>
      <c r="G249" s="63">
        <v>1708</v>
      </c>
      <c r="H249" s="121">
        <v>2440000</v>
      </c>
      <c r="I249" s="24"/>
      <c r="J249" s="24">
        <f t="shared" si="23"/>
        <v>2323809.5238095238</v>
      </c>
      <c r="K249" s="24">
        <f t="shared" si="19"/>
        <v>2323809.5238095238</v>
      </c>
      <c r="L249" s="123"/>
      <c r="M249" s="24">
        <f t="shared" si="20"/>
        <v>0</v>
      </c>
      <c r="N249" s="124">
        <f t="shared" si="21"/>
        <v>2323809.5238095238</v>
      </c>
      <c r="O249" s="108"/>
      <c r="P249" s="3"/>
      <c r="Q249" s="140"/>
      <c r="R249" s="3"/>
      <c r="S249" s="3"/>
      <c r="T249" s="3"/>
      <c r="U249" s="3"/>
      <c r="V249" s="3"/>
      <c r="W249" s="3"/>
      <c r="X249" s="3"/>
      <c r="Y249" s="3"/>
      <c r="Z249" s="3"/>
      <c r="AA249" s="130"/>
      <c r="AB249" s="130"/>
      <c r="AC249" s="130"/>
      <c r="AD249" s="130"/>
      <c r="AE249" s="130"/>
      <c r="AF249" s="130"/>
      <c r="AG249" s="130"/>
      <c r="AH249" s="130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130"/>
      <c r="AZ249" s="130"/>
      <c r="BA249" s="130"/>
      <c r="BB249" s="130"/>
      <c r="BC249" s="130"/>
      <c r="BD249" s="130"/>
      <c r="BE249" s="130"/>
      <c r="BF249" s="130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130"/>
      <c r="BX249" s="130"/>
      <c r="BY249" s="130"/>
      <c r="BZ249" s="130"/>
      <c r="CA249" s="130"/>
      <c r="CB249" s="130"/>
      <c r="CC249" s="130"/>
      <c r="CD249" s="130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130"/>
      <c r="CV249" s="130"/>
      <c r="CW249" s="130"/>
      <c r="CX249" s="130"/>
      <c r="CY249" s="130"/>
      <c r="CZ249" s="130"/>
      <c r="DA249" s="130"/>
      <c r="DB249" s="130"/>
      <c r="DC249" s="3"/>
      <c r="DD249" s="3"/>
      <c r="DE249" s="3"/>
      <c r="DF249" s="3"/>
      <c r="DG249" s="3"/>
      <c r="DH249" s="3"/>
      <c r="DI249" s="3"/>
      <c r="DJ249" s="3"/>
      <c r="DK249" s="3"/>
      <c r="DL249" s="3"/>
      <c r="DM249" s="3"/>
      <c r="DN249" s="3"/>
      <c r="DO249" s="3"/>
      <c r="DP249" s="3"/>
      <c r="DQ249" s="3"/>
      <c r="DR249" s="3"/>
      <c r="DS249" s="130"/>
      <c r="DT249" s="130"/>
      <c r="DU249" s="130"/>
      <c r="DV249" s="130"/>
      <c r="DW249" s="130"/>
      <c r="DX249" s="130"/>
      <c r="DY249" s="130"/>
      <c r="DZ249" s="130"/>
      <c r="EA249" s="3"/>
      <c r="EB249" s="3"/>
      <c r="EC249" s="3"/>
      <c r="ED249" s="3"/>
      <c r="EE249" s="3"/>
      <c r="EF249" s="3"/>
      <c r="EG249" s="3"/>
      <c r="EH249" s="3"/>
      <c r="EI249" s="3"/>
      <c r="EJ249" s="3"/>
      <c r="EK249" s="3"/>
      <c r="EL249" s="3"/>
      <c r="EM249" s="3"/>
      <c r="EN249" s="3"/>
      <c r="EO249" s="3"/>
      <c r="EP249" s="3"/>
      <c r="EQ249" s="130"/>
      <c r="ER249" s="130"/>
      <c r="ES249" s="130"/>
      <c r="ET249" s="130"/>
      <c r="EU249" s="130"/>
      <c r="EV249" s="130"/>
      <c r="EW249" s="130"/>
      <c r="EX249" s="130"/>
      <c r="EY249" s="3"/>
      <c r="EZ249" s="3"/>
      <c r="FA249" s="3"/>
      <c r="FB249" s="3"/>
      <c r="FC249" s="3"/>
      <c r="FD249" s="3"/>
      <c r="FE249" s="3"/>
      <c r="FF249" s="3"/>
      <c r="FG249" s="3"/>
      <c r="FH249" s="3"/>
      <c r="FI249" s="3"/>
      <c r="FJ249" s="3"/>
      <c r="FK249" s="3"/>
      <c r="FL249" s="3"/>
      <c r="FM249" s="3"/>
      <c r="FN249" s="3"/>
      <c r="FO249" s="130"/>
      <c r="FP249" s="130"/>
      <c r="FQ249" s="130"/>
      <c r="FR249" s="130"/>
      <c r="FS249" s="130"/>
      <c r="FT249" s="130"/>
      <c r="FU249" s="130"/>
      <c r="FV249" s="130"/>
      <c r="FW249" s="3"/>
      <c r="FX249" s="3"/>
      <c r="FY249" s="3"/>
      <c r="FZ249" s="3"/>
      <c r="GA249" s="3"/>
      <c r="GB249" s="3"/>
      <c r="GC249" s="3"/>
      <c r="GD249" s="3"/>
      <c r="GE249" s="3"/>
      <c r="GF249" s="3"/>
      <c r="GG249" s="3"/>
      <c r="GH249" s="3"/>
      <c r="GI249" s="3"/>
      <c r="GJ249" s="3"/>
      <c r="GK249" s="3"/>
      <c r="GL249" s="3"/>
      <c r="GM249" s="130"/>
      <c r="GN249" s="130"/>
      <c r="GO249" s="130"/>
      <c r="GP249" s="130"/>
      <c r="GQ249" s="130"/>
      <c r="GR249" s="130"/>
      <c r="GS249" s="130"/>
      <c r="GT249" s="130"/>
      <c r="GU249" s="3"/>
      <c r="GV249" s="3"/>
      <c r="GW249" s="3"/>
      <c r="GX249" s="3"/>
      <c r="GY249" s="3"/>
      <c r="GZ249" s="3"/>
      <c r="HA249" s="3"/>
      <c r="HB249" s="3"/>
      <c r="HC249" s="3"/>
      <c r="HD249" s="3"/>
      <c r="HE249" s="3"/>
      <c r="HF249" s="3"/>
      <c r="HG249" s="3"/>
      <c r="HH249" s="3"/>
      <c r="HI249" s="3"/>
      <c r="HJ249" s="3"/>
      <c r="HK249" s="130"/>
      <c r="HL249" s="130"/>
      <c r="HM249" s="130"/>
      <c r="HN249" s="130"/>
      <c r="HO249" s="130"/>
      <c r="HP249" s="130"/>
      <c r="HQ249" s="130"/>
      <c r="HR249" s="130"/>
      <c r="HS249" s="3"/>
      <c r="HT249" s="3"/>
      <c r="HU249" s="3"/>
      <c r="HV249" s="3"/>
      <c r="HW249" s="3"/>
      <c r="HX249" s="3"/>
      <c r="HY249" s="3"/>
      <c r="HZ249" s="3"/>
      <c r="IA249" s="3"/>
      <c r="IB249" s="3"/>
      <c r="IC249" s="3"/>
      <c r="ID249" s="3"/>
      <c r="IE249" s="3"/>
      <c r="IF249" s="3"/>
      <c r="IG249" s="3"/>
      <c r="IH249" s="3"/>
      <c r="II249" s="130"/>
      <c r="IJ249" s="130"/>
      <c r="IK249" s="130"/>
      <c r="IL249" s="130"/>
      <c r="IM249" s="130"/>
      <c r="IN249" s="130"/>
      <c r="IO249" s="130"/>
      <c r="IP249" s="130"/>
      <c r="IQ249" s="3"/>
      <c r="IR249" s="3"/>
      <c r="IS249" s="3"/>
      <c r="IT249" s="3"/>
      <c r="IU249" s="3"/>
      <c r="IV249" s="3"/>
    </row>
    <row r="250" spans="1:256" s="125" customFormat="1">
      <c r="A250" s="16">
        <v>34</v>
      </c>
      <c r="B250" s="29">
        <v>43088</v>
      </c>
      <c r="C250" s="18"/>
      <c r="D250" s="19" t="s">
        <v>323</v>
      </c>
      <c r="E250" s="20" t="s">
        <v>330</v>
      </c>
      <c r="F250" s="62" t="s">
        <v>336</v>
      </c>
      <c r="G250" s="63">
        <v>1708</v>
      </c>
      <c r="H250" s="121">
        <v>2440000</v>
      </c>
      <c r="I250" s="24"/>
      <c r="J250" s="24">
        <f t="shared" si="23"/>
        <v>2323809.5238095238</v>
      </c>
      <c r="K250" s="24">
        <f t="shared" si="19"/>
        <v>2323809.5238095238</v>
      </c>
      <c r="L250" s="123"/>
      <c r="M250" s="24">
        <f t="shared" si="20"/>
        <v>0</v>
      </c>
      <c r="N250" s="124">
        <f t="shared" si="21"/>
        <v>2323809.5238095238</v>
      </c>
      <c r="O250" s="85"/>
      <c r="P250" s="3"/>
      <c r="Q250" s="140"/>
      <c r="R250" s="3"/>
      <c r="S250" s="3"/>
      <c r="T250" s="3"/>
      <c r="U250" s="3"/>
      <c r="V250" s="3"/>
      <c r="W250" s="3"/>
      <c r="X250" s="3"/>
      <c r="Y250" s="131"/>
      <c r="Z250" s="15"/>
      <c r="AA250" s="99"/>
      <c r="AB250" s="149"/>
      <c r="AC250" s="134"/>
      <c r="AD250" s="134"/>
      <c r="AE250" s="137"/>
      <c r="AF250" s="150"/>
      <c r="AG250" s="137"/>
      <c r="AH250" s="137"/>
      <c r="AI250" s="3"/>
      <c r="AJ250" s="138"/>
      <c r="AK250" s="2"/>
      <c r="AL250" s="139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131"/>
      <c r="AX250" s="15"/>
      <c r="AY250" s="99"/>
      <c r="AZ250" s="149"/>
      <c r="BA250" s="134"/>
      <c r="BB250" s="134"/>
      <c r="BC250" s="137"/>
      <c r="BD250" s="150"/>
      <c r="BE250" s="137"/>
      <c r="BF250" s="137"/>
      <c r="BG250" s="3"/>
      <c r="BH250" s="138"/>
      <c r="BI250" s="2"/>
      <c r="BJ250" s="139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131"/>
      <c r="BV250" s="15"/>
      <c r="BW250" s="99"/>
      <c r="BX250" s="149"/>
      <c r="BY250" s="134"/>
      <c r="BZ250" s="134"/>
      <c r="CA250" s="137"/>
      <c r="CB250" s="150"/>
      <c r="CC250" s="137"/>
      <c r="CD250" s="137"/>
      <c r="CE250" s="3"/>
      <c r="CF250" s="138"/>
      <c r="CG250" s="2"/>
      <c r="CH250" s="139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131"/>
      <c r="CT250" s="15"/>
      <c r="CU250" s="99"/>
      <c r="CV250" s="149"/>
      <c r="CW250" s="134"/>
      <c r="CX250" s="134"/>
      <c r="CY250" s="137"/>
      <c r="CZ250" s="150"/>
      <c r="DA250" s="137"/>
      <c r="DB250" s="137"/>
      <c r="DC250" s="3"/>
      <c r="DD250" s="138"/>
      <c r="DE250" s="2"/>
      <c r="DF250" s="139"/>
      <c r="DG250" s="3"/>
      <c r="DH250" s="3"/>
      <c r="DI250" s="3"/>
      <c r="DJ250" s="3"/>
      <c r="DK250" s="3"/>
      <c r="DL250" s="3"/>
      <c r="DM250" s="3"/>
      <c r="DN250" s="3"/>
      <c r="DO250" s="3"/>
      <c r="DP250" s="3"/>
      <c r="DQ250" s="131"/>
      <c r="DR250" s="15"/>
      <c r="DS250" s="99"/>
      <c r="DT250" s="149"/>
      <c r="DU250" s="134"/>
      <c r="DV250" s="134"/>
      <c r="DW250" s="137"/>
      <c r="DX250" s="150"/>
      <c r="DY250" s="137"/>
      <c r="DZ250" s="137"/>
      <c r="EA250" s="3"/>
      <c r="EB250" s="138"/>
      <c r="EC250" s="2"/>
      <c r="ED250" s="139"/>
      <c r="EE250" s="3"/>
      <c r="EF250" s="3"/>
      <c r="EG250" s="3"/>
      <c r="EH250" s="3"/>
      <c r="EI250" s="3"/>
      <c r="EJ250" s="3"/>
      <c r="EK250" s="3"/>
      <c r="EL250" s="3"/>
      <c r="EM250" s="3"/>
      <c r="EN250" s="3"/>
      <c r="EO250" s="131"/>
      <c r="EP250" s="15"/>
      <c r="EQ250" s="99"/>
      <c r="ER250" s="149"/>
      <c r="ES250" s="134"/>
      <c r="ET250" s="134"/>
      <c r="EU250" s="137"/>
      <c r="EV250" s="150"/>
      <c r="EW250" s="137"/>
      <c r="EX250" s="137"/>
      <c r="EY250" s="3"/>
      <c r="EZ250" s="138"/>
      <c r="FA250" s="2"/>
      <c r="FB250" s="139"/>
      <c r="FC250" s="3"/>
      <c r="FD250" s="3"/>
      <c r="FE250" s="3"/>
      <c r="FF250" s="3"/>
      <c r="FG250" s="3"/>
      <c r="FH250" s="3"/>
      <c r="FI250" s="3"/>
      <c r="FJ250" s="3"/>
      <c r="FK250" s="3"/>
      <c r="FL250" s="3"/>
      <c r="FM250" s="131"/>
      <c r="FN250" s="15"/>
      <c r="FO250" s="99"/>
      <c r="FP250" s="149"/>
      <c r="FQ250" s="134"/>
      <c r="FR250" s="134"/>
      <c r="FS250" s="137"/>
      <c r="FT250" s="150"/>
      <c r="FU250" s="137"/>
      <c r="FV250" s="137"/>
      <c r="FW250" s="3"/>
      <c r="FX250" s="138"/>
      <c r="FY250" s="2"/>
      <c r="FZ250" s="139"/>
      <c r="GA250" s="3"/>
      <c r="GB250" s="3"/>
      <c r="GC250" s="3"/>
      <c r="GD250" s="3"/>
      <c r="GE250" s="3"/>
      <c r="GF250" s="3"/>
      <c r="GG250" s="3"/>
      <c r="GH250" s="3"/>
      <c r="GI250" s="3"/>
      <c r="GJ250" s="3"/>
      <c r="GK250" s="131"/>
      <c r="GL250" s="15"/>
      <c r="GM250" s="99"/>
      <c r="GN250" s="149"/>
      <c r="GO250" s="134"/>
      <c r="GP250" s="134"/>
      <c r="GQ250" s="137"/>
      <c r="GR250" s="150"/>
      <c r="GS250" s="137"/>
      <c r="GT250" s="137"/>
      <c r="GU250" s="3"/>
      <c r="GV250" s="138"/>
      <c r="GW250" s="2"/>
      <c r="GX250" s="139"/>
      <c r="GY250" s="3"/>
      <c r="GZ250" s="3"/>
      <c r="HA250" s="3"/>
      <c r="HB250" s="3"/>
      <c r="HC250" s="3"/>
      <c r="HD250" s="3"/>
      <c r="HE250" s="3"/>
      <c r="HF250" s="3"/>
      <c r="HG250" s="3"/>
      <c r="HH250" s="3"/>
      <c r="HI250" s="131"/>
      <c r="HJ250" s="15"/>
      <c r="HK250" s="99"/>
      <c r="HL250" s="149"/>
      <c r="HM250" s="134"/>
      <c r="HN250" s="134"/>
      <c r="HO250" s="137"/>
      <c r="HP250" s="150"/>
      <c r="HQ250" s="137"/>
      <c r="HR250" s="137"/>
      <c r="HS250" s="3"/>
      <c r="HT250" s="138"/>
      <c r="HU250" s="2"/>
      <c r="HV250" s="139"/>
      <c r="HW250" s="3"/>
      <c r="HX250" s="3"/>
      <c r="HY250" s="3"/>
      <c r="HZ250" s="3"/>
      <c r="IA250" s="3"/>
      <c r="IB250" s="3"/>
      <c r="IC250" s="3"/>
      <c r="ID250" s="3"/>
      <c r="IE250" s="3"/>
      <c r="IF250" s="3"/>
      <c r="IG250" s="131"/>
      <c r="IH250" s="15"/>
      <c r="II250" s="99"/>
      <c r="IJ250" s="149"/>
      <c r="IK250" s="134"/>
      <c r="IL250" s="134"/>
      <c r="IM250" s="137"/>
      <c r="IN250" s="150"/>
      <c r="IO250" s="137"/>
      <c r="IP250" s="137"/>
      <c r="IQ250" s="3"/>
      <c r="IR250" s="138"/>
      <c r="IS250" s="2"/>
      <c r="IT250" s="139"/>
      <c r="IU250" s="3"/>
      <c r="IV250" s="3"/>
    </row>
    <row r="251" spans="1:256" s="125" customFormat="1">
      <c r="A251" s="16">
        <v>35</v>
      </c>
      <c r="B251" s="17">
        <v>43096</v>
      </c>
      <c r="C251" s="18"/>
      <c r="D251" s="19" t="s">
        <v>323</v>
      </c>
      <c r="E251" s="20" t="s">
        <v>330</v>
      </c>
      <c r="F251" s="168" t="s">
        <v>337</v>
      </c>
      <c r="G251" s="63">
        <v>1709</v>
      </c>
      <c r="H251" s="121">
        <v>2368800</v>
      </c>
      <c r="I251" s="24"/>
      <c r="J251" s="24">
        <f t="shared" si="23"/>
        <v>2256000</v>
      </c>
      <c r="K251" s="24">
        <f t="shared" si="19"/>
        <v>2256000</v>
      </c>
      <c r="L251" s="123"/>
      <c r="M251" s="24">
        <f t="shared" si="20"/>
        <v>0</v>
      </c>
      <c r="N251" s="124">
        <f t="shared" si="21"/>
        <v>2256000</v>
      </c>
      <c r="O251" s="108"/>
      <c r="P251" s="3"/>
      <c r="Q251" s="140"/>
      <c r="R251" s="3"/>
      <c r="S251" s="3"/>
      <c r="T251" s="3"/>
      <c r="U251" s="3"/>
      <c r="V251" s="3"/>
      <c r="W251" s="3"/>
      <c r="X251" s="3"/>
      <c r="Y251" s="3"/>
      <c r="Z251" s="3"/>
      <c r="AA251" s="130"/>
      <c r="AB251" s="130"/>
      <c r="AC251" s="130"/>
      <c r="AD251" s="130"/>
      <c r="AE251" s="130"/>
      <c r="AF251" s="130"/>
      <c r="AG251" s="130"/>
      <c r="AH251" s="130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130"/>
      <c r="AZ251" s="130"/>
      <c r="BA251" s="130"/>
      <c r="BB251" s="130"/>
      <c r="BC251" s="130"/>
      <c r="BD251" s="130"/>
      <c r="BE251" s="130"/>
      <c r="BF251" s="130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130"/>
      <c r="BX251" s="130"/>
      <c r="BY251" s="130"/>
      <c r="BZ251" s="130"/>
      <c r="CA251" s="130"/>
      <c r="CB251" s="130"/>
      <c r="CC251" s="130"/>
      <c r="CD251" s="130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130"/>
      <c r="CV251" s="130"/>
      <c r="CW251" s="130"/>
      <c r="CX251" s="130"/>
      <c r="CY251" s="130"/>
      <c r="CZ251" s="130"/>
      <c r="DA251" s="130"/>
      <c r="DB251" s="130"/>
      <c r="DC251" s="3"/>
      <c r="DD251" s="3"/>
      <c r="DE251" s="3"/>
      <c r="DF251" s="3"/>
      <c r="DG251" s="3"/>
      <c r="DH251" s="3"/>
      <c r="DI251" s="3"/>
      <c r="DJ251" s="3"/>
      <c r="DK251" s="3"/>
      <c r="DL251" s="3"/>
      <c r="DM251" s="3"/>
      <c r="DN251" s="3"/>
      <c r="DO251" s="3"/>
      <c r="DP251" s="3"/>
      <c r="DQ251" s="3"/>
      <c r="DR251" s="3"/>
      <c r="DS251" s="130"/>
      <c r="DT251" s="130"/>
      <c r="DU251" s="130"/>
      <c r="DV251" s="130"/>
      <c r="DW251" s="130"/>
      <c r="DX251" s="130"/>
      <c r="DY251" s="130"/>
      <c r="DZ251" s="130"/>
      <c r="EA251" s="3"/>
      <c r="EB251" s="3"/>
      <c r="EC251" s="3"/>
      <c r="ED251" s="3"/>
      <c r="EE251" s="3"/>
      <c r="EF251" s="3"/>
      <c r="EG251" s="3"/>
      <c r="EH251" s="3"/>
      <c r="EI251" s="3"/>
      <c r="EJ251" s="3"/>
      <c r="EK251" s="3"/>
      <c r="EL251" s="3"/>
      <c r="EM251" s="3"/>
      <c r="EN251" s="3"/>
      <c r="EO251" s="3"/>
      <c r="EP251" s="3"/>
      <c r="EQ251" s="130"/>
      <c r="ER251" s="130"/>
      <c r="ES251" s="130"/>
      <c r="ET251" s="130"/>
      <c r="EU251" s="130"/>
      <c r="EV251" s="130"/>
      <c r="EW251" s="130"/>
      <c r="EX251" s="130"/>
      <c r="EY251" s="3"/>
      <c r="EZ251" s="3"/>
      <c r="FA251" s="3"/>
      <c r="FB251" s="3"/>
      <c r="FC251" s="3"/>
      <c r="FD251" s="3"/>
      <c r="FE251" s="3"/>
      <c r="FF251" s="3"/>
      <c r="FG251" s="3"/>
      <c r="FH251" s="3"/>
      <c r="FI251" s="3"/>
      <c r="FJ251" s="3"/>
      <c r="FK251" s="3"/>
      <c r="FL251" s="3"/>
      <c r="FM251" s="3"/>
      <c r="FN251" s="3"/>
      <c r="FO251" s="130"/>
      <c r="FP251" s="130"/>
      <c r="FQ251" s="130"/>
      <c r="FR251" s="130"/>
      <c r="FS251" s="130"/>
      <c r="FT251" s="130"/>
      <c r="FU251" s="130"/>
      <c r="FV251" s="130"/>
      <c r="FW251" s="3"/>
      <c r="FX251" s="3"/>
      <c r="FY251" s="3"/>
      <c r="FZ251" s="3"/>
      <c r="GA251" s="3"/>
      <c r="GB251" s="3"/>
      <c r="GC251" s="3"/>
      <c r="GD251" s="3"/>
      <c r="GE251" s="3"/>
      <c r="GF251" s="3"/>
      <c r="GG251" s="3"/>
      <c r="GH251" s="3"/>
      <c r="GI251" s="3"/>
      <c r="GJ251" s="3"/>
      <c r="GK251" s="3"/>
      <c r="GL251" s="3"/>
      <c r="GM251" s="130"/>
      <c r="GN251" s="130"/>
      <c r="GO251" s="130"/>
      <c r="GP251" s="130"/>
      <c r="GQ251" s="130"/>
      <c r="GR251" s="130"/>
      <c r="GS251" s="130"/>
      <c r="GT251" s="130"/>
      <c r="GU251" s="3"/>
      <c r="GV251" s="3"/>
      <c r="GW251" s="3"/>
      <c r="GX251" s="3"/>
      <c r="GY251" s="3"/>
      <c r="GZ251" s="3"/>
      <c r="HA251" s="3"/>
      <c r="HB251" s="3"/>
      <c r="HC251" s="3"/>
      <c r="HD251" s="3"/>
      <c r="HE251" s="3"/>
      <c r="HF251" s="3"/>
      <c r="HG251" s="3"/>
      <c r="HH251" s="3"/>
      <c r="HI251" s="3"/>
      <c r="HJ251" s="3"/>
      <c r="HK251" s="130"/>
      <c r="HL251" s="130"/>
      <c r="HM251" s="130"/>
      <c r="HN251" s="130"/>
      <c r="HO251" s="130"/>
      <c r="HP251" s="130"/>
      <c r="HQ251" s="130"/>
      <c r="HR251" s="130"/>
      <c r="HS251" s="3"/>
      <c r="HT251" s="3"/>
      <c r="HU251" s="3"/>
      <c r="HV251" s="3"/>
      <c r="HW251" s="3"/>
      <c r="HX251" s="3"/>
      <c r="HY251" s="3"/>
      <c r="HZ251" s="3"/>
      <c r="IA251" s="3"/>
      <c r="IB251" s="3"/>
      <c r="IC251" s="3"/>
      <c r="ID251" s="3"/>
      <c r="IE251" s="3"/>
      <c r="IF251" s="3"/>
      <c r="IG251" s="3"/>
      <c r="IH251" s="3"/>
      <c r="II251" s="130"/>
      <c r="IJ251" s="130"/>
      <c r="IK251" s="130"/>
      <c r="IL251" s="130"/>
      <c r="IM251" s="130"/>
      <c r="IN251" s="130"/>
      <c r="IO251" s="130"/>
      <c r="IP251" s="130"/>
      <c r="IQ251" s="3"/>
      <c r="IR251" s="3"/>
      <c r="IS251" s="3"/>
      <c r="IT251" s="3"/>
      <c r="IU251" s="3"/>
      <c r="IV251" s="3"/>
    </row>
    <row r="252" spans="1:256" s="125" customFormat="1">
      <c r="A252" s="16">
        <v>36</v>
      </c>
      <c r="B252" s="17">
        <v>43096</v>
      </c>
      <c r="C252" s="18"/>
      <c r="D252" s="19" t="s">
        <v>323</v>
      </c>
      <c r="E252" s="20" t="s">
        <v>330</v>
      </c>
      <c r="F252" s="168" t="s">
        <v>338</v>
      </c>
      <c r="G252" s="63">
        <v>1709</v>
      </c>
      <c r="H252" s="121">
        <v>2368800</v>
      </c>
      <c r="I252" s="24"/>
      <c r="J252" s="24">
        <f t="shared" si="23"/>
        <v>2256000</v>
      </c>
      <c r="K252" s="24">
        <f t="shared" si="19"/>
        <v>2256000</v>
      </c>
      <c r="L252" s="123"/>
      <c r="M252" s="24">
        <f t="shared" si="20"/>
        <v>0</v>
      </c>
      <c r="N252" s="124">
        <f t="shared" si="21"/>
        <v>2256000</v>
      </c>
      <c r="O252" s="108"/>
      <c r="P252" s="3"/>
      <c r="Q252" s="140"/>
      <c r="R252" s="3"/>
      <c r="S252" s="3"/>
      <c r="T252" s="3"/>
      <c r="U252" s="3"/>
      <c r="V252" s="3"/>
      <c r="W252" s="3"/>
      <c r="X252" s="3"/>
      <c r="Y252" s="3"/>
      <c r="Z252" s="3"/>
      <c r="AA252" s="130"/>
      <c r="AB252" s="130"/>
      <c r="AC252" s="130"/>
      <c r="AD252" s="130"/>
      <c r="AE252" s="130"/>
      <c r="AF252" s="130"/>
      <c r="AG252" s="130"/>
      <c r="AH252" s="130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130"/>
      <c r="AZ252" s="130"/>
      <c r="BA252" s="130"/>
      <c r="BB252" s="130"/>
      <c r="BC252" s="130"/>
      <c r="BD252" s="130"/>
      <c r="BE252" s="130"/>
      <c r="BF252" s="130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130"/>
      <c r="BX252" s="130"/>
      <c r="BY252" s="130"/>
      <c r="BZ252" s="130"/>
      <c r="CA252" s="130"/>
      <c r="CB252" s="130"/>
      <c r="CC252" s="130"/>
      <c r="CD252" s="130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130"/>
      <c r="CV252" s="130"/>
      <c r="CW252" s="130"/>
      <c r="CX252" s="130"/>
      <c r="CY252" s="130"/>
      <c r="CZ252" s="130"/>
      <c r="DA252" s="130"/>
      <c r="DB252" s="130"/>
      <c r="DC252" s="3"/>
      <c r="DD252" s="3"/>
      <c r="DE252" s="3"/>
      <c r="DF252" s="3"/>
      <c r="DG252" s="3"/>
      <c r="DH252" s="3"/>
      <c r="DI252" s="3"/>
      <c r="DJ252" s="3"/>
      <c r="DK252" s="3"/>
      <c r="DL252" s="3"/>
      <c r="DM252" s="3"/>
      <c r="DN252" s="3"/>
      <c r="DO252" s="3"/>
      <c r="DP252" s="3"/>
      <c r="DQ252" s="3"/>
      <c r="DR252" s="3"/>
      <c r="DS252" s="130"/>
      <c r="DT252" s="130"/>
      <c r="DU252" s="130"/>
      <c r="DV252" s="130"/>
      <c r="DW252" s="130"/>
      <c r="DX252" s="130"/>
      <c r="DY252" s="130"/>
      <c r="DZ252" s="130"/>
      <c r="EA252" s="3"/>
      <c r="EB252" s="3"/>
      <c r="EC252" s="3"/>
      <c r="ED252" s="3"/>
      <c r="EE252" s="3"/>
      <c r="EF252" s="3"/>
      <c r="EG252" s="3"/>
      <c r="EH252" s="3"/>
      <c r="EI252" s="3"/>
      <c r="EJ252" s="3"/>
      <c r="EK252" s="3"/>
      <c r="EL252" s="3"/>
      <c r="EM252" s="3"/>
      <c r="EN252" s="3"/>
      <c r="EO252" s="3"/>
      <c r="EP252" s="3"/>
      <c r="EQ252" s="130"/>
      <c r="ER252" s="130"/>
      <c r="ES252" s="130"/>
      <c r="ET252" s="130"/>
      <c r="EU252" s="130"/>
      <c r="EV252" s="130"/>
      <c r="EW252" s="130"/>
      <c r="EX252" s="130"/>
      <c r="EY252" s="3"/>
      <c r="EZ252" s="3"/>
      <c r="FA252" s="3"/>
      <c r="FB252" s="3"/>
      <c r="FC252" s="3"/>
      <c r="FD252" s="3"/>
      <c r="FE252" s="3"/>
      <c r="FF252" s="3"/>
      <c r="FG252" s="3"/>
      <c r="FH252" s="3"/>
      <c r="FI252" s="3"/>
      <c r="FJ252" s="3"/>
      <c r="FK252" s="3"/>
      <c r="FL252" s="3"/>
      <c r="FM252" s="3"/>
      <c r="FN252" s="3"/>
      <c r="FO252" s="130"/>
      <c r="FP252" s="130"/>
      <c r="FQ252" s="130"/>
      <c r="FR252" s="130"/>
      <c r="FS252" s="130"/>
      <c r="FT252" s="130"/>
      <c r="FU252" s="130"/>
      <c r="FV252" s="130"/>
      <c r="FW252" s="3"/>
      <c r="FX252" s="3"/>
      <c r="FY252" s="3"/>
      <c r="FZ252" s="3"/>
      <c r="GA252" s="3"/>
      <c r="GB252" s="3"/>
      <c r="GC252" s="3"/>
      <c r="GD252" s="3"/>
      <c r="GE252" s="3"/>
      <c r="GF252" s="3"/>
      <c r="GG252" s="3"/>
      <c r="GH252" s="3"/>
      <c r="GI252" s="3"/>
      <c r="GJ252" s="3"/>
      <c r="GK252" s="3"/>
      <c r="GL252" s="3"/>
      <c r="GM252" s="130"/>
      <c r="GN252" s="130"/>
      <c r="GO252" s="130"/>
      <c r="GP252" s="130"/>
      <c r="GQ252" s="130"/>
      <c r="GR252" s="130"/>
      <c r="GS252" s="130"/>
      <c r="GT252" s="130"/>
      <c r="GU252" s="3"/>
      <c r="GV252" s="3"/>
      <c r="GW252" s="3"/>
      <c r="GX252" s="3"/>
      <c r="GY252" s="3"/>
      <c r="GZ252" s="3"/>
      <c r="HA252" s="3"/>
      <c r="HB252" s="3"/>
      <c r="HC252" s="3"/>
      <c r="HD252" s="3"/>
      <c r="HE252" s="3"/>
      <c r="HF252" s="3"/>
      <c r="HG252" s="3"/>
      <c r="HH252" s="3"/>
      <c r="HI252" s="3"/>
      <c r="HJ252" s="3"/>
      <c r="HK252" s="130"/>
      <c r="HL252" s="130"/>
      <c r="HM252" s="130"/>
      <c r="HN252" s="130"/>
      <c r="HO252" s="130"/>
      <c r="HP252" s="130"/>
      <c r="HQ252" s="130"/>
      <c r="HR252" s="130"/>
      <c r="HS252" s="3"/>
      <c r="HT252" s="3"/>
      <c r="HU252" s="3"/>
      <c r="HV252" s="3"/>
      <c r="HW252" s="3"/>
      <c r="HX252" s="3"/>
      <c r="HY252" s="3"/>
      <c r="HZ252" s="3"/>
      <c r="IA252" s="3"/>
      <c r="IB252" s="3"/>
      <c r="IC252" s="3"/>
      <c r="ID252" s="3"/>
      <c r="IE252" s="3"/>
      <c r="IF252" s="3"/>
      <c r="IG252" s="3"/>
      <c r="IH252" s="3"/>
      <c r="II252" s="130"/>
      <c r="IJ252" s="130"/>
      <c r="IK252" s="130"/>
      <c r="IL252" s="130"/>
      <c r="IM252" s="130"/>
      <c r="IN252" s="130"/>
      <c r="IO252" s="130"/>
      <c r="IP252" s="130"/>
      <c r="IQ252" s="3"/>
      <c r="IR252" s="3"/>
      <c r="IS252" s="3"/>
      <c r="IT252" s="3"/>
      <c r="IU252" s="3"/>
      <c r="IV252" s="3"/>
    </row>
    <row r="253" spans="1:256" s="125" customFormat="1">
      <c r="A253" s="16">
        <v>37</v>
      </c>
      <c r="B253" s="17">
        <v>43075</v>
      </c>
      <c r="C253" s="18"/>
      <c r="D253" s="19" t="s">
        <v>323</v>
      </c>
      <c r="E253" s="20" t="s">
        <v>339</v>
      </c>
      <c r="F253" s="82" t="s">
        <v>340</v>
      </c>
      <c r="G253" s="63">
        <v>1709</v>
      </c>
      <c r="H253" s="121">
        <v>2368800</v>
      </c>
      <c r="I253" s="24"/>
      <c r="J253" s="24">
        <f t="shared" si="23"/>
        <v>2256000</v>
      </c>
      <c r="K253" s="24">
        <f t="shared" si="19"/>
        <v>2256000</v>
      </c>
      <c r="L253" s="123"/>
      <c r="M253" s="24">
        <f t="shared" si="20"/>
        <v>0</v>
      </c>
      <c r="N253" s="124">
        <f t="shared" si="21"/>
        <v>2256000</v>
      </c>
      <c r="O253" s="107"/>
      <c r="P253" s="3"/>
      <c r="Q253" s="3"/>
      <c r="R253" s="3"/>
      <c r="S253" s="3"/>
      <c r="T253" s="3"/>
      <c r="U253" s="3"/>
      <c r="V253" s="3"/>
      <c r="W253" s="3"/>
      <c r="X253" s="3"/>
      <c r="Y253" s="131"/>
      <c r="Z253" s="15"/>
      <c r="AA253" s="132"/>
      <c r="AB253" s="133"/>
      <c r="AC253" s="134"/>
      <c r="AD253" s="134"/>
      <c r="AE253" s="135"/>
      <c r="AF253" s="136"/>
      <c r="AG253" s="137"/>
      <c r="AH253" s="137"/>
      <c r="AI253" s="3"/>
      <c r="AJ253" s="138"/>
      <c r="AK253" s="2"/>
      <c r="AL253" s="139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131"/>
      <c r="AX253" s="15"/>
      <c r="AY253" s="132"/>
      <c r="AZ253" s="133"/>
      <c r="BA253" s="134"/>
      <c r="BB253" s="134"/>
      <c r="BC253" s="135"/>
      <c r="BD253" s="136"/>
      <c r="BE253" s="137"/>
      <c r="BF253" s="137"/>
      <c r="BG253" s="3"/>
      <c r="BH253" s="138"/>
      <c r="BI253" s="2"/>
      <c r="BJ253" s="139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131"/>
      <c r="BV253" s="15"/>
      <c r="BW253" s="132"/>
      <c r="BX253" s="133"/>
      <c r="BY253" s="134"/>
      <c r="BZ253" s="134"/>
      <c r="CA253" s="135"/>
      <c r="CB253" s="136"/>
      <c r="CC253" s="137"/>
      <c r="CD253" s="137"/>
      <c r="CE253" s="3"/>
      <c r="CF253" s="138"/>
      <c r="CG253" s="2"/>
      <c r="CH253" s="139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131"/>
      <c r="CT253" s="15"/>
      <c r="CU253" s="132"/>
      <c r="CV253" s="133"/>
      <c r="CW253" s="134"/>
      <c r="CX253" s="134"/>
      <c r="CY253" s="135"/>
      <c r="CZ253" s="136"/>
      <c r="DA253" s="137"/>
      <c r="DB253" s="137"/>
      <c r="DC253" s="3"/>
      <c r="DD253" s="138"/>
      <c r="DE253" s="2"/>
      <c r="DF253" s="139"/>
      <c r="DG253" s="3"/>
      <c r="DH253" s="3"/>
      <c r="DI253" s="3"/>
      <c r="DJ253" s="3"/>
      <c r="DK253" s="3"/>
      <c r="DL253" s="3"/>
      <c r="DM253" s="3"/>
      <c r="DN253" s="3"/>
      <c r="DO253" s="3"/>
      <c r="DP253" s="3"/>
      <c r="DQ253" s="131"/>
      <c r="DR253" s="15"/>
      <c r="DS253" s="132"/>
      <c r="DT253" s="133"/>
      <c r="DU253" s="134"/>
      <c r="DV253" s="134"/>
      <c r="DW253" s="135"/>
      <c r="DX253" s="136"/>
      <c r="DY253" s="137"/>
      <c r="DZ253" s="137"/>
      <c r="EA253" s="3"/>
      <c r="EB253" s="138"/>
      <c r="EC253" s="2"/>
      <c r="ED253" s="139"/>
      <c r="EE253" s="3"/>
      <c r="EF253" s="3"/>
      <c r="EG253" s="3"/>
      <c r="EH253" s="3"/>
      <c r="EI253" s="3"/>
      <c r="EJ253" s="3"/>
      <c r="EK253" s="3"/>
      <c r="EL253" s="3"/>
      <c r="EM253" s="3"/>
      <c r="EN253" s="3"/>
      <c r="EO253" s="131"/>
      <c r="EP253" s="15"/>
      <c r="EQ253" s="132"/>
      <c r="ER253" s="133"/>
      <c r="ES253" s="134"/>
      <c r="ET253" s="134"/>
      <c r="EU253" s="135"/>
      <c r="EV253" s="136"/>
      <c r="EW253" s="137"/>
      <c r="EX253" s="137"/>
      <c r="EY253" s="3"/>
      <c r="EZ253" s="138"/>
      <c r="FA253" s="2"/>
      <c r="FB253" s="139"/>
      <c r="FC253" s="3"/>
      <c r="FD253" s="3"/>
      <c r="FE253" s="3"/>
      <c r="FF253" s="3"/>
      <c r="FG253" s="3"/>
      <c r="FH253" s="3"/>
      <c r="FI253" s="3"/>
      <c r="FJ253" s="3"/>
      <c r="FK253" s="3"/>
      <c r="FL253" s="3"/>
      <c r="FM253" s="131"/>
      <c r="FN253" s="15"/>
      <c r="FO253" s="132"/>
      <c r="FP253" s="133"/>
      <c r="FQ253" s="134"/>
      <c r="FR253" s="134"/>
      <c r="FS253" s="135"/>
      <c r="FT253" s="136"/>
      <c r="FU253" s="137"/>
      <c r="FV253" s="137"/>
      <c r="FW253" s="3"/>
      <c r="FX253" s="138"/>
      <c r="FY253" s="2"/>
      <c r="FZ253" s="139"/>
      <c r="GA253" s="3"/>
      <c r="GB253" s="3"/>
      <c r="GC253" s="3"/>
      <c r="GD253" s="3"/>
      <c r="GE253" s="3"/>
      <c r="GF253" s="3"/>
      <c r="GG253" s="3"/>
      <c r="GH253" s="3"/>
      <c r="GI253" s="3"/>
      <c r="GJ253" s="3"/>
      <c r="GK253" s="131"/>
      <c r="GL253" s="15"/>
      <c r="GM253" s="132"/>
      <c r="GN253" s="133"/>
      <c r="GO253" s="134"/>
      <c r="GP253" s="134"/>
      <c r="GQ253" s="135"/>
      <c r="GR253" s="136"/>
      <c r="GS253" s="137"/>
      <c r="GT253" s="137"/>
      <c r="GU253" s="3"/>
      <c r="GV253" s="138"/>
      <c r="GW253" s="2"/>
      <c r="GX253" s="139"/>
      <c r="GY253" s="3"/>
      <c r="GZ253" s="3"/>
      <c r="HA253" s="3"/>
      <c r="HB253" s="3"/>
      <c r="HC253" s="3"/>
      <c r="HD253" s="3"/>
      <c r="HE253" s="3"/>
      <c r="HF253" s="3"/>
      <c r="HG253" s="3"/>
      <c r="HH253" s="3"/>
      <c r="HI253" s="131"/>
      <c r="HJ253" s="15"/>
      <c r="HK253" s="132"/>
      <c r="HL253" s="133"/>
      <c r="HM253" s="134"/>
      <c r="HN253" s="134"/>
      <c r="HO253" s="135"/>
      <c r="HP253" s="136"/>
      <c r="HQ253" s="137"/>
      <c r="HR253" s="137"/>
      <c r="HS253" s="3"/>
      <c r="HT253" s="138"/>
      <c r="HU253" s="2"/>
      <c r="HV253" s="139"/>
      <c r="HW253" s="3"/>
      <c r="HX253" s="3"/>
      <c r="HY253" s="3"/>
      <c r="HZ253" s="3"/>
      <c r="IA253" s="3"/>
      <c r="IB253" s="3"/>
      <c r="IC253" s="3"/>
      <c r="ID253" s="3"/>
      <c r="IE253" s="3"/>
      <c r="IF253" s="3"/>
      <c r="IG253" s="131"/>
      <c r="IH253" s="15"/>
      <c r="II253" s="132"/>
      <c r="IJ253" s="133"/>
      <c r="IK253" s="134"/>
      <c r="IL253" s="134"/>
      <c r="IM253" s="135"/>
      <c r="IN253" s="136"/>
      <c r="IO253" s="137"/>
      <c r="IP253" s="137"/>
      <c r="IQ253" s="3"/>
      <c r="IR253" s="138"/>
      <c r="IS253" s="2"/>
      <c r="IT253" s="139"/>
      <c r="IU253" s="3"/>
      <c r="IV253" s="3"/>
    </row>
    <row r="254" spans="1:256" s="125" customFormat="1">
      <c r="A254" s="16">
        <v>38</v>
      </c>
      <c r="B254" s="29">
        <v>43075</v>
      </c>
      <c r="C254" s="18"/>
      <c r="D254" s="19" t="s">
        <v>323</v>
      </c>
      <c r="E254" s="20" t="s">
        <v>341</v>
      </c>
      <c r="F254" s="168" t="s">
        <v>342</v>
      </c>
      <c r="G254" s="63">
        <v>1707</v>
      </c>
      <c r="H254" s="121">
        <v>2556800</v>
      </c>
      <c r="I254" s="24"/>
      <c r="J254" s="24">
        <f t="shared" si="23"/>
        <v>2435047.6190476189</v>
      </c>
      <c r="K254" s="24">
        <f t="shared" si="19"/>
        <v>2435047.6190476189</v>
      </c>
      <c r="L254" s="123"/>
      <c r="M254" s="24">
        <f t="shared" si="20"/>
        <v>0</v>
      </c>
      <c r="N254" s="124">
        <f t="shared" si="21"/>
        <v>2435047.6190476189</v>
      </c>
      <c r="O254" s="107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130"/>
      <c r="AB254" s="130"/>
      <c r="AC254" s="130"/>
      <c r="AD254" s="130"/>
      <c r="AE254" s="130"/>
      <c r="AF254" s="130"/>
      <c r="AG254" s="130"/>
      <c r="AH254" s="130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130"/>
      <c r="AZ254" s="130"/>
      <c r="BA254" s="130"/>
      <c r="BB254" s="130"/>
      <c r="BC254" s="130"/>
      <c r="BD254" s="130"/>
      <c r="BE254" s="130"/>
      <c r="BF254" s="130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130"/>
      <c r="BX254" s="130"/>
      <c r="BY254" s="130"/>
      <c r="BZ254" s="130"/>
      <c r="CA254" s="130"/>
      <c r="CB254" s="130"/>
      <c r="CC254" s="130"/>
      <c r="CD254" s="130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130"/>
      <c r="CV254" s="130"/>
      <c r="CW254" s="130"/>
      <c r="CX254" s="130"/>
      <c r="CY254" s="130"/>
      <c r="CZ254" s="130"/>
      <c r="DA254" s="130"/>
      <c r="DB254" s="130"/>
      <c r="DC254" s="3"/>
      <c r="DD254" s="3"/>
      <c r="DE254" s="3"/>
      <c r="DF254" s="3"/>
      <c r="DG254" s="3"/>
      <c r="DH254" s="3"/>
      <c r="DI254" s="3"/>
      <c r="DJ254" s="3"/>
      <c r="DK254" s="3"/>
      <c r="DL254" s="3"/>
      <c r="DM254" s="3"/>
      <c r="DN254" s="3"/>
      <c r="DO254" s="3"/>
      <c r="DP254" s="3"/>
      <c r="DQ254" s="3"/>
      <c r="DR254" s="3"/>
      <c r="DS254" s="130"/>
      <c r="DT254" s="130"/>
      <c r="DU254" s="130"/>
      <c r="DV254" s="130"/>
      <c r="DW254" s="130"/>
      <c r="DX254" s="130"/>
      <c r="DY254" s="130"/>
      <c r="DZ254" s="130"/>
      <c r="EA254" s="3"/>
      <c r="EB254" s="3"/>
      <c r="EC254" s="3"/>
      <c r="ED254" s="3"/>
      <c r="EE254" s="3"/>
      <c r="EF254" s="3"/>
      <c r="EG254" s="3"/>
      <c r="EH254" s="3"/>
      <c r="EI254" s="3"/>
      <c r="EJ254" s="3"/>
      <c r="EK254" s="3"/>
      <c r="EL254" s="3"/>
      <c r="EM254" s="3"/>
      <c r="EN254" s="3"/>
      <c r="EO254" s="3"/>
      <c r="EP254" s="3"/>
      <c r="EQ254" s="130"/>
      <c r="ER254" s="130"/>
      <c r="ES254" s="130"/>
      <c r="ET254" s="130"/>
      <c r="EU254" s="130"/>
      <c r="EV254" s="130"/>
      <c r="EW254" s="130"/>
      <c r="EX254" s="130"/>
      <c r="EY254" s="3"/>
      <c r="EZ254" s="3"/>
      <c r="FA254" s="3"/>
      <c r="FB254" s="3"/>
      <c r="FC254" s="3"/>
      <c r="FD254" s="3"/>
      <c r="FE254" s="3"/>
      <c r="FF254" s="3"/>
      <c r="FG254" s="3"/>
      <c r="FH254" s="3"/>
      <c r="FI254" s="3"/>
      <c r="FJ254" s="3"/>
      <c r="FK254" s="3"/>
      <c r="FL254" s="3"/>
      <c r="FM254" s="3"/>
      <c r="FN254" s="3"/>
      <c r="FO254" s="130"/>
      <c r="FP254" s="130"/>
      <c r="FQ254" s="130"/>
      <c r="FR254" s="130"/>
      <c r="FS254" s="130"/>
      <c r="FT254" s="130"/>
      <c r="FU254" s="130"/>
      <c r="FV254" s="130"/>
      <c r="FW254" s="3"/>
      <c r="FX254" s="3"/>
      <c r="FY254" s="3"/>
      <c r="FZ254" s="3"/>
      <c r="GA254" s="3"/>
      <c r="GB254" s="3"/>
      <c r="GC254" s="3"/>
      <c r="GD254" s="3"/>
      <c r="GE254" s="3"/>
      <c r="GF254" s="3"/>
      <c r="GG254" s="3"/>
      <c r="GH254" s="3"/>
      <c r="GI254" s="3"/>
      <c r="GJ254" s="3"/>
      <c r="GK254" s="3"/>
      <c r="GL254" s="3"/>
      <c r="GM254" s="130"/>
      <c r="GN254" s="130"/>
      <c r="GO254" s="130"/>
      <c r="GP254" s="130"/>
      <c r="GQ254" s="130"/>
      <c r="GR254" s="130"/>
      <c r="GS254" s="130"/>
      <c r="GT254" s="130"/>
      <c r="GU254" s="3"/>
      <c r="GV254" s="3"/>
      <c r="GW254" s="3"/>
      <c r="GX254" s="3"/>
      <c r="GY254" s="3"/>
      <c r="GZ254" s="3"/>
      <c r="HA254" s="3"/>
      <c r="HB254" s="3"/>
      <c r="HC254" s="3"/>
      <c r="HD254" s="3"/>
      <c r="HE254" s="3"/>
      <c r="HF254" s="3"/>
      <c r="HG254" s="3"/>
      <c r="HH254" s="3"/>
      <c r="HI254" s="3"/>
      <c r="HJ254" s="3"/>
      <c r="HK254" s="130"/>
      <c r="HL254" s="130"/>
      <c r="HM254" s="130"/>
      <c r="HN254" s="130"/>
      <c r="HO254" s="130"/>
      <c r="HP254" s="130"/>
      <c r="HQ254" s="130"/>
      <c r="HR254" s="130"/>
      <c r="HS254" s="3"/>
      <c r="HT254" s="3"/>
      <c r="HU254" s="3"/>
      <c r="HV254" s="3"/>
      <c r="HW254" s="3"/>
      <c r="HX254" s="3"/>
      <c r="HY254" s="3"/>
      <c r="HZ254" s="3"/>
      <c r="IA254" s="3"/>
      <c r="IB254" s="3"/>
      <c r="IC254" s="3"/>
      <c r="ID254" s="3"/>
      <c r="IE254" s="3"/>
      <c r="IF254" s="3"/>
      <c r="IG254" s="3"/>
      <c r="IH254" s="3"/>
      <c r="II254" s="130"/>
      <c r="IJ254" s="130"/>
      <c r="IK254" s="130"/>
      <c r="IL254" s="130"/>
      <c r="IM254" s="130"/>
      <c r="IN254" s="130"/>
      <c r="IO254" s="130"/>
      <c r="IP254" s="130"/>
      <c r="IQ254" s="3"/>
      <c r="IR254" s="3"/>
      <c r="IS254" s="3"/>
      <c r="IT254" s="3"/>
      <c r="IU254" s="3"/>
      <c r="IV254" s="3"/>
    </row>
    <row r="255" spans="1:256" s="125" customFormat="1">
      <c r="A255" s="16">
        <v>39</v>
      </c>
      <c r="B255" s="17">
        <v>43096</v>
      </c>
      <c r="C255" s="18"/>
      <c r="D255" s="19" t="s">
        <v>323</v>
      </c>
      <c r="E255" s="20" t="s">
        <v>341</v>
      </c>
      <c r="F255" s="168" t="s">
        <v>343</v>
      </c>
      <c r="G255" s="63">
        <v>1709</v>
      </c>
      <c r="H255" s="121">
        <v>2556800</v>
      </c>
      <c r="I255" s="24"/>
      <c r="J255" s="24">
        <f t="shared" si="23"/>
        <v>2435047.6190476189</v>
      </c>
      <c r="K255" s="24">
        <f t="shared" si="19"/>
        <v>2435047.6190476189</v>
      </c>
      <c r="L255" s="123"/>
      <c r="M255" s="24">
        <f t="shared" si="20"/>
        <v>0</v>
      </c>
      <c r="N255" s="124">
        <f t="shared" si="21"/>
        <v>2435047.6190476189</v>
      </c>
      <c r="O255" s="108"/>
      <c r="P255" s="169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130"/>
      <c r="AB255" s="130"/>
      <c r="AC255" s="130"/>
      <c r="AD255" s="130"/>
      <c r="AE255" s="130"/>
      <c r="AF255" s="167"/>
      <c r="AG255" s="167"/>
      <c r="AH255" s="167"/>
      <c r="AY255" s="167"/>
      <c r="AZ255" s="167"/>
      <c r="BA255" s="167"/>
      <c r="BB255" s="167"/>
      <c r="BC255" s="167"/>
      <c r="BD255" s="167"/>
      <c r="BE255" s="167"/>
      <c r="BF255" s="167"/>
      <c r="BW255" s="167"/>
      <c r="BX255" s="167"/>
      <c r="BY255" s="167"/>
      <c r="BZ255" s="167"/>
      <c r="CA255" s="167"/>
      <c r="CB255" s="167"/>
      <c r="CC255" s="167"/>
      <c r="CD255" s="167"/>
      <c r="CU255" s="167"/>
      <c r="CV255" s="167"/>
      <c r="CW255" s="167"/>
      <c r="CX255" s="167"/>
      <c r="CY255" s="167"/>
      <c r="CZ255" s="167"/>
      <c r="DA255" s="167"/>
      <c r="DB255" s="167"/>
      <c r="DS255" s="167"/>
      <c r="DT255" s="167"/>
      <c r="DU255" s="167"/>
      <c r="DV255" s="167"/>
      <c r="DW255" s="167"/>
      <c r="DX255" s="167"/>
      <c r="DY255" s="167"/>
      <c r="DZ255" s="167"/>
      <c r="EQ255" s="167"/>
      <c r="ER255" s="167"/>
      <c r="ES255" s="167"/>
      <c r="ET255" s="167"/>
      <c r="EU255" s="167"/>
      <c r="EV255" s="167"/>
      <c r="EW255" s="167"/>
      <c r="EX255" s="167"/>
      <c r="FO255" s="167"/>
      <c r="FP255" s="167"/>
      <c r="FQ255" s="167"/>
      <c r="FR255" s="167"/>
      <c r="FS255" s="167"/>
      <c r="FT255" s="167"/>
      <c r="FU255" s="167"/>
      <c r="FV255" s="167"/>
      <c r="GM255" s="167"/>
      <c r="GN255" s="167"/>
      <c r="GO255" s="167"/>
      <c r="GP255" s="167"/>
      <c r="GQ255" s="167"/>
      <c r="GR255" s="167"/>
      <c r="GS255" s="167"/>
      <c r="GT255" s="167"/>
      <c r="HK255" s="167"/>
      <c r="HL255" s="167"/>
      <c r="HM255" s="167"/>
      <c r="HN255" s="167"/>
      <c r="HO255" s="167"/>
      <c r="HP255" s="167"/>
      <c r="HQ255" s="167"/>
      <c r="HR255" s="167"/>
      <c r="II255" s="167"/>
      <c r="IJ255" s="167"/>
      <c r="IK255" s="167"/>
      <c r="IL255" s="167"/>
      <c r="IM255" s="167"/>
      <c r="IN255" s="167"/>
      <c r="IO255" s="167"/>
      <c r="IP255" s="167"/>
    </row>
    <row r="256" spans="1:256" s="125" customFormat="1">
      <c r="A256" s="16">
        <v>40</v>
      </c>
      <c r="B256" s="29">
        <v>43049</v>
      </c>
      <c r="C256" s="18"/>
      <c r="D256" s="19" t="s">
        <v>323</v>
      </c>
      <c r="E256" s="20" t="s">
        <v>344</v>
      </c>
      <c r="F256" s="62" t="s">
        <v>345</v>
      </c>
      <c r="G256" s="63">
        <v>1708</v>
      </c>
      <c r="H256" s="121">
        <f>90000+2501700</f>
        <v>2591700</v>
      </c>
      <c r="I256" s="24">
        <v>2468286</v>
      </c>
      <c r="J256" s="24"/>
      <c r="K256" s="24">
        <f t="shared" si="19"/>
        <v>2468286</v>
      </c>
      <c r="L256" s="123"/>
      <c r="M256" s="24">
        <f t="shared" si="20"/>
        <v>0</v>
      </c>
      <c r="N256" s="124">
        <f t="shared" si="21"/>
        <v>2468286</v>
      </c>
      <c r="O256" s="107"/>
      <c r="P256" s="3"/>
      <c r="Q256" s="140"/>
      <c r="R256" s="3"/>
      <c r="S256" s="3"/>
      <c r="T256" s="3"/>
      <c r="U256" s="3"/>
      <c r="V256" s="3"/>
      <c r="W256" s="3"/>
      <c r="X256" s="3"/>
      <c r="Y256" s="131"/>
      <c r="Z256" s="15"/>
      <c r="AA256" s="99"/>
      <c r="AB256" s="149"/>
      <c r="AC256" s="134"/>
      <c r="AD256" s="134"/>
      <c r="AE256" s="137"/>
      <c r="AF256" s="193"/>
      <c r="AG256" s="183"/>
      <c r="AH256" s="183"/>
      <c r="AJ256" s="184"/>
      <c r="AK256" s="185"/>
      <c r="AL256" s="186"/>
      <c r="AW256" s="187"/>
      <c r="AX256" s="188"/>
      <c r="AY256" s="194"/>
      <c r="AZ256" s="195"/>
      <c r="BA256" s="191"/>
      <c r="BB256" s="191"/>
      <c r="BC256" s="183"/>
      <c r="BD256" s="193"/>
      <c r="BE256" s="183"/>
      <c r="BF256" s="183"/>
      <c r="BH256" s="184"/>
      <c r="BI256" s="185"/>
      <c r="BJ256" s="186"/>
      <c r="BU256" s="187"/>
      <c r="BV256" s="188"/>
      <c r="BW256" s="194"/>
      <c r="BX256" s="195"/>
      <c r="BY256" s="191"/>
      <c r="BZ256" s="191"/>
      <c r="CA256" s="183"/>
      <c r="CB256" s="193"/>
      <c r="CC256" s="183"/>
      <c r="CD256" s="183"/>
      <c r="CF256" s="184"/>
      <c r="CG256" s="185"/>
      <c r="CH256" s="186"/>
      <c r="CS256" s="187"/>
      <c r="CT256" s="188"/>
      <c r="CU256" s="194"/>
      <c r="CV256" s="195"/>
      <c r="CW256" s="191"/>
      <c r="CX256" s="191"/>
      <c r="CY256" s="183"/>
      <c r="CZ256" s="193"/>
      <c r="DA256" s="183"/>
      <c r="DB256" s="183"/>
      <c r="DD256" s="184"/>
      <c r="DE256" s="185"/>
      <c r="DF256" s="186"/>
      <c r="DQ256" s="187"/>
      <c r="DR256" s="188"/>
      <c r="DS256" s="194"/>
      <c r="DT256" s="195"/>
      <c r="DU256" s="191"/>
      <c r="DV256" s="191"/>
      <c r="DW256" s="183"/>
      <c r="DX256" s="193"/>
      <c r="DY256" s="183"/>
      <c r="DZ256" s="183"/>
      <c r="EB256" s="184"/>
      <c r="EC256" s="185"/>
      <c r="ED256" s="186"/>
      <c r="EO256" s="187"/>
      <c r="EP256" s="188"/>
      <c r="EQ256" s="194"/>
      <c r="ER256" s="195"/>
      <c r="ES256" s="191"/>
      <c r="ET256" s="191"/>
      <c r="EU256" s="183"/>
      <c r="EV256" s="193"/>
      <c r="EW256" s="183"/>
      <c r="EX256" s="183"/>
      <c r="EZ256" s="184"/>
      <c r="FA256" s="185"/>
      <c r="FB256" s="186"/>
      <c r="FM256" s="187"/>
      <c r="FN256" s="188"/>
      <c r="FO256" s="194"/>
      <c r="FP256" s="195"/>
      <c r="FQ256" s="191"/>
      <c r="FR256" s="191"/>
      <c r="FS256" s="183"/>
      <c r="FT256" s="193"/>
      <c r="FU256" s="183"/>
      <c r="FV256" s="183"/>
      <c r="FX256" s="184"/>
      <c r="FY256" s="185"/>
      <c r="FZ256" s="186"/>
      <c r="GK256" s="187"/>
      <c r="GL256" s="188"/>
      <c r="GM256" s="194"/>
      <c r="GN256" s="195"/>
      <c r="GO256" s="191"/>
      <c r="GP256" s="191"/>
      <c r="GQ256" s="183"/>
      <c r="GR256" s="193"/>
      <c r="GS256" s="183"/>
      <c r="GT256" s="183"/>
      <c r="GV256" s="184"/>
      <c r="GW256" s="185"/>
      <c r="GX256" s="186"/>
      <c r="HI256" s="187"/>
      <c r="HJ256" s="188"/>
      <c r="HK256" s="194"/>
      <c r="HL256" s="195"/>
      <c r="HM256" s="191"/>
      <c r="HN256" s="191"/>
      <c r="HO256" s="183"/>
      <c r="HP256" s="193"/>
      <c r="HQ256" s="183"/>
      <c r="HR256" s="183"/>
      <c r="HT256" s="184"/>
      <c r="HU256" s="185"/>
      <c r="HV256" s="186"/>
      <c r="IG256" s="187"/>
      <c r="IH256" s="188"/>
      <c r="II256" s="194"/>
      <c r="IJ256" s="195"/>
      <c r="IK256" s="191"/>
      <c r="IL256" s="191"/>
      <c r="IM256" s="183"/>
      <c r="IN256" s="193"/>
      <c r="IO256" s="183"/>
      <c r="IP256" s="183"/>
      <c r="IR256" s="184"/>
      <c r="IS256" s="185"/>
      <c r="IT256" s="186"/>
    </row>
    <row r="257" spans="1:256" s="125" customFormat="1">
      <c r="A257" s="16">
        <v>41</v>
      </c>
      <c r="B257" s="29">
        <v>42821</v>
      </c>
      <c r="C257" s="18"/>
      <c r="D257" s="19">
        <v>5</v>
      </c>
      <c r="E257" s="20" t="s">
        <v>346</v>
      </c>
      <c r="F257" s="82" t="s">
        <v>347</v>
      </c>
      <c r="G257" s="58">
        <v>1701</v>
      </c>
      <c r="H257" s="121">
        <f>71100</f>
        <v>71100</v>
      </c>
      <c r="I257" s="24">
        <v>3333905</v>
      </c>
      <c r="J257" s="24"/>
      <c r="K257" s="24">
        <f t="shared" si="19"/>
        <v>3333905</v>
      </c>
      <c r="L257" s="123"/>
      <c r="M257" s="24">
        <f t="shared" si="20"/>
        <v>0</v>
      </c>
      <c r="N257" s="124">
        <f t="shared" si="21"/>
        <v>3333905</v>
      </c>
      <c r="O257" s="108"/>
      <c r="P257" s="3"/>
      <c r="Q257" s="140"/>
      <c r="R257" s="3"/>
      <c r="S257" s="3"/>
      <c r="T257" s="3"/>
      <c r="U257" s="3"/>
      <c r="V257" s="3"/>
      <c r="W257" s="3"/>
      <c r="X257" s="3"/>
      <c r="Y257" s="3"/>
      <c r="Z257" s="3"/>
      <c r="AA257" s="130"/>
      <c r="AB257" s="130"/>
      <c r="AC257" s="130"/>
      <c r="AD257" s="130"/>
      <c r="AE257" s="130"/>
      <c r="AF257" s="167"/>
      <c r="AG257" s="167"/>
      <c r="AH257" s="167"/>
      <c r="AY257" s="167"/>
      <c r="AZ257" s="167"/>
      <c r="BA257" s="167"/>
      <c r="BB257" s="167"/>
      <c r="BC257" s="167"/>
      <c r="BD257" s="167"/>
      <c r="BE257" s="167"/>
      <c r="BF257" s="167"/>
      <c r="BW257" s="167"/>
      <c r="BX257" s="167"/>
      <c r="BY257" s="167"/>
      <c r="BZ257" s="167"/>
      <c r="CA257" s="167"/>
      <c r="CB257" s="167"/>
      <c r="CC257" s="167"/>
      <c r="CD257" s="167"/>
      <c r="CU257" s="167"/>
      <c r="CV257" s="167"/>
      <c r="CW257" s="167"/>
      <c r="CX257" s="167"/>
      <c r="CY257" s="167"/>
      <c r="CZ257" s="167"/>
      <c r="DA257" s="167"/>
      <c r="DB257" s="167"/>
      <c r="DS257" s="167"/>
      <c r="DT257" s="167"/>
      <c r="DU257" s="167"/>
      <c r="DV257" s="167"/>
      <c r="DW257" s="167"/>
      <c r="DX257" s="167"/>
      <c r="DY257" s="167"/>
      <c r="DZ257" s="167"/>
      <c r="EQ257" s="167"/>
      <c r="ER257" s="167"/>
      <c r="ES257" s="167"/>
      <c r="ET257" s="167"/>
      <c r="EU257" s="167"/>
      <c r="EV257" s="167"/>
      <c r="EW257" s="167"/>
      <c r="EX257" s="167"/>
      <c r="FO257" s="167"/>
      <c r="FP257" s="167"/>
      <c r="FQ257" s="167"/>
      <c r="FR257" s="167"/>
      <c r="FS257" s="167"/>
      <c r="FT257" s="167"/>
      <c r="FU257" s="167"/>
      <c r="FV257" s="167"/>
      <c r="GM257" s="167"/>
      <c r="GN257" s="167"/>
      <c r="GO257" s="167"/>
      <c r="GP257" s="167"/>
      <c r="GQ257" s="167"/>
      <c r="GR257" s="167"/>
      <c r="GS257" s="167"/>
      <c r="GT257" s="167"/>
      <c r="HK257" s="167"/>
      <c r="HL257" s="167"/>
      <c r="HM257" s="167"/>
      <c r="HN257" s="167"/>
      <c r="HO257" s="167"/>
      <c r="HP257" s="167"/>
      <c r="HQ257" s="167"/>
      <c r="HR257" s="167"/>
      <c r="II257" s="167"/>
      <c r="IJ257" s="167"/>
      <c r="IK257" s="167"/>
      <c r="IL257" s="167"/>
      <c r="IM257" s="167"/>
      <c r="IN257" s="167"/>
      <c r="IO257" s="167"/>
      <c r="IP257" s="167"/>
    </row>
    <row r="258" spans="1:256" s="125" customFormat="1">
      <c r="A258" s="16">
        <v>42</v>
      </c>
      <c r="B258" s="29">
        <v>43052</v>
      </c>
      <c r="C258" s="18"/>
      <c r="D258" s="19" t="s">
        <v>323</v>
      </c>
      <c r="E258" s="20" t="s">
        <v>348</v>
      </c>
      <c r="F258" s="57" t="s">
        <v>349</v>
      </c>
      <c r="G258" s="58">
        <v>1705</v>
      </c>
      <c r="H258" s="121">
        <v>2820000</v>
      </c>
      <c r="I258" s="24">
        <v>2685714</v>
      </c>
      <c r="J258" s="24"/>
      <c r="K258" s="24">
        <f t="shared" si="19"/>
        <v>2685714</v>
      </c>
      <c r="L258" s="123"/>
      <c r="M258" s="24">
        <f t="shared" si="20"/>
        <v>0</v>
      </c>
      <c r="N258" s="124">
        <f t="shared" si="21"/>
        <v>2685714</v>
      </c>
      <c r="O258" s="107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130"/>
      <c r="AB258" s="130"/>
      <c r="AC258" s="130"/>
      <c r="AD258" s="130"/>
      <c r="AE258" s="130"/>
      <c r="AF258" s="130"/>
      <c r="AG258" s="130"/>
      <c r="AH258" s="130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130"/>
      <c r="AZ258" s="130"/>
      <c r="BA258" s="130"/>
      <c r="BB258" s="130"/>
      <c r="BC258" s="130"/>
      <c r="BD258" s="130"/>
      <c r="BE258" s="130"/>
      <c r="BF258" s="130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130"/>
      <c r="BX258" s="130"/>
      <c r="BY258" s="130"/>
      <c r="BZ258" s="130"/>
      <c r="CA258" s="130"/>
      <c r="CB258" s="130"/>
      <c r="CC258" s="130"/>
      <c r="CD258" s="130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130"/>
      <c r="CV258" s="130"/>
      <c r="CW258" s="130"/>
      <c r="CX258" s="130"/>
      <c r="CY258" s="130"/>
      <c r="CZ258" s="130"/>
      <c r="DA258" s="130"/>
      <c r="DB258" s="130"/>
      <c r="DC258" s="3"/>
      <c r="DD258" s="3"/>
      <c r="DE258" s="3"/>
      <c r="DF258" s="3"/>
      <c r="DG258" s="3"/>
      <c r="DH258" s="3"/>
      <c r="DI258" s="3"/>
      <c r="DJ258" s="3"/>
      <c r="DK258" s="3"/>
      <c r="DL258" s="3"/>
      <c r="DM258" s="3"/>
      <c r="DN258" s="3"/>
      <c r="DO258" s="3"/>
      <c r="DP258" s="3"/>
      <c r="DQ258" s="3"/>
      <c r="DR258" s="3"/>
      <c r="DS258" s="130"/>
      <c r="DT258" s="130"/>
      <c r="DU258" s="130"/>
      <c r="DV258" s="130"/>
      <c r="DW258" s="130"/>
      <c r="DX258" s="130"/>
      <c r="DY258" s="130"/>
      <c r="DZ258" s="130"/>
      <c r="EA258" s="3"/>
      <c r="EB258" s="3"/>
      <c r="EC258" s="3"/>
      <c r="ED258" s="3"/>
      <c r="EE258" s="3"/>
      <c r="EF258" s="3"/>
      <c r="EG258" s="3"/>
      <c r="EH258" s="3"/>
      <c r="EI258" s="3"/>
      <c r="EJ258" s="3"/>
      <c r="EK258" s="3"/>
      <c r="EL258" s="3"/>
      <c r="EM258" s="3"/>
      <c r="EN258" s="3"/>
      <c r="EO258" s="3"/>
      <c r="EP258" s="3"/>
      <c r="EQ258" s="130"/>
      <c r="ER258" s="130"/>
      <c r="ES258" s="130"/>
      <c r="ET258" s="130"/>
      <c r="EU258" s="130"/>
      <c r="EV258" s="130"/>
      <c r="EW258" s="130"/>
      <c r="EX258" s="130"/>
      <c r="EY258" s="3"/>
      <c r="EZ258" s="3"/>
      <c r="FA258" s="3"/>
      <c r="FB258" s="3"/>
      <c r="FC258" s="3"/>
      <c r="FD258" s="3"/>
      <c r="FE258" s="3"/>
      <c r="FF258" s="3"/>
      <c r="FG258" s="3"/>
      <c r="FH258" s="3"/>
      <c r="FI258" s="3"/>
      <c r="FJ258" s="3"/>
      <c r="FK258" s="3"/>
      <c r="FL258" s="3"/>
      <c r="FM258" s="3"/>
      <c r="FN258" s="3"/>
      <c r="FO258" s="130"/>
      <c r="FP258" s="130"/>
      <c r="FQ258" s="130"/>
      <c r="FR258" s="130"/>
      <c r="FS258" s="130"/>
      <c r="FT258" s="130"/>
      <c r="FU258" s="130"/>
      <c r="FV258" s="130"/>
      <c r="FW258" s="3"/>
      <c r="FX258" s="3"/>
      <c r="FY258" s="3"/>
      <c r="FZ258" s="3"/>
      <c r="GA258" s="3"/>
      <c r="GB258" s="3"/>
      <c r="GC258" s="3"/>
      <c r="GD258" s="3"/>
      <c r="GE258" s="3"/>
      <c r="GF258" s="3"/>
      <c r="GG258" s="3"/>
      <c r="GH258" s="3"/>
      <c r="GI258" s="3"/>
      <c r="GJ258" s="3"/>
      <c r="GK258" s="3"/>
      <c r="GL258" s="3"/>
      <c r="GM258" s="130"/>
      <c r="GN258" s="130"/>
      <c r="GO258" s="130"/>
      <c r="GP258" s="130"/>
      <c r="GQ258" s="130"/>
      <c r="GR258" s="130"/>
      <c r="GS258" s="130"/>
      <c r="GT258" s="130"/>
      <c r="GU258" s="3"/>
      <c r="GV258" s="3"/>
      <c r="GW258" s="3"/>
      <c r="GX258" s="3"/>
      <c r="GY258" s="3"/>
      <c r="GZ258" s="3"/>
      <c r="HA258" s="3"/>
      <c r="HB258" s="3"/>
      <c r="HC258" s="3"/>
      <c r="HD258" s="3"/>
      <c r="HE258" s="3"/>
      <c r="HF258" s="3"/>
      <c r="HG258" s="3"/>
      <c r="HH258" s="3"/>
      <c r="HI258" s="3"/>
      <c r="HJ258" s="3"/>
      <c r="HK258" s="130"/>
      <c r="HL258" s="130"/>
      <c r="HM258" s="130"/>
      <c r="HN258" s="130"/>
      <c r="HO258" s="130"/>
      <c r="HP258" s="130"/>
      <c r="HQ258" s="130"/>
      <c r="HR258" s="130"/>
      <c r="HS258" s="3"/>
      <c r="HT258" s="3"/>
      <c r="HU258" s="3"/>
      <c r="HV258" s="3"/>
      <c r="HW258" s="3"/>
      <c r="HX258" s="3"/>
      <c r="HY258" s="3"/>
      <c r="HZ258" s="3"/>
      <c r="IA258" s="3"/>
      <c r="IB258" s="3"/>
      <c r="IC258" s="3"/>
      <c r="ID258" s="3"/>
      <c r="IE258" s="3"/>
      <c r="IF258" s="3"/>
      <c r="IG258" s="3"/>
      <c r="IH258" s="3"/>
      <c r="II258" s="130"/>
      <c r="IJ258" s="130"/>
      <c r="IK258" s="130"/>
      <c r="IL258" s="130"/>
      <c r="IM258" s="130"/>
      <c r="IN258" s="130"/>
      <c r="IO258" s="130"/>
      <c r="IP258" s="130"/>
      <c r="IQ258" s="3"/>
      <c r="IR258" s="3"/>
      <c r="IS258" s="3"/>
      <c r="IT258" s="3"/>
      <c r="IU258" s="3"/>
      <c r="IV258" s="3"/>
    </row>
    <row r="259" spans="1:256" s="125" customFormat="1">
      <c r="A259" s="16">
        <v>43</v>
      </c>
      <c r="B259" s="17">
        <v>43077</v>
      </c>
      <c r="C259" s="18"/>
      <c r="D259" s="19" t="s">
        <v>323</v>
      </c>
      <c r="E259" s="20" t="s">
        <v>348</v>
      </c>
      <c r="F259" s="120" t="s">
        <v>350</v>
      </c>
      <c r="G259" s="63">
        <v>1708</v>
      </c>
      <c r="H259" s="121">
        <v>2876400</v>
      </c>
      <c r="I259" s="24"/>
      <c r="J259" s="24">
        <f t="shared" ref="J259:J270" si="24">SUM(H259)/1.05</f>
        <v>2739428.5714285714</v>
      </c>
      <c r="K259" s="24">
        <f t="shared" si="19"/>
        <v>2739428.5714285714</v>
      </c>
      <c r="L259" s="123"/>
      <c r="M259" s="24">
        <f t="shared" si="20"/>
        <v>0</v>
      </c>
      <c r="N259" s="124">
        <f t="shared" si="21"/>
        <v>2739428.5714285714</v>
      </c>
      <c r="O259" s="107"/>
      <c r="P259" s="3"/>
      <c r="Q259" s="3"/>
      <c r="R259" s="3"/>
      <c r="S259" s="3"/>
      <c r="T259" s="3"/>
      <c r="U259" s="3"/>
      <c r="V259" s="3"/>
      <c r="W259" s="3"/>
      <c r="X259" s="3"/>
      <c r="Y259" s="131"/>
      <c r="Z259" s="15"/>
      <c r="AA259" s="132"/>
      <c r="AB259" s="133"/>
      <c r="AC259" s="134"/>
      <c r="AD259" s="134"/>
      <c r="AE259" s="135"/>
      <c r="AF259" s="136"/>
      <c r="AG259" s="137"/>
      <c r="AH259" s="137"/>
      <c r="AI259" s="3"/>
      <c r="AJ259" s="138"/>
      <c r="AK259" s="2"/>
      <c r="AL259" s="139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131"/>
      <c r="AX259" s="15"/>
      <c r="AY259" s="132"/>
      <c r="AZ259" s="133"/>
      <c r="BA259" s="134"/>
      <c r="BB259" s="134"/>
      <c r="BC259" s="135"/>
      <c r="BD259" s="136"/>
      <c r="BE259" s="137"/>
      <c r="BF259" s="137"/>
      <c r="BG259" s="3"/>
      <c r="BH259" s="138"/>
      <c r="BI259" s="2"/>
      <c r="BJ259" s="139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131"/>
      <c r="BV259" s="15"/>
      <c r="BW259" s="132"/>
      <c r="BX259" s="133"/>
      <c r="BY259" s="134"/>
      <c r="BZ259" s="134"/>
      <c r="CA259" s="135"/>
      <c r="CB259" s="136"/>
      <c r="CC259" s="137"/>
      <c r="CD259" s="137"/>
      <c r="CE259" s="3"/>
      <c r="CF259" s="138"/>
      <c r="CG259" s="2"/>
      <c r="CH259" s="139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131"/>
      <c r="CT259" s="15"/>
      <c r="CU259" s="132"/>
      <c r="CV259" s="133"/>
      <c r="CW259" s="134"/>
      <c r="CX259" s="134"/>
      <c r="CY259" s="135"/>
      <c r="CZ259" s="136"/>
      <c r="DA259" s="137"/>
      <c r="DB259" s="137"/>
      <c r="DC259" s="3"/>
      <c r="DD259" s="138"/>
      <c r="DE259" s="2"/>
      <c r="DF259" s="139"/>
      <c r="DG259" s="3"/>
      <c r="DH259" s="3"/>
      <c r="DI259" s="3"/>
      <c r="DJ259" s="3"/>
      <c r="DK259" s="3"/>
      <c r="DL259" s="3"/>
      <c r="DM259" s="3"/>
      <c r="DN259" s="3"/>
      <c r="DO259" s="3"/>
      <c r="DP259" s="3"/>
      <c r="DQ259" s="131"/>
      <c r="DR259" s="15"/>
      <c r="DS259" s="132"/>
      <c r="DT259" s="133"/>
      <c r="DU259" s="134"/>
      <c r="DV259" s="134"/>
      <c r="DW259" s="135"/>
      <c r="DX259" s="136"/>
      <c r="DY259" s="137"/>
      <c r="DZ259" s="137"/>
      <c r="EA259" s="3"/>
      <c r="EB259" s="138"/>
      <c r="EC259" s="2"/>
      <c r="ED259" s="139"/>
      <c r="EE259" s="3"/>
      <c r="EF259" s="3"/>
      <c r="EG259" s="3"/>
      <c r="EH259" s="3"/>
      <c r="EI259" s="3"/>
      <c r="EJ259" s="3"/>
      <c r="EK259" s="3"/>
      <c r="EL259" s="3"/>
      <c r="EM259" s="3"/>
      <c r="EN259" s="3"/>
      <c r="EO259" s="131"/>
      <c r="EP259" s="15"/>
      <c r="EQ259" s="132"/>
      <c r="ER259" s="133"/>
      <c r="ES259" s="134"/>
      <c r="ET259" s="134"/>
      <c r="EU259" s="135"/>
      <c r="EV259" s="136"/>
      <c r="EW259" s="137"/>
      <c r="EX259" s="137"/>
      <c r="EY259" s="3"/>
      <c r="EZ259" s="138"/>
      <c r="FA259" s="2"/>
      <c r="FB259" s="139"/>
      <c r="FC259" s="3"/>
      <c r="FD259" s="3"/>
      <c r="FE259" s="3"/>
      <c r="FF259" s="3"/>
      <c r="FG259" s="3"/>
      <c r="FH259" s="3"/>
      <c r="FI259" s="3"/>
      <c r="FJ259" s="3"/>
      <c r="FK259" s="3"/>
      <c r="FL259" s="3"/>
      <c r="FM259" s="131"/>
      <c r="FN259" s="15"/>
      <c r="FO259" s="132"/>
      <c r="FP259" s="133"/>
      <c r="FQ259" s="134"/>
      <c r="FR259" s="134"/>
      <c r="FS259" s="135"/>
      <c r="FT259" s="136"/>
      <c r="FU259" s="137"/>
      <c r="FV259" s="137"/>
      <c r="FW259" s="3"/>
      <c r="FX259" s="138"/>
      <c r="FY259" s="2"/>
      <c r="FZ259" s="139"/>
      <c r="GA259" s="3"/>
      <c r="GB259" s="3"/>
      <c r="GC259" s="3"/>
      <c r="GD259" s="3"/>
      <c r="GE259" s="3"/>
      <c r="GF259" s="3"/>
      <c r="GG259" s="3"/>
      <c r="GH259" s="3"/>
      <c r="GI259" s="3"/>
      <c r="GJ259" s="3"/>
      <c r="GK259" s="131"/>
      <c r="GL259" s="15"/>
      <c r="GM259" s="132"/>
      <c r="GN259" s="133"/>
      <c r="GO259" s="134"/>
      <c r="GP259" s="134"/>
      <c r="GQ259" s="135"/>
      <c r="GR259" s="136"/>
      <c r="GS259" s="137"/>
      <c r="GT259" s="137"/>
      <c r="GU259" s="3"/>
      <c r="GV259" s="138"/>
      <c r="GW259" s="2"/>
      <c r="GX259" s="139"/>
      <c r="GY259" s="3"/>
      <c r="GZ259" s="3"/>
      <c r="HA259" s="3"/>
      <c r="HB259" s="3"/>
      <c r="HC259" s="3"/>
      <c r="HD259" s="3"/>
      <c r="HE259" s="3"/>
      <c r="HF259" s="3"/>
      <c r="HG259" s="3"/>
      <c r="HH259" s="3"/>
      <c r="HI259" s="131"/>
      <c r="HJ259" s="15"/>
      <c r="HK259" s="132"/>
      <c r="HL259" s="133"/>
      <c r="HM259" s="134"/>
      <c r="HN259" s="134"/>
      <c r="HO259" s="135"/>
      <c r="HP259" s="136"/>
      <c r="HQ259" s="137"/>
      <c r="HR259" s="137"/>
      <c r="HS259" s="3"/>
      <c r="HT259" s="138"/>
      <c r="HU259" s="2"/>
      <c r="HV259" s="139"/>
      <c r="HW259" s="3"/>
      <c r="HX259" s="3"/>
      <c r="HY259" s="3"/>
      <c r="HZ259" s="3"/>
      <c r="IA259" s="3"/>
      <c r="IB259" s="3"/>
      <c r="IC259" s="3"/>
      <c r="ID259" s="3"/>
      <c r="IE259" s="3"/>
      <c r="IF259" s="3"/>
      <c r="IG259" s="131"/>
      <c r="IH259" s="15"/>
      <c r="II259" s="132"/>
      <c r="IJ259" s="133"/>
      <c r="IK259" s="134"/>
      <c r="IL259" s="134"/>
      <c r="IM259" s="135"/>
      <c r="IN259" s="136"/>
      <c r="IO259" s="137"/>
      <c r="IP259" s="137"/>
      <c r="IQ259" s="3"/>
      <c r="IR259" s="138"/>
      <c r="IS259" s="2"/>
      <c r="IT259" s="139"/>
      <c r="IU259" s="3"/>
      <c r="IV259" s="3"/>
    </row>
    <row r="260" spans="1:256" s="125" customFormat="1">
      <c r="A260" s="16">
        <v>44</v>
      </c>
      <c r="B260" s="17">
        <v>43077</v>
      </c>
      <c r="C260" s="18"/>
      <c r="D260" s="19" t="s">
        <v>323</v>
      </c>
      <c r="E260" s="20" t="s">
        <v>348</v>
      </c>
      <c r="F260" s="62" t="s">
        <v>351</v>
      </c>
      <c r="G260" s="63">
        <v>1708</v>
      </c>
      <c r="H260" s="121">
        <v>2876400</v>
      </c>
      <c r="I260" s="24"/>
      <c r="J260" s="24">
        <f t="shared" si="24"/>
        <v>2739428.5714285714</v>
      </c>
      <c r="K260" s="24">
        <f t="shared" si="19"/>
        <v>2739428.5714285714</v>
      </c>
      <c r="L260" s="123"/>
      <c r="M260" s="24">
        <f t="shared" si="20"/>
        <v>0</v>
      </c>
      <c r="N260" s="124">
        <f t="shared" si="21"/>
        <v>2739428.5714285714</v>
      </c>
      <c r="O260" s="107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130"/>
      <c r="AB260" s="130"/>
      <c r="AC260" s="130"/>
      <c r="AD260" s="130"/>
      <c r="AE260" s="130"/>
      <c r="AF260" s="130"/>
      <c r="AG260" s="130"/>
      <c r="AH260" s="130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130"/>
      <c r="AZ260" s="130"/>
      <c r="BA260" s="130"/>
      <c r="BB260" s="130"/>
      <c r="BC260" s="130"/>
      <c r="BD260" s="130"/>
      <c r="BE260" s="130"/>
      <c r="BF260" s="130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130"/>
      <c r="BX260" s="130"/>
      <c r="BY260" s="130"/>
      <c r="BZ260" s="130"/>
      <c r="CA260" s="130"/>
      <c r="CB260" s="130"/>
      <c r="CC260" s="130"/>
      <c r="CD260" s="130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130"/>
      <c r="CV260" s="130"/>
      <c r="CW260" s="130"/>
      <c r="CX260" s="130"/>
      <c r="CY260" s="130"/>
      <c r="CZ260" s="130"/>
      <c r="DA260" s="130"/>
      <c r="DB260" s="130"/>
      <c r="DC260" s="3"/>
      <c r="DD260" s="3"/>
      <c r="DE260" s="3"/>
      <c r="DF260" s="3"/>
      <c r="DG260" s="3"/>
      <c r="DH260" s="3"/>
      <c r="DI260" s="3"/>
      <c r="DJ260" s="3"/>
      <c r="DK260" s="3"/>
      <c r="DL260" s="3"/>
      <c r="DM260" s="3"/>
      <c r="DN260" s="3"/>
      <c r="DO260" s="3"/>
      <c r="DP260" s="3"/>
      <c r="DQ260" s="3"/>
      <c r="DR260" s="3"/>
      <c r="DS260" s="130"/>
      <c r="DT260" s="130"/>
      <c r="DU260" s="130"/>
      <c r="DV260" s="130"/>
      <c r="DW260" s="130"/>
      <c r="DX260" s="130"/>
      <c r="DY260" s="130"/>
      <c r="DZ260" s="130"/>
      <c r="EA260" s="3"/>
      <c r="EB260" s="3"/>
      <c r="EC260" s="3"/>
      <c r="ED260" s="3"/>
      <c r="EE260" s="3"/>
      <c r="EF260" s="3"/>
      <c r="EG260" s="3"/>
      <c r="EH260" s="3"/>
      <c r="EI260" s="3"/>
      <c r="EJ260" s="3"/>
      <c r="EK260" s="3"/>
      <c r="EL260" s="3"/>
      <c r="EM260" s="3"/>
      <c r="EN260" s="3"/>
      <c r="EO260" s="3"/>
      <c r="EP260" s="3"/>
      <c r="EQ260" s="130"/>
      <c r="ER260" s="130"/>
      <c r="ES260" s="130"/>
      <c r="ET260" s="130"/>
      <c r="EU260" s="130"/>
      <c r="EV260" s="130"/>
      <c r="EW260" s="130"/>
      <c r="EX260" s="130"/>
      <c r="EY260" s="3"/>
      <c r="EZ260" s="3"/>
      <c r="FA260" s="3"/>
      <c r="FB260" s="3"/>
      <c r="FC260" s="3"/>
      <c r="FD260" s="3"/>
      <c r="FE260" s="3"/>
      <c r="FF260" s="3"/>
      <c r="FG260" s="3"/>
      <c r="FH260" s="3"/>
      <c r="FI260" s="3"/>
      <c r="FJ260" s="3"/>
      <c r="FK260" s="3"/>
      <c r="FL260" s="3"/>
      <c r="FM260" s="3"/>
      <c r="FN260" s="3"/>
      <c r="FO260" s="130"/>
      <c r="FP260" s="130"/>
      <c r="FQ260" s="130"/>
      <c r="FR260" s="130"/>
      <c r="FS260" s="130"/>
      <c r="FT260" s="130"/>
      <c r="FU260" s="130"/>
      <c r="FV260" s="130"/>
      <c r="FW260" s="3"/>
      <c r="FX260" s="3"/>
      <c r="FY260" s="3"/>
      <c r="FZ260" s="3"/>
      <c r="GA260" s="3"/>
      <c r="GB260" s="3"/>
      <c r="GC260" s="3"/>
      <c r="GD260" s="3"/>
      <c r="GE260" s="3"/>
      <c r="GF260" s="3"/>
      <c r="GG260" s="3"/>
      <c r="GH260" s="3"/>
      <c r="GI260" s="3"/>
      <c r="GJ260" s="3"/>
      <c r="GK260" s="3"/>
      <c r="GL260" s="3"/>
      <c r="GM260" s="130"/>
      <c r="GN260" s="130"/>
      <c r="GO260" s="130"/>
      <c r="GP260" s="130"/>
      <c r="GQ260" s="130"/>
      <c r="GR260" s="130"/>
      <c r="GS260" s="130"/>
      <c r="GT260" s="130"/>
      <c r="GU260" s="3"/>
      <c r="GV260" s="3"/>
      <c r="GW260" s="3"/>
      <c r="GX260" s="3"/>
      <c r="GY260" s="3"/>
      <c r="GZ260" s="3"/>
      <c r="HA260" s="3"/>
      <c r="HB260" s="3"/>
      <c r="HC260" s="3"/>
      <c r="HD260" s="3"/>
      <c r="HE260" s="3"/>
      <c r="HF260" s="3"/>
      <c r="HG260" s="3"/>
      <c r="HH260" s="3"/>
      <c r="HI260" s="3"/>
      <c r="HJ260" s="3"/>
      <c r="HK260" s="130"/>
      <c r="HL260" s="130"/>
      <c r="HM260" s="130"/>
      <c r="HN260" s="130"/>
      <c r="HO260" s="130"/>
      <c r="HP260" s="130"/>
      <c r="HQ260" s="130"/>
      <c r="HR260" s="130"/>
      <c r="HS260" s="3"/>
      <c r="HT260" s="3"/>
      <c r="HU260" s="3"/>
      <c r="HV260" s="3"/>
      <c r="HW260" s="3"/>
      <c r="HX260" s="3"/>
      <c r="HY260" s="3"/>
      <c r="HZ260" s="3"/>
      <c r="IA260" s="3"/>
      <c r="IB260" s="3"/>
      <c r="IC260" s="3"/>
      <c r="ID260" s="3"/>
      <c r="IE260" s="3"/>
      <c r="IF260" s="3"/>
      <c r="IG260" s="3"/>
      <c r="IH260" s="3"/>
      <c r="II260" s="130"/>
      <c r="IJ260" s="130"/>
      <c r="IK260" s="130"/>
      <c r="IL260" s="130"/>
      <c r="IM260" s="130"/>
      <c r="IN260" s="130"/>
      <c r="IO260" s="130"/>
      <c r="IP260" s="130"/>
      <c r="IQ260" s="3"/>
      <c r="IR260" s="3"/>
      <c r="IS260" s="3"/>
      <c r="IT260" s="3"/>
      <c r="IU260" s="3"/>
      <c r="IV260" s="3"/>
    </row>
    <row r="261" spans="1:256" s="125" customFormat="1">
      <c r="A261" s="16">
        <v>45</v>
      </c>
      <c r="B261" s="29">
        <v>43097</v>
      </c>
      <c r="C261" s="18"/>
      <c r="D261" s="19" t="s">
        <v>323</v>
      </c>
      <c r="E261" s="20" t="s">
        <v>348</v>
      </c>
      <c r="F261" s="62" t="s">
        <v>352</v>
      </c>
      <c r="G261" s="63">
        <v>1711</v>
      </c>
      <c r="H261" s="121">
        <f>295200+2876400</f>
        <v>3171600</v>
      </c>
      <c r="I261" s="24"/>
      <c r="J261" s="24">
        <f t="shared" si="24"/>
        <v>3020571.4285714286</v>
      </c>
      <c r="K261" s="24">
        <f t="shared" si="19"/>
        <v>3020571.4285714286</v>
      </c>
      <c r="L261" s="123"/>
      <c r="M261" s="24">
        <f t="shared" si="20"/>
        <v>0</v>
      </c>
      <c r="N261" s="124">
        <f t="shared" si="21"/>
        <v>3020571.4285714286</v>
      </c>
      <c r="O261" s="87"/>
      <c r="P261" s="3"/>
      <c r="Q261" s="140"/>
      <c r="R261" s="3"/>
      <c r="S261" s="3"/>
      <c r="T261" s="3"/>
      <c r="U261" s="3"/>
      <c r="V261" s="3"/>
      <c r="W261" s="3"/>
      <c r="X261" s="3"/>
      <c r="Y261" s="3"/>
      <c r="Z261" s="3"/>
      <c r="AA261" s="130"/>
      <c r="AB261" s="130"/>
      <c r="AC261" s="130"/>
      <c r="AD261" s="130"/>
      <c r="AE261" s="130"/>
      <c r="AF261" s="167"/>
      <c r="AG261" s="167"/>
      <c r="AH261" s="167"/>
      <c r="AY261" s="167"/>
      <c r="AZ261" s="167"/>
      <c r="BA261" s="167"/>
      <c r="BB261" s="167"/>
      <c r="BC261" s="167"/>
      <c r="BD261" s="167"/>
      <c r="BE261" s="167"/>
      <c r="BF261" s="167"/>
      <c r="BW261" s="167"/>
      <c r="BX261" s="167"/>
      <c r="BY261" s="167"/>
      <c r="BZ261" s="167"/>
      <c r="CA261" s="167"/>
      <c r="CB261" s="167"/>
      <c r="CC261" s="167"/>
      <c r="CD261" s="167"/>
      <c r="CU261" s="167"/>
      <c r="CV261" s="167"/>
      <c r="CW261" s="167"/>
      <c r="CX261" s="167"/>
      <c r="CY261" s="167"/>
      <c r="CZ261" s="167"/>
      <c r="DA261" s="167"/>
      <c r="DB261" s="167"/>
      <c r="DS261" s="167"/>
      <c r="DT261" s="167"/>
      <c r="DU261" s="167"/>
      <c r="DV261" s="167"/>
      <c r="DW261" s="167"/>
      <c r="DX261" s="167"/>
      <c r="DY261" s="167"/>
      <c r="DZ261" s="167"/>
      <c r="EQ261" s="167"/>
      <c r="ER261" s="167"/>
      <c r="ES261" s="167"/>
      <c r="ET261" s="167"/>
      <c r="EU261" s="167"/>
      <c r="EV261" s="167"/>
      <c r="EW261" s="167"/>
      <c r="EX261" s="167"/>
      <c r="FO261" s="167"/>
      <c r="FP261" s="167"/>
      <c r="FQ261" s="167"/>
      <c r="FR261" s="167"/>
      <c r="FS261" s="167"/>
      <c r="FT261" s="167"/>
      <c r="FU261" s="167"/>
      <c r="FV261" s="167"/>
      <c r="GM261" s="167"/>
      <c r="GN261" s="167"/>
      <c r="GO261" s="167"/>
      <c r="GP261" s="167"/>
      <c r="GQ261" s="167"/>
      <c r="GR261" s="167"/>
      <c r="GS261" s="167"/>
      <c r="GT261" s="167"/>
      <c r="HK261" s="167"/>
      <c r="HL261" s="167"/>
      <c r="HM261" s="167"/>
      <c r="HN261" s="167"/>
      <c r="HO261" s="167"/>
      <c r="HP261" s="167"/>
      <c r="HQ261" s="167"/>
      <c r="HR261" s="167"/>
      <c r="II261" s="167"/>
      <c r="IJ261" s="167"/>
      <c r="IK261" s="167"/>
      <c r="IL261" s="167"/>
      <c r="IM261" s="167"/>
      <c r="IN261" s="167"/>
      <c r="IO261" s="167"/>
      <c r="IP261" s="167"/>
    </row>
    <row r="262" spans="1:256" s="125" customFormat="1">
      <c r="A262" s="16">
        <v>46</v>
      </c>
      <c r="B262" s="29">
        <v>43075</v>
      </c>
      <c r="C262" s="18"/>
      <c r="D262" s="19" t="s">
        <v>323</v>
      </c>
      <c r="E262" s="20" t="s">
        <v>353</v>
      </c>
      <c r="F262" s="82" t="s">
        <v>354</v>
      </c>
      <c r="G262" s="58">
        <v>1705</v>
      </c>
      <c r="H262" s="121">
        <v>3000000</v>
      </c>
      <c r="I262" s="24"/>
      <c r="J262" s="24">
        <f t="shared" si="24"/>
        <v>2857142.8571428568</v>
      </c>
      <c r="K262" s="24">
        <f t="shared" si="19"/>
        <v>2857142.8571428568</v>
      </c>
      <c r="L262" s="123"/>
      <c r="M262" s="24">
        <f t="shared" si="20"/>
        <v>0</v>
      </c>
      <c r="N262" s="124">
        <f t="shared" si="21"/>
        <v>2857142.8571428568</v>
      </c>
      <c r="O262" s="107"/>
      <c r="P262" s="3"/>
      <c r="Q262" s="140"/>
      <c r="R262" s="3"/>
      <c r="S262" s="3"/>
      <c r="T262" s="3"/>
      <c r="U262" s="3"/>
      <c r="V262" s="3"/>
      <c r="W262" s="3"/>
      <c r="X262" s="3"/>
      <c r="Y262" s="3"/>
      <c r="Z262" s="3"/>
      <c r="AA262" s="130"/>
      <c r="AB262" s="130"/>
      <c r="AC262" s="130"/>
      <c r="AD262" s="130"/>
      <c r="AE262" s="130"/>
      <c r="AF262" s="167"/>
      <c r="AG262" s="167"/>
      <c r="AH262" s="167"/>
      <c r="AY262" s="167"/>
      <c r="AZ262" s="167"/>
      <c r="BA262" s="167"/>
      <c r="BB262" s="167"/>
      <c r="BC262" s="167"/>
      <c r="BD262" s="167"/>
      <c r="BE262" s="167"/>
      <c r="BF262" s="167"/>
      <c r="BW262" s="167"/>
      <c r="BX262" s="167"/>
      <c r="BY262" s="167"/>
      <c r="BZ262" s="167"/>
      <c r="CA262" s="167"/>
      <c r="CB262" s="167"/>
      <c r="CC262" s="167"/>
      <c r="CD262" s="167"/>
      <c r="CU262" s="167"/>
      <c r="CV262" s="167"/>
      <c r="CW262" s="167"/>
      <c r="CX262" s="167"/>
      <c r="CY262" s="167"/>
      <c r="CZ262" s="167"/>
      <c r="DA262" s="167"/>
      <c r="DB262" s="167"/>
      <c r="DS262" s="167"/>
      <c r="DT262" s="167"/>
      <c r="DU262" s="167"/>
      <c r="DV262" s="167"/>
      <c r="DW262" s="167"/>
      <c r="DX262" s="167"/>
      <c r="DY262" s="167"/>
      <c r="DZ262" s="167"/>
      <c r="EQ262" s="167"/>
      <c r="ER262" s="167"/>
      <c r="ES262" s="167"/>
      <c r="ET262" s="167"/>
      <c r="EU262" s="167"/>
      <c r="EV262" s="167"/>
      <c r="EW262" s="167"/>
      <c r="EX262" s="167"/>
      <c r="FO262" s="167"/>
      <c r="FP262" s="167"/>
      <c r="FQ262" s="167"/>
      <c r="FR262" s="167"/>
      <c r="FS262" s="167"/>
      <c r="FT262" s="167"/>
      <c r="FU262" s="167"/>
      <c r="FV262" s="167"/>
      <c r="GM262" s="167"/>
      <c r="GN262" s="167"/>
      <c r="GO262" s="167"/>
      <c r="GP262" s="167"/>
      <c r="GQ262" s="167"/>
      <c r="GR262" s="167"/>
      <c r="GS262" s="167"/>
      <c r="GT262" s="167"/>
      <c r="HK262" s="167"/>
      <c r="HL262" s="167"/>
      <c r="HM262" s="167"/>
      <c r="HN262" s="167"/>
      <c r="HO262" s="167"/>
      <c r="HP262" s="167"/>
      <c r="HQ262" s="167"/>
      <c r="HR262" s="167"/>
      <c r="II262" s="167"/>
      <c r="IJ262" s="167"/>
      <c r="IK262" s="167"/>
      <c r="IL262" s="167"/>
      <c r="IM262" s="167"/>
      <c r="IN262" s="167"/>
      <c r="IO262" s="167"/>
      <c r="IP262" s="167"/>
    </row>
    <row r="263" spans="1:256" s="125" customFormat="1">
      <c r="A263" s="16">
        <v>47</v>
      </c>
      <c r="B263" s="29">
        <v>43084</v>
      </c>
      <c r="C263" s="18"/>
      <c r="D263" s="19" t="s">
        <v>323</v>
      </c>
      <c r="E263" s="20" t="s">
        <v>353</v>
      </c>
      <c r="F263" s="57" t="s">
        <v>355</v>
      </c>
      <c r="G263" s="63">
        <v>1709</v>
      </c>
      <c r="H263" s="121">
        <v>3055000</v>
      </c>
      <c r="I263" s="24"/>
      <c r="J263" s="24">
        <f t="shared" si="24"/>
        <v>2909523.8095238092</v>
      </c>
      <c r="K263" s="24">
        <f t="shared" si="19"/>
        <v>2909523.8095238092</v>
      </c>
      <c r="L263" s="123"/>
      <c r="M263" s="24">
        <f t="shared" si="20"/>
        <v>0</v>
      </c>
      <c r="N263" s="124">
        <f t="shared" si="21"/>
        <v>2909523.8095238092</v>
      </c>
      <c r="O263" s="85"/>
      <c r="P263" s="3"/>
      <c r="Q263" s="140"/>
      <c r="R263" s="3"/>
      <c r="S263" s="3"/>
      <c r="T263" s="3"/>
      <c r="U263" s="3"/>
      <c r="V263" s="3"/>
      <c r="W263" s="3"/>
      <c r="X263" s="3"/>
      <c r="Y263" s="3"/>
      <c r="Z263" s="3"/>
      <c r="AA263" s="130"/>
      <c r="AB263" s="130"/>
      <c r="AC263" s="130"/>
      <c r="AD263" s="130"/>
      <c r="AE263" s="130"/>
      <c r="AF263" s="167"/>
      <c r="AG263" s="167"/>
      <c r="AH263" s="167"/>
      <c r="AY263" s="167"/>
      <c r="AZ263" s="167"/>
      <c r="BA263" s="167"/>
      <c r="BB263" s="167"/>
      <c r="BC263" s="167"/>
      <c r="BD263" s="167"/>
      <c r="BE263" s="167"/>
      <c r="BF263" s="167"/>
      <c r="BW263" s="167"/>
      <c r="BX263" s="167"/>
      <c r="BY263" s="167"/>
      <c r="BZ263" s="167"/>
      <c r="CA263" s="167"/>
      <c r="CB263" s="167"/>
      <c r="CC263" s="167"/>
      <c r="CD263" s="167"/>
      <c r="CU263" s="167"/>
      <c r="CV263" s="167"/>
      <c r="CW263" s="167"/>
      <c r="CX263" s="167"/>
      <c r="CY263" s="167"/>
      <c r="CZ263" s="167"/>
      <c r="DA263" s="167"/>
      <c r="DB263" s="167"/>
      <c r="DS263" s="167"/>
      <c r="DT263" s="167"/>
      <c r="DU263" s="167"/>
      <c r="DV263" s="167"/>
      <c r="DW263" s="167"/>
      <c r="DX263" s="167"/>
      <c r="DY263" s="167"/>
      <c r="DZ263" s="167"/>
      <c r="EQ263" s="167"/>
      <c r="ER263" s="167"/>
      <c r="ES263" s="167"/>
      <c r="ET263" s="167"/>
      <c r="EU263" s="167"/>
      <c r="EV263" s="167"/>
      <c r="EW263" s="167"/>
      <c r="EX263" s="167"/>
      <c r="FO263" s="167"/>
      <c r="FP263" s="167"/>
      <c r="FQ263" s="167"/>
      <c r="FR263" s="167"/>
      <c r="FS263" s="167"/>
      <c r="FT263" s="167"/>
      <c r="FU263" s="167"/>
      <c r="FV263" s="167"/>
      <c r="GM263" s="167"/>
      <c r="GN263" s="167"/>
      <c r="GO263" s="167"/>
      <c r="GP263" s="167"/>
      <c r="GQ263" s="167"/>
      <c r="GR263" s="167"/>
      <c r="GS263" s="167"/>
      <c r="GT263" s="167"/>
      <c r="HK263" s="167"/>
      <c r="HL263" s="167"/>
      <c r="HM263" s="167"/>
      <c r="HN263" s="167"/>
      <c r="HO263" s="167"/>
      <c r="HP263" s="167"/>
      <c r="HQ263" s="167"/>
      <c r="HR263" s="167"/>
      <c r="II263" s="167"/>
      <c r="IJ263" s="167"/>
      <c r="IK263" s="167"/>
      <c r="IL263" s="167"/>
      <c r="IM263" s="167"/>
      <c r="IN263" s="167"/>
      <c r="IO263" s="167"/>
      <c r="IP263" s="167"/>
    </row>
    <row r="264" spans="1:256" s="125" customFormat="1">
      <c r="A264" s="16">
        <v>48</v>
      </c>
      <c r="B264" s="17">
        <v>43094</v>
      </c>
      <c r="C264" s="18"/>
      <c r="D264" s="19" t="s">
        <v>323</v>
      </c>
      <c r="E264" s="20" t="s">
        <v>353</v>
      </c>
      <c r="F264" s="168" t="s">
        <v>356</v>
      </c>
      <c r="G264" s="63">
        <v>1709</v>
      </c>
      <c r="H264" s="121">
        <v>3055000</v>
      </c>
      <c r="I264" s="24"/>
      <c r="J264" s="24">
        <f t="shared" si="24"/>
        <v>2909523.8095238092</v>
      </c>
      <c r="K264" s="24">
        <f t="shared" si="19"/>
        <v>2909523.8095238092</v>
      </c>
      <c r="L264" s="123"/>
      <c r="M264" s="24">
        <f t="shared" si="20"/>
        <v>0</v>
      </c>
      <c r="N264" s="124">
        <f t="shared" si="21"/>
        <v>2909523.8095238092</v>
      </c>
      <c r="O264" s="108"/>
      <c r="P264" s="3"/>
      <c r="Q264" s="140"/>
      <c r="R264" s="3"/>
      <c r="S264" s="3"/>
      <c r="T264" s="3"/>
      <c r="U264" s="3"/>
      <c r="V264" s="3"/>
      <c r="W264" s="3"/>
      <c r="X264" s="3"/>
      <c r="Y264" s="3"/>
      <c r="Z264" s="3"/>
      <c r="AA264" s="130"/>
      <c r="AB264" s="130"/>
      <c r="AC264" s="130"/>
      <c r="AD264" s="130"/>
      <c r="AE264" s="130"/>
      <c r="AF264" s="130"/>
      <c r="AG264" s="130"/>
      <c r="AH264" s="130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130"/>
      <c r="AZ264" s="130"/>
      <c r="BA264" s="130"/>
      <c r="BB264" s="130"/>
      <c r="BC264" s="130"/>
      <c r="BD264" s="130"/>
      <c r="BE264" s="130"/>
      <c r="BF264" s="130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130"/>
      <c r="BX264" s="130"/>
      <c r="BY264" s="130"/>
      <c r="BZ264" s="130"/>
      <c r="CA264" s="130"/>
      <c r="CB264" s="130"/>
      <c r="CC264" s="130"/>
      <c r="CD264" s="130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130"/>
      <c r="CV264" s="130"/>
      <c r="CW264" s="130"/>
      <c r="CX264" s="130"/>
      <c r="CY264" s="130"/>
      <c r="CZ264" s="130"/>
      <c r="DA264" s="130"/>
      <c r="DB264" s="130"/>
      <c r="DC264" s="3"/>
      <c r="DD264" s="3"/>
      <c r="DE264" s="3"/>
      <c r="DF264" s="3"/>
      <c r="DG264" s="3"/>
      <c r="DH264" s="3"/>
      <c r="DI264" s="3"/>
      <c r="DJ264" s="3"/>
      <c r="DK264" s="3"/>
      <c r="DL264" s="3"/>
      <c r="DM264" s="3"/>
      <c r="DN264" s="3"/>
      <c r="DO264" s="3"/>
      <c r="DP264" s="3"/>
      <c r="DQ264" s="3"/>
      <c r="DR264" s="3"/>
      <c r="DS264" s="130"/>
      <c r="DT264" s="130"/>
      <c r="DU264" s="130"/>
      <c r="DV264" s="130"/>
      <c r="DW264" s="130"/>
      <c r="DX264" s="130"/>
      <c r="DY264" s="130"/>
      <c r="DZ264" s="130"/>
      <c r="EA264" s="3"/>
      <c r="EB264" s="3"/>
      <c r="EC264" s="3"/>
      <c r="ED264" s="3"/>
      <c r="EE264" s="3"/>
      <c r="EF264" s="3"/>
      <c r="EG264" s="3"/>
      <c r="EH264" s="3"/>
      <c r="EI264" s="3"/>
      <c r="EJ264" s="3"/>
      <c r="EK264" s="3"/>
      <c r="EL264" s="3"/>
      <c r="EM264" s="3"/>
      <c r="EN264" s="3"/>
      <c r="EO264" s="3"/>
      <c r="EP264" s="3"/>
      <c r="EQ264" s="130"/>
      <c r="ER264" s="130"/>
      <c r="ES264" s="130"/>
      <c r="ET264" s="130"/>
      <c r="EU264" s="130"/>
      <c r="EV264" s="130"/>
      <c r="EW264" s="130"/>
      <c r="EX264" s="130"/>
      <c r="EY264" s="3"/>
      <c r="EZ264" s="3"/>
      <c r="FA264" s="3"/>
      <c r="FB264" s="3"/>
      <c r="FC264" s="3"/>
      <c r="FD264" s="3"/>
      <c r="FE264" s="3"/>
      <c r="FF264" s="3"/>
      <c r="FG264" s="3"/>
      <c r="FH264" s="3"/>
      <c r="FI264" s="3"/>
      <c r="FJ264" s="3"/>
      <c r="FK264" s="3"/>
      <c r="FL264" s="3"/>
      <c r="FM264" s="3"/>
      <c r="FN264" s="3"/>
      <c r="FO264" s="130"/>
      <c r="FP264" s="130"/>
      <c r="FQ264" s="130"/>
      <c r="FR264" s="130"/>
      <c r="FS264" s="130"/>
      <c r="FT264" s="130"/>
      <c r="FU264" s="130"/>
      <c r="FV264" s="130"/>
      <c r="FW264" s="3"/>
      <c r="FX264" s="3"/>
      <c r="FY264" s="3"/>
      <c r="FZ264" s="3"/>
      <c r="GA264" s="3"/>
      <c r="GB264" s="3"/>
      <c r="GC264" s="3"/>
      <c r="GD264" s="3"/>
      <c r="GE264" s="3"/>
      <c r="GF264" s="3"/>
      <c r="GG264" s="3"/>
      <c r="GH264" s="3"/>
      <c r="GI264" s="3"/>
      <c r="GJ264" s="3"/>
      <c r="GK264" s="3"/>
      <c r="GL264" s="3"/>
      <c r="GM264" s="130"/>
      <c r="GN264" s="130"/>
      <c r="GO264" s="130"/>
      <c r="GP264" s="130"/>
      <c r="GQ264" s="130"/>
      <c r="GR264" s="130"/>
      <c r="GS264" s="130"/>
      <c r="GT264" s="130"/>
      <c r="GU264" s="3"/>
      <c r="GV264" s="3"/>
      <c r="GW264" s="3"/>
      <c r="GX264" s="3"/>
      <c r="GY264" s="3"/>
      <c r="GZ264" s="3"/>
      <c r="HA264" s="3"/>
      <c r="HB264" s="3"/>
      <c r="HC264" s="3"/>
      <c r="HD264" s="3"/>
      <c r="HE264" s="3"/>
      <c r="HF264" s="3"/>
      <c r="HG264" s="3"/>
      <c r="HH264" s="3"/>
      <c r="HI264" s="3"/>
      <c r="HJ264" s="3"/>
      <c r="HK264" s="130"/>
      <c r="HL264" s="130"/>
      <c r="HM264" s="130"/>
      <c r="HN264" s="130"/>
      <c r="HO264" s="130"/>
      <c r="HP264" s="130"/>
      <c r="HQ264" s="130"/>
      <c r="HR264" s="130"/>
      <c r="HS264" s="3"/>
      <c r="HT264" s="3"/>
      <c r="HU264" s="3"/>
      <c r="HV264" s="3"/>
      <c r="HW264" s="3"/>
      <c r="HX264" s="3"/>
      <c r="HY264" s="3"/>
      <c r="HZ264" s="3"/>
      <c r="IA264" s="3"/>
      <c r="IB264" s="3"/>
      <c r="IC264" s="3"/>
      <c r="ID264" s="3"/>
      <c r="IE264" s="3"/>
      <c r="IF264" s="3"/>
      <c r="IG264" s="3"/>
      <c r="IH264" s="3"/>
      <c r="II264" s="130"/>
      <c r="IJ264" s="130"/>
      <c r="IK264" s="130"/>
      <c r="IL264" s="130"/>
      <c r="IM264" s="130"/>
      <c r="IN264" s="130"/>
      <c r="IO264" s="130"/>
      <c r="IP264" s="130"/>
      <c r="IQ264" s="3"/>
      <c r="IR264" s="3"/>
      <c r="IS264" s="3"/>
      <c r="IT264" s="3"/>
      <c r="IU264" s="3"/>
      <c r="IV264" s="3"/>
    </row>
    <row r="265" spans="1:256" s="125" customFormat="1">
      <c r="A265" s="16">
        <v>49</v>
      </c>
      <c r="B265" s="29">
        <v>43081</v>
      </c>
      <c r="C265" s="18"/>
      <c r="D265" s="19" t="s">
        <v>323</v>
      </c>
      <c r="E265" s="20" t="s">
        <v>357</v>
      </c>
      <c r="F265" s="82" t="s">
        <v>358</v>
      </c>
      <c r="G265" s="58">
        <v>1710</v>
      </c>
      <c r="H265" s="121">
        <v>3180600</v>
      </c>
      <c r="I265" s="24"/>
      <c r="J265" s="24">
        <f t="shared" si="24"/>
        <v>3029142.8571428568</v>
      </c>
      <c r="K265" s="24">
        <f t="shared" si="19"/>
        <v>3029142.8571428568</v>
      </c>
      <c r="L265" s="123"/>
      <c r="M265" s="24">
        <f t="shared" si="20"/>
        <v>0</v>
      </c>
      <c r="N265" s="124">
        <f t="shared" si="21"/>
        <v>3029142.8571428568</v>
      </c>
      <c r="O265" s="107"/>
      <c r="P265" s="3"/>
      <c r="Q265" s="140"/>
      <c r="R265" s="3"/>
      <c r="S265" s="3"/>
      <c r="T265" s="3"/>
      <c r="U265" s="3"/>
      <c r="V265" s="3"/>
      <c r="W265" s="3"/>
      <c r="X265" s="3"/>
      <c r="Y265" s="3"/>
      <c r="Z265" s="3"/>
      <c r="AA265" s="130"/>
      <c r="AB265" s="130"/>
      <c r="AC265" s="130"/>
      <c r="AD265" s="130"/>
      <c r="AE265" s="130"/>
      <c r="AF265" s="130"/>
      <c r="AG265" s="130"/>
      <c r="AH265" s="130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130"/>
      <c r="AZ265" s="130"/>
      <c r="BA265" s="130"/>
      <c r="BB265" s="130"/>
      <c r="BC265" s="130"/>
      <c r="BD265" s="130"/>
      <c r="BE265" s="130"/>
      <c r="BF265" s="130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130"/>
      <c r="BX265" s="130"/>
      <c r="BY265" s="130"/>
      <c r="BZ265" s="130"/>
      <c r="CA265" s="130"/>
      <c r="CB265" s="130"/>
      <c r="CC265" s="130"/>
      <c r="CD265" s="130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130"/>
      <c r="CV265" s="130"/>
      <c r="CW265" s="130"/>
      <c r="CX265" s="130"/>
      <c r="CY265" s="130"/>
      <c r="CZ265" s="130"/>
      <c r="DA265" s="130"/>
      <c r="DB265" s="130"/>
      <c r="DC265" s="3"/>
      <c r="DD265" s="3"/>
      <c r="DE265" s="3"/>
      <c r="DF265" s="3"/>
      <c r="DG265" s="3"/>
      <c r="DH265" s="3"/>
      <c r="DI265" s="3"/>
      <c r="DJ265" s="3"/>
      <c r="DK265" s="3"/>
      <c r="DL265" s="3"/>
      <c r="DM265" s="3"/>
      <c r="DN265" s="3"/>
      <c r="DO265" s="3"/>
      <c r="DP265" s="3"/>
      <c r="DQ265" s="3"/>
      <c r="DR265" s="3"/>
      <c r="DS265" s="130"/>
      <c r="DT265" s="130"/>
      <c r="DU265" s="130"/>
      <c r="DV265" s="130"/>
      <c r="DW265" s="130"/>
      <c r="DX265" s="130"/>
      <c r="DY265" s="130"/>
      <c r="DZ265" s="130"/>
      <c r="EA265" s="3"/>
      <c r="EB265" s="3"/>
      <c r="EC265" s="3"/>
      <c r="ED265" s="3"/>
      <c r="EE265" s="3"/>
      <c r="EF265" s="3"/>
      <c r="EG265" s="3"/>
      <c r="EH265" s="3"/>
      <c r="EI265" s="3"/>
      <c r="EJ265" s="3"/>
      <c r="EK265" s="3"/>
      <c r="EL265" s="3"/>
      <c r="EM265" s="3"/>
      <c r="EN265" s="3"/>
      <c r="EO265" s="3"/>
      <c r="EP265" s="3"/>
      <c r="EQ265" s="130"/>
      <c r="ER265" s="130"/>
      <c r="ES265" s="130"/>
      <c r="ET265" s="130"/>
      <c r="EU265" s="130"/>
      <c r="EV265" s="130"/>
      <c r="EW265" s="130"/>
      <c r="EX265" s="130"/>
      <c r="EY265" s="3"/>
      <c r="EZ265" s="3"/>
      <c r="FA265" s="3"/>
      <c r="FB265" s="3"/>
      <c r="FC265" s="3"/>
      <c r="FD265" s="3"/>
      <c r="FE265" s="3"/>
      <c r="FF265" s="3"/>
      <c r="FG265" s="3"/>
      <c r="FH265" s="3"/>
      <c r="FI265" s="3"/>
      <c r="FJ265" s="3"/>
      <c r="FK265" s="3"/>
      <c r="FL265" s="3"/>
      <c r="FM265" s="3"/>
      <c r="FN265" s="3"/>
      <c r="FO265" s="130"/>
      <c r="FP265" s="130"/>
      <c r="FQ265" s="130"/>
      <c r="FR265" s="130"/>
      <c r="FS265" s="130"/>
      <c r="FT265" s="130"/>
      <c r="FU265" s="130"/>
      <c r="FV265" s="130"/>
      <c r="FW265" s="3"/>
      <c r="FX265" s="3"/>
      <c r="FY265" s="3"/>
      <c r="FZ265" s="3"/>
      <c r="GA265" s="3"/>
      <c r="GB265" s="3"/>
      <c r="GC265" s="3"/>
      <c r="GD265" s="3"/>
      <c r="GE265" s="3"/>
      <c r="GF265" s="3"/>
      <c r="GG265" s="3"/>
      <c r="GH265" s="3"/>
      <c r="GI265" s="3"/>
      <c r="GJ265" s="3"/>
      <c r="GK265" s="3"/>
      <c r="GL265" s="3"/>
      <c r="GM265" s="130"/>
      <c r="GN265" s="130"/>
      <c r="GO265" s="130"/>
      <c r="GP265" s="130"/>
      <c r="GQ265" s="130"/>
      <c r="GR265" s="130"/>
      <c r="GS265" s="130"/>
      <c r="GT265" s="130"/>
      <c r="GU265" s="3"/>
      <c r="GV265" s="3"/>
      <c r="GW265" s="3"/>
      <c r="GX265" s="3"/>
      <c r="GY265" s="3"/>
      <c r="GZ265" s="3"/>
      <c r="HA265" s="3"/>
      <c r="HB265" s="3"/>
      <c r="HC265" s="3"/>
      <c r="HD265" s="3"/>
      <c r="HE265" s="3"/>
      <c r="HF265" s="3"/>
      <c r="HG265" s="3"/>
      <c r="HH265" s="3"/>
      <c r="HI265" s="3"/>
      <c r="HJ265" s="3"/>
      <c r="HK265" s="130"/>
      <c r="HL265" s="130"/>
      <c r="HM265" s="130"/>
      <c r="HN265" s="130"/>
      <c r="HO265" s="130"/>
      <c r="HP265" s="130"/>
      <c r="HQ265" s="130"/>
      <c r="HR265" s="130"/>
      <c r="HS265" s="3"/>
      <c r="HT265" s="3"/>
      <c r="HU265" s="3"/>
      <c r="HV265" s="3"/>
      <c r="HW265" s="3"/>
      <c r="HX265" s="3"/>
      <c r="HY265" s="3"/>
      <c r="HZ265" s="3"/>
      <c r="IA265" s="3"/>
      <c r="IB265" s="3"/>
      <c r="IC265" s="3"/>
      <c r="ID265" s="3"/>
      <c r="IE265" s="3"/>
      <c r="IF265" s="3"/>
      <c r="IG265" s="3"/>
      <c r="IH265" s="3"/>
      <c r="II265" s="130"/>
      <c r="IJ265" s="130"/>
      <c r="IK265" s="130"/>
      <c r="IL265" s="130"/>
      <c r="IM265" s="130"/>
      <c r="IN265" s="130"/>
      <c r="IO265" s="130"/>
      <c r="IP265" s="130"/>
      <c r="IQ265" s="3"/>
      <c r="IR265" s="3"/>
      <c r="IS265" s="3"/>
      <c r="IT265" s="3"/>
      <c r="IU265" s="3"/>
      <c r="IV265" s="3"/>
    </row>
    <row r="266" spans="1:256" s="125" customFormat="1">
      <c r="A266" s="16">
        <v>50</v>
      </c>
      <c r="B266" s="17">
        <v>43084</v>
      </c>
      <c r="C266" s="18"/>
      <c r="D266" s="19" t="s">
        <v>359</v>
      </c>
      <c r="E266" s="20" t="s">
        <v>360</v>
      </c>
      <c r="F266" s="120" t="s">
        <v>361</v>
      </c>
      <c r="G266" s="63">
        <v>1707</v>
      </c>
      <c r="H266" s="121">
        <v>3572000</v>
      </c>
      <c r="I266" s="24"/>
      <c r="J266" s="24">
        <f t="shared" si="24"/>
        <v>3401904.7619047617</v>
      </c>
      <c r="K266" s="24">
        <f t="shared" si="19"/>
        <v>3401904.7619047617</v>
      </c>
      <c r="L266" s="123"/>
      <c r="M266" s="24">
        <f t="shared" si="20"/>
        <v>0</v>
      </c>
      <c r="N266" s="124">
        <f t="shared" si="21"/>
        <v>3401904.7619047617</v>
      </c>
      <c r="O266" s="85"/>
      <c r="P266" s="3"/>
      <c r="Q266" s="140"/>
      <c r="R266" s="3"/>
      <c r="S266" s="3"/>
      <c r="T266" s="3"/>
      <c r="U266" s="3"/>
      <c r="V266" s="3"/>
      <c r="W266" s="3"/>
      <c r="X266" s="3"/>
      <c r="Y266" s="131"/>
      <c r="Z266" s="15"/>
      <c r="AA266" s="99"/>
      <c r="AB266" s="149"/>
      <c r="AC266" s="134"/>
      <c r="AD266" s="134"/>
      <c r="AE266" s="137"/>
      <c r="AF266" s="193"/>
      <c r="AG266" s="183"/>
      <c r="AH266" s="183"/>
      <c r="AJ266" s="184"/>
      <c r="AK266" s="185"/>
      <c r="AL266" s="186"/>
      <c r="AW266" s="187"/>
      <c r="AX266" s="188"/>
      <c r="AY266" s="194"/>
      <c r="AZ266" s="195"/>
      <c r="BA266" s="191"/>
      <c r="BB266" s="191"/>
      <c r="BC266" s="183"/>
      <c r="BD266" s="193"/>
      <c r="BE266" s="183"/>
      <c r="BF266" s="183"/>
      <c r="BH266" s="184"/>
      <c r="BI266" s="185"/>
      <c r="BJ266" s="186"/>
      <c r="BU266" s="187"/>
      <c r="BV266" s="188"/>
      <c r="BW266" s="194"/>
      <c r="BX266" s="195"/>
      <c r="BY266" s="191"/>
      <c r="BZ266" s="191"/>
      <c r="CA266" s="183"/>
      <c r="CB266" s="193"/>
      <c r="CC266" s="183"/>
      <c r="CD266" s="183"/>
      <c r="CF266" s="184"/>
      <c r="CG266" s="185"/>
      <c r="CH266" s="186"/>
      <c r="CS266" s="187"/>
      <c r="CT266" s="188"/>
      <c r="CU266" s="194"/>
      <c r="CV266" s="195"/>
      <c r="CW266" s="191"/>
      <c r="CX266" s="191"/>
      <c r="CY266" s="183"/>
      <c r="CZ266" s="193"/>
      <c r="DA266" s="183"/>
      <c r="DB266" s="183"/>
      <c r="DD266" s="184"/>
      <c r="DE266" s="185"/>
      <c r="DF266" s="186"/>
      <c r="DQ266" s="187"/>
      <c r="DR266" s="188"/>
      <c r="DS266" s="194"/>
      <c r="DT266" s="195"/>
      <c r="DU266" s="191"/>
      <c r="DV266" s="191"/>
      <c r="DW266" s="183"/>
      <c r="DX266" s="193"/>
      <c r="DY266" s="183"/>
      <c r="DZ266" s="183"/>
      <c r="EB266" s="184"/>
      <c r="EC266" s="185"/>
      <c r="ED266" s="186"/>
      <c r="EO266" s="187"/>
      <c r="EP266" s="188"/>
      <c r="EQ266" s="194"/>
      <c r="ER266" s="195"/>
      <c r="ES266" s="191"/>
      <c r="ET266" s="191"/>
      <c r="EU266" s="183"/>
      <c r="EV266" s="193"/>
      <c r="EW266" s="183"/>
      <c r="EX266" s="183"/>
      <c r="EZ266" s="184"/>
      <c r="FA266" s="185"/>
      <c r="FB266" s="186"/>
      <c r="FM266" s="187"/>
      <c r="FN266" s="188"/>
      <c r="FO266" s="194"/>
      <c r="FP266" s="195"/>
      <c r="FQ266" s="191"/>
      <c r="FR266" s="191"/>
      <c r="FS266" s="183"/>
      <c r="FT266" s="193"/>
      <c r="FU266" s="183"/>
      <c r="FV266" s="183"/>
      <c r="FX266" s="184"/>
      <c r="FY266" s="185"/>
      <c r="FZ266" s="186"/>
      <c r="GK266" s="187"/>
      <c r="GL266" s="188"/>
      <c r="GM266" s="194"/>
      <c r="GN266" s="195"/>
      <c r="GO266" s="191"/>
      <c r="GP266" s="191"/>
      <c r="GQ266" s="183"/>
      <c r="GR266" s="193"/>
      <c r="GS266" s="183"/>
      <c r="GT266" s="183"/>
      <c r="GV266" s="184"/>
      <c r="GW266" s="185"/>
      <c r="GX266" s="186"/>
      <c r="HI266" s="187"/>
      <c r="HJ266" s="188"/>
      <c r="HK266" s="194"/>
      <c r="HL266" s="195"/>
      <c r="HM266" s="191"/>
      <c r="HN266" s="191"/>
      <c r="HO266" s="183"/>
      <c r="HP266" s="193"/>
      <c r="HQ266" s="183"/>
      <c r="HR266" s="183"/>
      <c r="HT266" s="184"/>
      <c r="HU266" s="185"/>
      <c r="HV266" s="186"/>
      <c r="IG266" s="187"/>
      <c r="IH266" s="188"/>
      <c r="II266" s="194"/>
      <c r="IJ266" s="195"/>
      <c r="IK266" s="191"/>
      <c r="IL266" s="191"/>
      <c r="IM266" s="183"/>
      <c r="IN266" s="193"/>
      <c r="IO266" s="183"/>
      <c r="IP266" s="183"/>
      <c r="IR266" s="184"/>
      <c r="IS266" s="185"/>
      <c r="IT266" s="186"/>
    </row>
    <row r="267" spans="1:256" s="125" customFormat="1">
      <c r="A267" s="16">
        <v>51</v>
      </c>
      <c r="B267" s="29">
        <v>43089</v>
      </c>
      <c r="C267" s="18"/>
      <c r="D267" s="19" t="s">
        <v>359</v>
      </c>
      <c r="E267" s="20" t="s">
        <v>360</v>
      </c>
      <c r="F267" s="62" t="s">
        <v>362</v>
      </c>
      <c r="G267" s="63">
        <v>1707</v>
      </c>
      <c r="H267" s="121">
        <v>3572000</v>
      </c>
      <c r="I267" s="24"/>
      <c r="J267" s="24">
        <f t="shared" si="24"/>
        <v>3401904.7619047617</v>
      </c>
      <c r="K267" s="24">
        <f t="shared" si="19"/>
        <v>3401904.7619047617</v>
      </c>
      <c r="L267" s="123"/>
      <c r="M267" s="24">
        <f t="shared" si="20"/>
        <v>0</v>
      </c>
      <c r="N267" s="124">
        <f t="shared" si="21"/>
        <v>3401904.7619047617</v>
      </c>
      <c r="O267" s="87"/>
      <c r="P267" s="3"/>
      <c r="Q267" s="140"/>
      <c r="R267" s="3"/>
      <c r="S267" s="3"/>
      <c r="T267" s="3"/>
      <c r="U267" s="3"/>
      <c r="V267" s="3"/>
      <c r="W267" s="3"/>
      <c r="X267" s="3"/>
      <c r="Y267" s="3"/>
      <c r="Z267" s="15"/>
      <c r="AA267" s="99"/>
      <c r="AB267" s="149"/>
      <c r="AC267" s="134"/>
      <c r="AD267" s="134"/>
      <c r="AE267" s="137"/>
      <c r="AF267" s="150"/>
      <c r="AG267" s="137"/>
      <c r="AH267" s="137"/>
      <c r="AI267" s="3"/>
      <c r="AJ267" s="138"/>
      <c r="AK267" s="2"/>
      <c r="AL267" s="139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131"/>
      <c r="AX267" s="15"/>
      <c r="AY267" s="99"/>
      <c r="AZ267" s="149"/>
      <c r="BA267" s="134"/>
      <c r="BB267" s="134"/>
      <c r="BC267" s="137"/>
      <c r="BD267" s="150"/>
      <c r="BE267" s="137"/>
      <c r="BF267" s="137"/>
      <c r="BG267" s="3"/>
      <c r="BH267" s="138"/>
      <c r="BI267" s="2"/>
      <c r="BJ267" s="139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131"/>
      <c r="BV267" s="15"/>
      <c r="BW267" s="99"/>
      <c r="BX267" s="149"/>
      <c r="BY267" s="134"/>
      <c r="BZ267" s="134"/>
      <c r="CA267" s="137"/>
      <c r="CB267" s="150"/>
      <c r="CC267" s="137"/>
      <c r="CD267" s="137"/>
      <c r="CE267" s="3"/>
      <c r="CF267" s="138"/>
      <c r="CG267" s="2"/>
      <c r="CH267" s="139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131"/>
      <c r="CT267" s="15"/>
      <c r="CU267" s="99"/>
      <c r="CV267" s="149"/>
      <c r="CW267" s="134"/>
      <c r="CX267" s="134"/>
      <c r="CY267" s="137"/>
      <c r="CZ267" s="150"/>
      <c r="DA267" s="137"/>
      <c r="DB267" s="137"/>
      <c r="DC267" s="3"/>
      <c r="DD267" s="138"/>
      <c r="DE267" s="2"/>
      <c r="DF267" s="139"/>
      <c r="DG267" s="3"/>
      <c r="DH267" s="3"/>
      <c r="DI267" s="3"/>
      <c r="DJ267" s="3"/>
      <c r="DK267" s="3"/>
      <c r="DL267" s="3"/>
      <c r="DM267" s="3"/>
      <c r="DN267" s="3"/>
      <c r="DO267" s="3"/>
      <c r="DP267" s="3"/>
      <c r="DQ267" s="131"/>
      <c r="DR267" s="15"/>
      <c r="DS267" s="99"/>
      <c r="DT267" s="149"/>
      <c r="DU267" s="134"/>
      <c r="DV267" s="134"/>
      <c r="DW267" s="137"/>
      <c r="DX267" s="150"/>
      <c r="DY267" s="137"/>
      <c r="DZ267" s="137"/>
      <c r="EA267" s="3"/>
      <c r="EB267" s="138"/>
      <c r="EC267" s="2"/>
      <c r="ED267" s="139"/>
      <c r="EE267" s="3"/>
      <c r="EF267" s="3"/>
      <c r="EG267" s="3"/>
      <c r="EH267" s="3"/>
      <c r="EI267" s="3"/>
      <c r="EJ267" s="3"/>
      <c r="EK267" s="3"/>
      <c r="EL267" s="3"/>
      <c r="EM267" s="3"/>
      <c r="EN267" s="3"/>
      <c r="EO267" s="131"/>
      <c r="EP267" s="15"/>
      <c r="EQ267" s="99"/>
      <c r="ER267" s="149"/>
      <c r="ES267" s="134"/>
      <c r="ET267" s="134"/>
      <c r="EU267" s="137"/>
      <c r="EV267" s="150"/>
      <c r="EW267" s="137"/>
      <c r="EX267" s="137"/>
      <c r="EY267" s="3"/>
      <c r="EZ267" s="138"/>
      <c r="FA267" s="2"/>
      <c r="FB267" s="139"/>
      <c r="FC267" s="3"/>
      <c r="FD267" s="3"/>
      <c r="FE267" s="3"/>
      <c r="FF267" s="3"/>
      <c r="FG267" s="3"/>
      <c r="FH267" s="3"/>
      <c r="FI267" s="3"/>
      <c r="FJ267" s="3"/>
      <c r="FK267" s="3"/>
      <c r="FL267" s="3"/>
      <c r="FM267" s="131"/>
      <c r="FN267" s="15"/>
      <c r="FO267" s="99"/>
      <c r="FP267" s="149"/>
      <c r="FQ267" s="134"/>
      <c r="FR267" s="134"/>
      <c r="FS267" s="137"/>
      <c r="FT267" s="150"/>
      <c r="FU267" s="137"/>
      <c r="FV267" s="137"/>
      <c r="FW267" s="3"/>
      <c r="FX267" s="138"/>
      <c r="FY267" s="2"/>
      <c r="FZ267" s="139"/>
      <c r="GA267" s="3"/>
      <c r="GB267" s="3"/>
      <c r="GC267" s="3"/>
      <c r="GD267" s="3"/>
      <c r="GE267" s="3"/>
      <c r="GF267" s="3"/>
      <c r="GG267" s="3"/>
      <c r="GH267" s="3"/>
      <c r="GI267" s="3"/>
      <c r="GJ267" s="3"/>
      <c r="GK267" s="131"/>
      <c r="GL267" s="15"/>
      <c r="GM267" s="99"/>
      <c r="GN267" s="149"/>
      <c r="GO267" s="134"/>
      <c r="GP267" s="134"/>
      <c r="GQ267" s="137"/>
      <c r="GR267" s="150"/>
      <c r="GS267" s="137"/>
      <c r="GT267" s="137"/>
      <c r="GU267" s="3"/>
      <c r="GV267" s="138"/>
      <c r="GW267" s="2"/>
      <c r="GX267" s="139"/>
      <c r="GY267" s="3"/>
      <c r="GZ267" s="3"/>
      <c r="HA267" s="3"/>
      <c r="HB267" s="3"/>
      <c r="HC267" s="3"/>
      <c r="HD267" s="3"/>
      <c r="HE267" s="3"/>
      <c r="HF267" s="3"/>
      <c r="HG267" s="3"/>
      <c r="HH267" s="3"/>
      <c r="HI267" s="131"/>
      <c r="HJ267" s="15"/>
      <c r="HK267" s="99"/>
      <c r="HL267" s="149"/>
      <c r="HM267" s="134"/>
      <c r="HN267" s="134"/>
      <c r="HO267" s="137"/>
      <c r="HP267" s="150"/>
      <c r="HQ267" s="137"/>
      <c r="HR267" s="137"/>
      <c r="HS267" s="3"/>
      <c r="HT267" s="138"/>
      <c r="HU267" s="2"/>
      <c r="HV267" s="139"/>
      <c r="HW267" s="3"/>
      <c r="HX267" s="3"/>
      <c r="HY267" s="3"/>
      <c r="HZ267" s="3"/>
      <c r="IA267" s="3"/>
      <c r="IB267" s="3"/>
      <c r="IC267" s="3"/>
      <c r="ID267" s="3"/>
      <c r="IE267" s="3"/>
      <c r="IF267" s="3"/>
      <c r="IG267" s="131"/>
      <c r="IH267" s="15"/>
      <c r="II267" s="99"/>
      <c r="IJ267" s="149"/>
      <c r="IK267" s="134"/>
      <c r="IL267" s="134"/>
      <c r="IM267" s="137"/>
      <c r="IN267" s="150"/>
      <c r="IO267" s="137"/>
      <c r="IP267" s="137"/>
      <c r="IQ267" s="3"/>
      <c r="IR267" s="138"/>
      <c r="IS267" s="2"/>
      <c r="IT267" s="139"/>
      <c r="IU267" s="3"/>
      <c r="IV267" s="3"/>
    </row>
    <row r="268" spans="1:256" s="125" customFormat="1">
      <c r="A268" s="16">
        <v>52</v>
      </c>
      <c r="B268" s="29">
        <v>43090</v>
      </c>
      <c r="C268" s="18"/>
      <c r="D268" s="19" t="s">
        <v>359</v>
      </c>
      <c r="E268" s="20" t="s">
        <v>363</v>
      </c>
      <c r="F268" s="57" t="s">
        <v>364</v>
      </c>
      <c r="G268" s="63">
        <v>1708</v>
      </c>
      <c r="H268" s="121">
        <v>3478000</v>
      </c>
      <c r="I268" s="24"/>
      <c r="J268" s="24">
        <f t="shared" si="24"/>
        <v>3312380.9523809524</v>
      </c>
      <c r="K268" s="24">
        <f t="shared" si="19"/>
        <v>3312380.9523809524</v>
      </c>
      <c r="L268" s="123"/>
      <c r="M268" s="24">
        <f t="shared" si="20"/>
        <v>0</v>
      </c>
      <c r="N268" s="124">
        <f t="shared" si="21"/>
        <v>3312380.9523809524</v>
      </c>
      <c r="O268" s="196"/>
      <c r="P268" s="3"/>
      <c r="Q268" s="140"/>
      <c r="R268" s="3"/>
      <c r="S268" s="3"/>
      <c r="T268" s="3"/>
      <c r="U268" s="3"/>
      <c r="V268" s="3"/>
      <c r="W268" s="3"/>
      <c r="X268" s="3"/>
      <c r="Y268" s="131"/>
      <c r="Z268" s="15"/>
      <c r="AA268" s="99"/>
      <c r="AB268" s="149"/>
      <c r="AC268" s="134"/>
      <c r="AD268" s="134"/>
      <c r="AE268" s="137"/>
      <c r="AF268" s="193"/>
      <c r="AG268" s="183"/>
      <c r="AH268" s="183"/>
      <c r="AJ268" s="184"/>
      <c r="AK268" s="185"/>
      <c r="AL268" s="186"/>
      <c r="AW268" s="187"/>
      <c r="AX268" s="188"/>
      <c r="AY268" s="194"/>
      <c r="AZ268" s="195"/>
      <c r="BA268" s="191"/>
      <c r="BB268" s="191"/>
      <c r="BC268" s="183"/>
      <c r="BD268" s="193"/>
      <c r="BE268" s="183"/>
      <c r="BF268" s="183"/>
      <c r="BH268" s="184"/>
      <c r="BI268" s="185"/>
      <c r="BJ268" s="186"/>
      <c r="BU268" s="187"/>
      <c r="BV268" s="188"/>
      <c r="BW268" s="194"/>
      <c r="BX268" s="195"/>
      <c r="BY268" s="191"/>
      <c r="BZ268" s="191"/>
      <c r="CA268" s="183"/>
      <c r="CB268" s="193"/>
      <c r="CC268" s="183"/>
      <c r="CD268" s="183"/>
      <c r="CF268" s="184"/>
      <c r="CG268" s="185"/>
      <c r="CH268" s="186"/>
      <c r="CS268" s="187"/>
      <c r="CT268" s="188"/>
      <c r="CU268" s="194"/>
      <c r="CV268" s="195"/>
      <c r="CW268" s="191"/>
      <c r="CX268" s="191"/>
      <c r="CY268" s="183"/>
      <c r="CZ268" s="193"/>
      <c r="DA268" s="183"/>
      <c r="DB268" s="183"/>
      <c r="DD268" s="184"/>
      <c r="DE268" s="185"/>
      <c r="DF268" s="186"/>
      <c r="DQ268" s="187"/>
      <c r="DR268" s="188"/>
      <c r="DS268" s="194"/>
      <c r="DT268" s="195"/>
      <c r="DU268" s="191"/>
      <c r="DV268" s="191"/>
      <c r="DW268" s="183"/>
      <c r="DX268" s="193"/>
      <c r="DY268" s="183"/>
      <c r="DZ268" s="183"/>
      <c r="EB268" s="184"/>
      <c r="EC268" s="185"/>
      <c r="ED268" s="186"/>
      <c r="EO268" s="187"/>
      <c r="EP268" s="188"/>
      <c r="EQ268" s="194"/>
      <c r="ER268" s="195"/>
      <c r="ES268" s="191"/>
      <c r="ET268" s="191"/>
      <c r="EU268" s="183"/>
      <c r="EV268" s="193"/>
      <c r="EW268" s="183"/>
      <c r="EX268" s="183"/>
      <c r="EZ268" s="184"/>
      <c r="FA268" s="185"/>
      <c r="FB268" s="186"/>
      <c r="FM268" s="187"/>
      <c r="FN268" s="188"/>
      <c r="FO268" s="194"/>
      <c r="FP268" s="195"/>
      <c r="FQ268" s="191"/>
      <c r="FR268" s="191"/>
      <c r="FS268" s="183"/>
      <c r="FT268" s="193"/>
      <c r="FU268" s="183"/>
      <c r="FV268" s="183"/>
      <c r="FX268" s="184"/>
      <c r="FY268" s="185"/>
      <c r="FZ268" s="186"/>
      <c r="GK268" s="187"/>
      <c r="GL268" s="188"/>
      <c r="GM268" s="194"/>
      <c r="GN268" s="195"/>
      <c r="GO268" s="191"/>
      <c r="GP268" s="191"/>
      <c r="GQ268" s="183"/>
      <c r="GR268" s="193"/>
      <c r="GS268" s="183"/>
      <c r="GT268" s="183"/>
      <c r="GV268" s="184"/>
      <c r="GW268" s="185"/>
      <c r="GX268" s="186"/>
      <c r="HI268" s="187"/>
      <c r="HJ268" s="188"/>
      <c r="HK268" s="194"/>
      <c r="HL268" s="195"/>
      <c r="HM268" s="191"/>
      <c r="HN268" s="191"/>
      <c r="HO268" s="183"/>
      <c r="HP268" s="193"/>
      <c r="HQ268" s="183"/>
      <c r="HR268" s="183"/>
      <c r="HT268" s="184"/>
      <c r="HU268" s="185"/>
      <c r="HV268" s="186"/>
      <c r="IG268" s="187"/>
      <c r="IH268" s="188"/>
      <c r="II268" s="194"/>
      <c r="IJ268" s="195"/>
      <c r="IK268" s="191"/>
      <c r="IL268" s="191"/>
      <c r="IM268" s="183"/>
      <c r="IN268" s="193"/>
      <c r="IO268" s="183"/>
      <c r="IP268" s="183"/>
      <c r="IR268" s="184"/>
      <c r="IS268" s="185"/>
      <c r="IT268" s="186"/>
    </row>
    <row r="269" spans="1:256" s="125" customFormat="1">
      <c r="A269" s="16">
        <v>53</v>
      </c>
      <c r="B269" s="17">
        <v>43091</v>
      </c>
      <c r="C269" s="18"/>
      <c r="D269" s="19" t="s">
        <v>359</v>
      </c>
      <c r="E269" s="20" t="s">
        <v>363</v>
      </c>
      <c r="F269" s="82" t="s">
        <v>365</v>
      </c>
      <c r="G269" s="58">
        <v>1708</v>
      </c>
      <c r="H269" s="121">
        <v>3478000</v>
      </c>
      <c r="I269" s="24"/>
      <c r="J269" s="24">
        <f t="shared" si="24"/>
        <v>3312380.9523809524</v>
      </c>
      <c r="K269" s="24">
        <f t="shared" si="19"/>
        <v>3312380.9523809524</v>
      </c>
      <c r="L269" s="123"/>
      <c r="M269" s="24">
        <f t="shared" si="20"/>
        <v>0</v>
      </c>
      <c r="N269" s="124">
        <f t="shared" si="21"/>
        <v>3312380.9523809524</v>
      </c>
      <c r="O269" s="108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130"/>
      <c r="AB269" s="130"/>
      <c r="AC269" s="130"/>
      <c r="AD269" s="130"/>
      <c r="AE269" s="130"/>
      <c r="AF269" s="130"/>
      <c r="AG269" s="130"/>
      <c r="AH269" s="130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130"/>
      <c r="AZ269" s="130"/>
      <c r="BA269" s="130"/>
      <c r="BB269" s="130"/>
      <c r="BC269" s="130"/>
      <c r="BD269" s="130"/>
      <c r="BE269" s="130"/>
      <c r="BF269" s="130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130"/>
      <c r="BX269" s="130"/>
      <c r="BY269" s="130"/>
      <c r="BZ269" s="130"/>
      <c r="CA269" s="130"/>
      <c r="CB269" s="130"/>
      <c r="CC269" s="130"/>
      <c r="CD269" s="130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130"/>
      <c r="CV269" s="130"/>
      <c r="CW269" s="130"/>
      <c r="CX269" s="130"/>
      <c r="CY269" s="130"/>
      <c r="CZ269" s="130"/>
      <c r="DA269" s="130"/>
      <c r="DB269" s="130"/>
      <c r="DC269" s="3"/>
      <c r="DD269" s="3"/>
      <c r="DE269" s="3"/>
      <c r="DF269" s="3"/>
      <c r="DG269" s="3"/>
      <c r="DH269" s="3"/>
      <c r="DI269" s="3"/>
      <c r="DJ269" s="3"/>
      <c r="DK269" s="3"/>
      <c r="DL269" s="3"/>
      <c r="DM269" s="3"/>
      <c r="DN269" s="3"/>
      <c r="DO269" s="3"/>
      <c r="DP269" s="3"/>
      <c r="DQ269" s="3"/>
      <c r="DR269" s="3"/>
      <c r="DS269" s="130"/>
      <c r="DT269" s="130"/>
      <c r="DU269" s="130"/>
      <c r="DV269" s="130"/>
      <c r="DW269" s="130"/>
      <c r="DX269" s="130"/>
      <c r="DY269" s="130"/>
      <c r="DZ269" s="130"/>
      <c r="EA269" s="3"/>
      <c r="EB269" s="3"/>
      <c r="EC269" s="3"/>
      <c r="ED269" s="3"/>
      <c r="EE269" s="3"/>
      <c r="EF269" s="3"/>
      <c r="EG269" s="3"/>
      <c r="EH269" s="3"/>
      <c r="EI269" s="3"/>
      <c r="EJ269" s="3"/>
      <c r="EK269" s="3"/>
      <c r="EL269" s="3"/>
      <c r="EM269" s="3"/>
      <c r="EN269" s="3"/>
      <c r="EO269" s="3"/>
      <c r="EP269" s="3"/>
      <c r="EQ269" s="130"/>
      <c r="ER269" s="130"/>
      <c r="ES269" s="130"/>
      <c r="ET269" s="130"/>
      <c r="EU269" s="130"/>
      <c r="EV269" s="130"/>
      <c r="EW269" s="130"/>
      <c r="EX269" s="130"/>
      <c r="EY269" s="3"/>
      <c r="EZ269" s="3"/>
      <c r="FA269" s="3"/>
      <c r="FB269" s="3"/>
      <c r="FC269" s="3"/>
      <c r="FD269" s="3"/>
      <c r="FE269" s="3"/>
      <c r="FF269" s="3"/>
      <c r="FG269" s="3"/>
      <c r="FH269" s="3"/>
      <c r="FI269" s="3"/>
      <c r="FJ269" s="3"/>
      <c r="FK269" s="3"/>
      <c r="FL269" s="3"/>
      <c r="FM269" s="3"/>
      <c r="FN269" s="3"/>
      <c r="FO269" s="130"/>
      <c r="FP269" s="130"/>
      <c r="FQ269" s="130"/>
      <c r="FR269" s="130"/>
      <c r="FS269" s="130"/>
      <c r="FT269" s="130"/>
      <c r="FU269" s="130"/>
      <c r="FV269" s="130"/>
      <c r="FW269" s="3"/>
      <c r="FX269" s="3"/>
      <c r="FY269" s="3"/>
      <c r="FZ269" s="3"/>
      <c r="GA269" s="3"/>
      <c r="GB269" s="3"/>
      <c r="GC269" s="3"/>
      <c r="GD269" s="3"/>
      <c r="GE269" s="3"/>
      <c r="GF269" s="3"/>
      <c r="GG269" s="3"/>
      <c r="GH269" s="3"/>
      <c r="GI269" s="3"/>
      <c r="GJ269" s="3"/>
      <c r="GK269" s="3"/>
      <c r="GL269" s="3"/>
      <c r="GM269" s="130"/>
      <c r="GN269" s="130"/>
      <c r="GO269" s="130"/>
      <c r="GP269" s="130"/>
      <c r="GQ269" s="130"/>
      <c r="GR269" s="130"/>
      <c r="GS269" s="130"/>
      <c r="GT269" s="130"/>
      <c r="GU269" s="3"/>
      <c r="GV269" s="3"/>
      <c r="GW269" s="3"/>
      <c r="GX269" s="3"/>
      <c r="GY269" s="3"/>
      <c r="GZ269" s="3"/>
      <c r="HA269" s="3"/>
      <c r="HB269" s="3"/>
      <c r="HC269" s="3"/>
      <c r="HD269" s="3"/>
      <c r="HE269" s="3"/>
      <c r="HF269" s="3"/>
      <c r="HG269" s="3"/>
      <c r="HH269" s="3"/>
      <c r="HI269" s="3"/>
      <c r="HJ269" s="3"/>
      <c r="HK269" s="130"/>
      <c r="HL269" s="130"/>
      <c r="HM269" s="130"/>
      <c r="HN269" s="130"/>
      <c r="HO269" s="130"/>
      <c r="HP269" s="130"/>
      <c r="HQ269" s="130"/>
      <c r="HR269" s="130"/>
      <c r="HS269" s="3"/>
      <c r="HT269" s="3"/>
      <c r="HU269" s="3"/>
      <c r="HV269" s="3"/>
      <c r="HW269" s="3"/>
      <c r="HX269" s="3"/>
      <c r="HY269" s="3"/>
      <c r="HZ269" s="3"/>
      <c r="IA269" s="3"/>
      <c r="IB269" s="3"/>
      <c r="IC269" s="3"/>
      <c r="ID269" s="3"/>
      <c r="IE269" s="3"/>
      <c r="IF269" s="3"/>
      <c r="IG269" s="3"/>
      <c r="IH269" s="3"/>
      <c r="II269" s="130"/>
      <c r="IJ269" s="130"/>
      <c r="IK269" s="130"/>
      <c r="IL269" s="130"/>
      <c r="IM269" s="130"/>
      <c r="IN269" s="130"/>
      <c r="IO269" s="130"/>
      <c r="IP269" s="130"/>
      <c r="IQ269" s="3"/>
      <c r="IR269" s="3"/>
      <c r="IS269" s="3"/>
      <c r="IT269" s="3"/>
      <c r="IU269" s="3"/>
      <c r="IV269" s="3"/>
    </row>
    <row r="270" spans="1:256" s="125" customFormat="1">
      <c r="A270" s="16">
        <v>54</v>
      </c>
      <c r="B270" s="29">
        <v>43098</v>
      </c>
      <c r="C270" s="18"/>
      <c r="D270" s="19" t="s">
        <v>359</v>
      </c>
      <c r="E270" s="20" t="s">
        <v>363</v>
      </c>
      <c r="F270" s="62" t="s">
        <v>366</v>
      </c>
      <c r="G270" s="63">
        <v>1709</v>
      </c>
      <c r="H270" s="121">
        <v>3478000</v>
      </c>
      <c r="I270" s="24"/>
      <c r="J270" s="24">
        <f t="shared" si="24"/>
        <v>3312380.9523809524</v>
      </c>
      <c r="K270" s="24">
        <f t="shared" si="19"/>
        <v>3312380.9523809524</v>
      </c>
      <c r="L270" s="123"/>
      <c r="M270" s="24">
        <f t="shared" si="20"/>
        <v>0</v>
      </c>
      <c r="N270" s="124">
        <f t="shared" si="21"/>
        <v>3312380.9523809524</v>
      </c>
      <c r="O270" s="87"/>
      <c r="P270" s="3"/>
      <c r="Q270" s="140"/>
      <c r="R270" s="3"/>
      <c r="S270" s="3"/>
      <c r="T270" s="3"/>
      <c r="U270" s="3"/>
      <c r="V270" s="3"/>
      <c r="W270" s="3"/>
      <c r="X270" s="3"/>
      <c r="Y270" s="3"/>
      <c r="Z270" s="3"/>
      <c r="AA270" s="130"/>
      <c r="AB270" s="130"/>
      <c r="AC270" s="130"/>
      <c r="AD270" s="130"/>
      <c r="AE270" s="130"/>
      <c r="AF270" s="167"/>
      <c r="AG270" s="167"/>
      <c r="AH270" s="167"/>
      <c r="AY270" s="167"/>
      <c r="AZ270" s="167"/>
      <c r="BA270" s="167"/>
      <c r="BB270" s="167"/>
      <c r="BC270" s="167"/>
      <c r="BD270" s="167"/>
      <c r="BE270" s="167"/>
      <c r="BF270" s="167"/>
      <c r="BW270" s="167"/>
      <c r="BX270" s="167"/>
      <c r="BY270" s="167"/>
      <c r="BZ270" s="167"/>
      <c r="CA270" s="167"/>
      <c r="CB270" s="167"/>
      <c r="CC270" s="167"/>
      <c r="CD270" s="167"/>
      <c r="CU270" s="167"/>
      <c r="CV270" s="167"/>
      <c r="CW270" s="167"/>
      <c r="CX270" s="167"/>
      <c r="CY270" s="167"/>
      <c r="CZ270" s="167"/>
      <c r="DA270" s="167"/>
      <c r="DB270" s="167"/>
      <c r="DS270" s="167"/>
      <c r="DT270" s="167"/>
      <c r="DU270" s="167"/>
      <c r="DV270" s="167"/>
      <c r="DW270" s="167"/>
      <c r="DX270" s="167"/>
      <c r="DY270" s="167"/>
      <c r="DZ270" s="167"/>
      <c r="EQ270" s="167"/>
      <c r="ER270" s="167"/>
      <c r="ES270" s="167"/>
      <c r="ET270" s="167"/>
      <c r="EU270" s="167"/>
      <c r="EV270" s="167"/>
      <c r="EW270" s="167"/>
      <c r="EX270" s="167"/>
      <c r="FO270" s="167"/>
      <c r="FP270" s="167"/>
      <c r="FQ270" s="167"/>
      <c r="FR270" s="167"/>
      <c r="FS270" s="167"/>
      <c r="FT270" s="167"/>
      <c r="FU270" s="167"/>
      <c r="FV270" s="167"/>
      <c r="GM270" s="167"/>
      <c r="GN270" s="167"/>
      <c r="GO270" s="167"/>
      <c r="GP270" s="167"/>
      <c r="GQ270" s="167"/>
      <c r="GR270" s="167"/>
      <c r="GS270" s="167"/>
      <c r="GT270" s="167"/>
      <c r="HK270" s="167"/>
      <c r="HL270" s="167"/>
      <c r="HM270" s="167"/>
      <c r="HN270" s="167"/>
      <c r="HO270" s="167"/>
      <c r="HP270" s="167"/>
      <c r="HQ270" s="167"/>
      <c r="HR270" s="167"/>
      <c r="II270" s="167"/>
      <c r="IJ270" s="167"/>
      <c r="IK270" s="167"/>
      <c r="IL270" s="167"/>
      <c r="IM270" s="167"/>
      <c r="IN270" s="167"/>
      <c r="IO270" s="167"/>
      <c r="IP270" s="167"/>
    </row>
    <row r="271" spans="1:256" s="125" customFormat="1">
      <c r="A271" s="16">
        <v>55</v>
      </c>
      <c r="B271" s="29">
        <v>43048</v>
      </c>
      <c r="C271" s="18"/>
      <c r="D271" s="19" t="s">
        <v>359</v>
      </c>
      <c r="E271" s="20" t="s">
        <v>363</v>
      </c>
      <c r="F271" s="82" t="s">
        <v>367</v>
      </c>
      <c r="G271" s="58">
        <v>1707</v>
      </c>
      <c r="H271" s="121">
        <v>3478000</v>
      </c>
      <c r="I271" s="24">
        <v>3312381</v>
      </c>
      <c r="J271" s="24"/>
      <c r="K271" s="24">
        <f t="shared" si="19"/>
        <v>3312381</v>
      </c>
      <c r="L271" s="123"/>
      <c r="M271" s="24">
        <f t="shared" si="20"/>
        <v>0</v>
      </c>
      <c r="N271" s="124">
        <f t="shared" si="21"/>
        <v>3312381</v>
      </c>
      <c r="O271" s="107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130"/>
      <c r="AB271" s="130"/>
      <c r="AC271" s="130"/>
      <c r="AD271" s="130"/>
      <c r="AE271" s="130"/>
      <c r="AF271" s="167"/>
      <c r="AG271" s="167"/>
      <c r="AH271" s="167"/>
      <c r="AY271" s="167"/>
      <c r="AZ271" s="167"/>
      <c r="BA271" s="167"/>
      <c r="BB271" s="167"/>
      <c r="BC271" s="167"/>
      <c r="BD271" s="167"/>
      <c r="BE271" s="167"/>
      <c r="BF271" s="167"/>
      <c r="BW271" s="167"/>
      <c r="BX271" s="167"/>
      <c r="BY271" s="167"/>
      <c r="BZ271" s="167"/>
      <c r="CA271" s="167"/>
      <c r="CB271" s="167"/>
      <c r="CC271" s="167"/>
      <c r="CD271" s="167"/>
      <c r="CU271" s="167"/>
      <c r="CV271" s="167"/>
      <c r="CW271" s="167"/>
      <c r="CX271" s="167"/>
      <c r="CY271" s="167"/>
      <c r="CZ271" s="167"/>
      <c r="DA271" s="167"/>
      <c r="DB271" s="167"/>
      <c r="DS271" s="167"/>
      <c r="DT271" s="167"/>
      <c r="DU271" s="167"/>
      <c r="DV271" s="167"/>
      <c r="DW271" s="167"/>
      <c r="DX271" s="167"/>
      <c r="DY271" s="167"/>
      <c r="DZ271" s="167"/>
      <c r="EQ271" s="167"/>
      <c r="ER271" s="167"/>
      <c r="ES271" s="167"/>
      <c r="ET271" s="167"/>
      <c r="EU271" s="167"/>
      <c r="EV271" s="167"/>
      <c r="EW271" s="167"/>
      <c r="EX271" s="167"/>
      <c r="FO271" s="167"/>
      <c r="FP271" s="167"/>
      <c r="FQ271" s="167"/>
      <c r="FR271" s="167"/>
      <c r="FS271" s="167"/>
      <c r="FT271" s="167"/>
      <c r="FU271" s="167"/>
      <c r="FV271" s="167"/>
      <c r="GM271" s="167"/>
      <c r="GN271" s="167"/>
      <c r="GO271" s="167"/>
      <c r="GP271" s="167"/>
      <c r="GQ271" s="167"/>
      <c r="GR271" s="167"/>
      <c r="GS271" s="167"/>
      <c r="GT271" s="167"/>
      <c r="HK271" s="167"/>
      <c r="HL271" s="167"/>
      <c r="HM271" s="167"/>
      <c r="HN271" s="167"/>
      <c r="HO271" s="167"/>
      <c r="HP271" s="167"/>
      <c r="HQ271" s="167"/>
      <c r="HR271" s="167"/>
      <c r="II271" s="167"/>
      <c r="IJ271" s="167"/>
      <c r="IK271" s="167"/>
      <c r="IL271" s="167"/>
      <c r="IM271" s="167"/>
      <c r="IN271" s="167"/>
      <c r="IO271" s="167"/>
      <c r="IP271" s="167"/>
    </row>
    <row r="272" spans="1:256" s="125" customFormat="1">
      <c r="A272" s="16">
        <v>56</v>
      </c>
      <c r="B272" s="17">
        <v>43045</v>
      </c>
      <c r="C272" s="18"/>
      <c r="D272" s="19" t="s">
        <v>359</v>
      </c>
      <c r="E272" s="20" t="s">
        <v>368</v>
      </c>
      <c r="F272" s="197" t="s">
        <v>369</v>
      </c>
      <c r="G272" s="181">
        <v>1707</v>
      </c>
      <c r="H272" s="121">
        <v>4342800</v>
      </c>
      <c r="I272" s="24">
        <v>4136000</v>
      </c>
      <c r="J272" s="24"/>
      <c r="K272" s="24">
        <f t="shared" si="19"/>
        <v>4136000</v>
      </c>
      <c r="L272" s="123"/>
      <c r="M272" s="24">
        <f t="shared" si="20"/>
        <v>0</v>
      </c>
      <c r="N272" s="124">
        <f t="shared" si="21"/>
        <v>4136000</v>
      </c>
      <c r="O272" s="107"/>
      <c r="P272" s="3"/>
      <c r="Q272" s="3"/>
      <c r="R272" s="3"/>
      <c r="S272" s="3"/>
      <c r="T272" s="3"/>
      <c r="U272" s="3"/>
      <c r="V272" s="3"/>
      <c r="W272" s="3"/>
      <c r="X272" s="3"/>
      <c r="Y272" s="131"/>
      <c r="Z272" s="15"/>
      <c r="AA272" s="132"/>
      <c r="AB272" s="133"/>
      <c r="AC272" s="134"/>
      <c r="AD272" s="134"/>
      <c r="AE272" s="135"/>
      <c r="AF272" s="182"/>
      <c r="AG272" s="183"/>
      <c r="AH272" s="183"/>
      <c r="AJ272" s="184"/>
      <c r="AK272" s="185"/>
      <c r="AL272" s="186"/>
      <c r="AW272" s="187"/>
      <c r="AX272" s="188"/>
      <c r="AY272" s="189"/>
      <c r="AZ272" s="190"/>
      <c r="BA272" s="191"/>
      <c r="BB272" s="191"/>
      <c r="BC272" s="192"/>
      <c r="BD272" s="182"/>
      <c r="BE272" s="183"/>
      <c r="BF272" s="183"/>
      <c r="BH272" s="184"/>
      <c r="BI272" s="185"/>
      <c r="BJ272" s="186"/>
      <c r="BU272" s="187"/>
      <c r="BV272" s="188"/>
      <c r="BW272" s="189"/>
      <c r="BX272" s="190"/>
      <c r="BY272" s="191"/>
      <c r="BZ272" s="191"/>
      <c r="CA272" s="192"/>
      <c r="CB272" s="182"/>
      <c r="CC272" s="183"/>
      <c r="CD272" s="183"/>
      <c r="CF272" s="184"/>
      <c r="CG272" s="185"/>
      <c r="CH272" s="186"/>
      <c r="CS272" s="187"/>
      <c r="CT272" s="188"/>
      <c r="CU272" s="189"/>
      <c r="CV272" s="190"/>
      <c r="CW272" s="191"/>
      <c r="CX272" s="191"/>
      <c r="CY272" s="192"/>
      <c r="CZ272" s="182"/>
      <c r="DA272" s="183"/>
      <c r="DB272" s="183"/>
      <c r="DD272" s="184"/>
      <c r="DE272" s="185"/>
      <c r="DF272" s="186"/>
      <c r="DQ272" s="187"/>
      <c r="DR272" s="188"/>
      <c r="DS272" s="189"/>
      <c r="DT272" s="190"/>
      <c r="DU272" s="191"/>
      <c r="DV272" s="191"/>
      <c r="DW272" s="192"/>
      <c r="DX272" s="182"/>
      <c r="DY272" s="183"/>
      <c r="DZ272" s="183"/>
      <c r="EB272" s="184"/>
      <c r="EC272" s="185"/>
      <c r="ED272" s="186"/>
      <c r="EO272" s="187"/>
      <c r="EP272" s="188"/>
      <c r="EQ272" s="189"/>
      <c r="ER272" s="190"/>
      <c r="ES272" s="191"/>
      <c r="ET272" s="191"/>
      <c r="EU272" s="192"/>
      <c r="EV272" s="182"/>
      <c r="EW272" s="183"/>
      <c r="EX272" s="183"/>
      <c r="EZ272" s="184"/>
      <c r="FA272" s="185"/>
      <c r="FB272" s="186"/>
      <c r="FM272" s="187"/>
      <c r="FN272" s="188"/>
      <c r="FO272" s="189"/>
      <c r="FP272" s="190"/>
      <c r="FQ272" s="191"/>
      <c r="FR272" s="191"/>
      <c r="FS272" s="192"/>
      <c r="FT272" s="182"/>
      <c r="FU272" s="183"/>
      <c r="FV272" s="183"/>
      <c r="FX272" s="184"/>
      <c r="FY272" s="185"/>
      <c r="FZ272" s="186"/>
      <c r="GK272" s="187"/>
      <c r="GL272" s="188"/>
      <c r="GM272" s="189"/>
      <c r="GN272" s="190"/>
      <c r="GO272" s="191"/>
      <c r="GP272" s="191"/>
      <c r="GQ272" s="192"/>
      <c r="GR272" s="182"/>
      <c r="GS272" s="183"/>
      <c r="GT272" s="183"/>
      <c r="GV272" s="184"/>
      <c r="GW272" s="185"/>
      <c r="GX272" s="186"/>
      <c r="HI272" s="187"/>
      <c r="HJ272" s="188"/>
      <c r="HK272" s="189"/>
      <c r="HL272" s="190"/>
      <c r="HM272" s="191"/>
      <c r="HN272" s="191"/>
      <c r="HO272" s="192"/>
      <c r="HP272" s="182"/>
      <c r="HQ272" s="183"/>
      <c r="HR272" s="183"/>
      <c r="HT272" s="184"/>
      <c r="HU272" s="185"/>
      <c r="HV272" s="186"/>
      <c r="IG272" s="187"/>
      <c r="IH272" s="188"/>
      <c r="II272" s="189"/>
      <c r="IJ272" s="190"/>
      <c r="IK272" s="191"/>
      <c r="IL272" s="191"/>
      <c r="IM272" s="192"/>
      <c r="IN272" s="182"/>
      <c r="IO272" s="183"/>
      <c r="IP272" s="183"/>
      <c r="IR272" s="184"/>
      <c r="IS272" s="185"/>
      <c r="IT272" s="186"/>
    </row>
    <row r="273" spans="1:256" s="125" customFormat="1">
      <c r="A273" s="16">
        <v>57</v>
      </c>
      <c r="B273" s="17">
        <v>42962</v>
      </c>
      <c r="C273" s="18"/>
      <c r="D273" s="19">
        <v>7</v>
      </c>
      <c r="E273" s="20" t="s">
        <v>370</v>
      </c>
      <c r="F273" s="62" t="s">
        <v>371</v>
      </c>
      <c r="G273" s="63">
        <v>1705</v>
      </c>
      <c r="H273" s="121"/>
      <c r="I273" s="24">
        <v>4822381</v>
      </c>
      <c r="J273" s="24"/>
      <c r="K273" s="24">
        <f t="shared" si="19"/>
        <v>4822381</v>
      </c>
      <c r="L273" s="123"/>
      <c r="M273" s="24">
        <f t="shared" si="20"/>
        <v>0</v>
      </c>
      <c r="N273" s="124">
        <f t="shared" si="21"/>
        <v>4822381</v>
      </c>
      <c r="O273" s="108"/>
      <c r="P273" s="3"/>
      <c r="Q273" s="140"/>
      <c r="R273" s="3"/>
      <c r="S273" s="3"/>
      <c r="T273" s="3"/>
      <c r="U273" s="3"/>
      <c r="V273" s="3"/>
      <c r="W273" s="3"/>
      <c r="X273" s="3"/>
      <c r="Y273" s="3"/>
      <c r="Z273" s="3"/>
      <c r="AA273" s="130"/>
      <c r="AB273" s="130"/>
      <c r="AC273" s="130"/>
      <c r="AD273" s="130"/>
      <c r="AE273" s="130"/>
      <c r="AF273" s="130"/>
      <c r="AG273" s="130"/>
      <c r="AH273" s="130"/>
      <c r="AI273" s="3"/>
      <c r="AJ273" s="3"/>
      <c r="AK273" s="3"/>
      <c r="AY273" s="167"/>
      <c r="AZ273" s="167"/>
      <c r="BA273" s="167"/>
      <c r="BB273" s="167"/>
      <c r="BC273" s="167"/>
      <c r="BD273" s="167"/>
      <c r="BE273" s="167"/>
      <c r="BF273" s="167"/>
      <c r="BW273" s="167"/>
      <c r="BX273" s="167"/>
      <c r="BY273" s="167"/>
      <c r="BZ273" s="167"/>
      <c r="CA273" s="167"/>
      <c r="CB273" s="167"/>
      <c r="CC273" s="167"/>
      <c r="CD273" s="167"/>
      <c r="CU273" s="167"/>
      <c r="CV273" s="167"/>
      <c r="CW273" s="167"/>
      <c r="CX273" s="167"/>
      <c r="CY273" s="167"/>
      <c r="CZ273" s="167"/>
      <c r="DA273" s="167"/>
      <c r="DB273" s="167"/>
      <c r="DS273" s="167"/>
      <c r="DT273" s="167"/>
      <c r="DU273" s="167"/>
      <c r="DV273" s="167"/>
      <c r="DW273" s="167"/>
      <c r="DX273" s="167"/>
      <c r="DY273" s="167"/>
      <c r="DZ273" s="167"/>
      <c r="EQ273" s="167"/>
      <c r="ER273" s="167"/>
      <c r="ES273" s="167"/>
      <c r="ET273" s="167"/>
      <c r="EU273" s="167"/>
      <c r="EV273" s="167"/>
      <c r="EW273" s="167"/>
      <c r="EX273" s="167"/>
      <c r="FO273" s="167"/>
      <c r="FP273" s="167"/>
      <c r="FQ273" s="167"/>
      <c r="FR273" s="167"/>
      <c r="FS273" s="167"/>
      <c r="FT273" s="167"/>
      <c r="FU273" s="167"/>
      <c r="FV273" s="167"/>
      <c r="GM273" s="167"/>
      <c r="GN273" s="167"/>
      <c r="GO273" s="167"/>
      <c r="GP273" s="167"/>
      <c r="GQ273" s="167"/>
      <c r="GR273" s="167"/>
      <c r="GS273" s="167"/>
      <c r="GT273" s="167"/>
      <c r="HK273" s="167"/>
      <c r="HL273" s="167"/>
      <c r="HM273" s="167"/>
      <c r="HN273" s="167"/>
      <c r="HO273" s="167"/>
      <c r="HP273" s="167"/>
      <c r="HQ273" s="167"/>
      <c r="HR273" s="167"/>
      <c r="II273" s="167"/>
      <c r="IJ273" s="167"/>
      <c r="IK273" s="167"/>
      <c r="IL273" s="167"/>
      <c r="IM273" s="167"/>
      <c r="IN273" s="167"/>
      <c r="IO273" s="167"/>
      <c r="IP273" s="167"/>
    </row>
    <row r="274" spans="1:256" s="125" customFormat="1">
      <c r="A274" s="16">
        <v>58</v>
      </c>
      <c r="B274" s="29">
        <v>43041</v>
      </c>
      <c r="C274" s="18"/>
      <c r="D274" s="19" t="s">
        <v>359</v>
      </c>
      <c r="E274" s="20" t="s">
        <v>372</v>
      </c>
      <c r="F274" s="62" t="s">
        <v>373</v>
      </c>
      <c r="G274" s="63">
        <v>1708</v>
      </c>
      <c r="H274" s="121">
        <v>4671800</v>
      </c>
      <c r="I274" s="24">
        <v>4449333</v>
      </c>
      <c r="J274" s="24"/>
      <c r="K274" s="24">
        <f t="shared" si="19"/>
        <v>4449333</v>
      </c>
      <c r="L274" s="123"/>
      <c r="M274" s="24">
        <f t="shared" si="20"/>
        <v>0</v>
      </c>
      <c r="N274" s="124">
        <f t="shared" si="21"/>
        <v>4449333</v>
      </c>
      <c r="O274" s="107"/>
      <c r="P274" s="3"/>
      <c r="Q274" s="140"/>
      <c r="R274" s="3"/>
      <c r="S274" s="3"/>
      <c r="T274" s="3"/>
      <c r="U274" s="3"/>
      <c r="V274" s="3"/>
      <c r="W274" s="3"/>
      <c r="X274" s="3"/>
      <c r="Y274" s="131"/>
      <c r="Z274" s="15"/>
      <c r="AA274" s="99"/>
      <c r="AB274" s="149"/>
      <c r="AC274" s="134"/>
      <c r="AD274" s="134"/>
      <c r="AE274" s="137"/>
      <c r="AF274" s="193"/>
      <c r="AG274" s="183"/>
      <c r="AH274" s="183"/>
      <c r="AJ274" s="184"/>
      <c r="AK274" s="185"/>
      <c r="AL274" s="186"/>
      <c r="AW274" s="187"/>
      <c r="AX274" s="188"/>
      <c r="AY274" s="194"/>
      <c r="AZ274" s="195"/>
      <c r="BA274" s="191"/>
      <c r="BB274" s="191"/>
      <c r="BC274" s="183"/>
      <c r="BD274" s="193"/>
      <c r="BE274" s="183"/>
      <c r="BF274" s="183"/>
      <c r="BH274" s="184"/>
      <c r="BI274" s="185"/>
      <c r="BJ274" s="186"/>
      <c r="BU274" s="187"/>
      <c r="BV274" s="188"/>
      <c r="BW274" s="194"/>
      <c r="BX274" s="195"/>
      <c r="BY274" s="191"/>
      <c r="BZ274" s="191"/>
      <c r="CA274" s="183"/>
      <c r="CB274" s="193"/>
      <c r="CC274" s="183"/>
      <c r="CD274" s="183"/>
      <c r="CF274" s="184"/>
      <c r="CG274" s="185"/>
      <c r="CH274" s="186"/>
      <c r="CS274" s="187"/>
      <c r="CT274" s="188"/>
      <c r="CU274" s="194"/>
      <c r="CV274" s="195"/>
      <c r="CW274" s="191"/>
      <c r="CX274" s="191"/>
      <c r="CY274" s="183"/>
      <c r="CZ274" s="193"/>
      <c r="DA274" s="183"/>
      <c r="DB274" s="183"/>
      <c r="DD274" s="184"/>
      <c r="DE274" s="185"/>
      <c r="DF274" s="186"/>
      <c r="DQ274" s="187"/>
      <c r="DR274" s="188"/>
      <c r="DS274" s="194"/>
      <c r="DT274" s="195"/>
      <c r="DU274" s="191"/>
      <c r="DV274" s="191"/>
      <c r="DW274" s="183"/>
      <c r="DX274" s="193"/>
      <c r="DY274" s="183"/>
      <c r="DZ274" s="183"/>
      <c r="EB274" s="184"/>
      <c r="EC274" s="185"/>
      <c r="ED274" s="186"/>
      <c r="EO274" s="187"/>
      <c r="EP274" s="188"/>
      <c r="EQ274" s="194"/>
      <c r="ER274" s="195"/>
      <c r="ES274" s="191"/>
      <c r="ET274" s="191"/>
      <c r="EU274" s="183"/>
      <c r="EV274" s="193"/>
      <c r="EW274" s="183"/>
      <c r="EX274" s="183"/>
      <c r="EZ274" s="184"/>
      <c r="FA274" s="185"/>
      <c r="FB274" s="186"/>
      <c r="FM274" s="187"/>
      <c r="FN274" s="188"/>
      <c r="FO274" s="194"/>
      <c r="FP274" s="195"/>
      <c r="FQ274" s="191"/>
      <c r="FR274" s="191"/>
      <c r="FS274" s="183"/>
      <c r="FT274" s="193"/>
      <c r="FU274" s="183"/>
      <c r="FV274" s="183"/>
      <c r="FX274" s="184"/>
      <c r="FY274" s="185"/>
      <c r="FZ274" s="186"/>
      <c r="GK274" s="187"/>
      <c r="GL274" s="188"/>
      <c r="GM274" s="194"/>
      <c r="GN274" s="195"/>
      <c r="GO274" s="191"/>
      <c r="GP274" s="191"/>
      <c r="GQ274" s="183"/>
      <c r="GR274" s="193"/>
      <c r="GS274" s="183"/>
      <c r="GT274" s="183"/>
      <c r="GV274" s="184"/>
      <c r="GW274" s="185"/>
      <c r="GX274" s="186"/>
      <c r="HI274" s="187"/>
      <c r="HJ274" s="188"/>
      <c r="HK274" s="194"/>
      <c r="HL274" s="195"/>
      <c r="HM274" s="191"/>
      <c r="HN274" s="191"/>
      <c r="HO274" s="183"/>
      <c r="HP274" s="193"/>
      <c r="HQ274" s="183"/>
      <c r="HR274" s="183"/>
      <c r="HT274" s="184"/>
      <c r="HU274" s="185"/>
      <c r="HV274" s="186"/>
      <c r="IG274" s="187"/>
      <c r="IH274" s="188"/>
      <c r="II274" s="194"/>
      <c r="IJ274" s="195"/>
      <c r="IK274" s="191"/>
      <c r="IL274" s="191"/>
      <c r="IM274" s="183"/>
      <c r="IN274" s="193"/>
      <c r="IO274" s="183"/>
      <c r="IP274" s="183"/>
      <c r="IR274" s="184"/>
      <c r="IS274" s="185"/>
      <c r="IT274" s="186"/>
    </row>
    <row r="275" spans="1:256" s="125" customFormat="1">
      <c r="A275" s="16">
        <v>59</v>
      </c>
      <c r="B275" s="29">
        <v>43048</v>
      </c>
      <c r="C275" s="18"/>
      <c r="D275" s="19" t="s">
        <v>359</v>
      </c>
      <c r="E275" s="20" t="s">
        <v>372</v>
      </c>
      <c r="F275" s="82" t="s">
        <v>374</v>
      </c>
      <c r="G275" s="58">
        <v>1708</v>
      </c>
      <c r="H275" s="121">
        <f>4671800+550000</f>
        <v>5221800</v>
      </c>
      <c r="I275" s="24">
        <v>4973143</v>
      </c>
      <c r="J275" s="24"/>
      <c r="K275" s="24">
        <f t="shared" si="19"/>
        <v>4973143</v>
      </c>
      <c r="L275" s="123"/>
      <c r="M275" s="24">
        <f t="shared" si="20"/>
        <v>0</v>
      </c>
      <c r="N275" s="124">
        <f t="shared" si="21"/>
        <v>4973143</v>
      </c>
      <c r="O275" s="107"/>
      <c r="P275" s="3"/>
      <c r="Q275" s="140"/>
      <c r="R275" s="3"/>
      <c r="S275" s="3"/>
      <c r="T275" s="3"/>
      <c r="U275" s="3"/>
      <c r="V275" s="3"/>
      <c r="W275" s="3"/>
      <c r="X275" s="3"/>
      <c r="Y275" s="3"/>
      <c r="Z275" s="3"/>
      <c r="AA275" s="130"/>
      <c r="AB275" s="130"/>
      <c r="AC275" s="130"/>
      <c r="AD275" s="130"/>
      <c r="AE275" s="130"/>
      <c r="AF275" s="167"/>
      <c r="AG275" s="167"/>
      <c r="AH275" s="167"/>
      <c r="AY275" s="167"/>
      <c r="AZ275" s="167"/>
      <c r="BA275" s="167"/>
      <c r="BB275" s="167"/>
      <c r="BC275" s="167"/>
      <c r="BD275" s="167"/>
      <c r="BE275" s="167"/>
      <c r="BF275" s="167"/>
      <c r="BW275" s="167"/>
      <c r="BX275" s="167"/>
      <c r="BY275" s="167"/>
      <c r="BZ275" s="167"/>
      <c r="CA275" s="167"/>
      <c r="CB275" s="167"/>
      <c r="CC275" s="167"/>
      <c r="CD275" s="167"/>
      <c r="CU275" s="167"/>
      <c r="CV275" s="167"/>
      <c r="CW275" s="167"/>
      <c r="CX275" s="167"/>
      <c r="CY275" s="167"/>
      <c r="CZ275" s="167"/>
      <c r="DA275" s="167"/>
      <c r="DB275" s="167"/>
      <c r="DS275" s="167"/>
      <c r="DT275" s="167"/>
      <c r="DU275" s="167"/>
      <c r="DV275" s="167"/>
      <c r="DW275" s="167"/>
      <c r="DX275" s="167"/>
      <c r="DY275" s="167"/>
      <c r="DZ275" s="167"/>
      <c r="EQ275" s="167"/>
      <c r="ER275" s="167"/>
      <c r="ES275" s="167"/>
      <c r="ET275" s="167"/>
      <c r="EU275" s="167"/>
      <c r="EV275" s="167"/>
      <c r="EW275" s="167"/>
      <c r="EX275" s="167"/>
      <c r="FO275" s="167"/>
      <c r="FP275" s="167"/>
      <c r="FQ275" s="167"/>
      <c r="FR275" s="167"/>
      <c r="FS275" s="167"/>
      <c r="FT275" s="167"/>
      <c r="FU275" s="167"/>
      <c r="FV275" s="167"/>
      <c r="GM275" s="167"/>
      <c r="GN275" s="167"/>
      <c r="GO275" s="167"/>
      <c r="GP275" s="167"/>
      <c r="GQ275" s="167"/>
      <c r="GR275" s="167"/>
      <c r="GS275" s="167"/>
      <c r="GT275" s="167"/>
      <c r="HK275" s="167"/>
      <c r="HL275" s="167"/>
      <c r="HM275" s="167"/>
      <c r="HN275" s="167"/>
      <c r="HO275" s="167"/>
      <c r="HP275" s="167"/>
      <c r="HQ275" s="167"/>
      <c r="HR275" s="167"/>
      <c r="II275" s="167"/>
      <c r="IJ275" s="167"/>
      <c r="IK275" s="167"/>
      <c r="IL275" s="167"/>
      <c r="IM275" s="167"/>
      <c r="IN275" s="167"/>
      <c r="IO275" s="167"/>
      <c r="IP275" s="167"/>
    </row>
    <row r="276" spans="1:256" s="125" customFormat="1">
      <c r="A276" s="16">
        <v>60</v>
      </c>
      <c r="B276" s="29">
        <v>43089</v>
      </c>
      <c r="C276" s="18"/>
      <c r="D276" s="19" t="s">
        <v>359</v>
      </c>
      <c r="E276" s="20" t="s">
        <v>372</v>
      </c>
      <c r="F276" s="82" t="s">
        <v>375</v>
      </c>
      <c r="G276" s="58">
        <v>1708</v>
      </c>
      <c r="H276" s="121">
        <v>4671800</v>
      </c>
      <c r="I276" s="24"/>
      <c r="J276" s="24">
        <f>SUM(H276)/1.05</f>
        <v>4449333.333333333</v>
      </c>
      <c r="K276" s="24">
        <f t="shared" si="19"/>
        <v>4449333.333333333</v>
      </c>
      <c r="L276" s="123"/>
      <c r="M276" s="24">
        <f t="shared" si="20"/>
        <v>0</v>
      </c>
      <c r="N276" s="124">
        <f t="shared" si="21"/>
        <v>4449333.333333333</v>
      </c>
      <c r="O276" s="87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130"/>
      <c r="AB276" s="130"/>
      <c r="AC276" s="130"/>
      <c r="AD276" s="130"/>
      <c r="AE276" s="130"/>
      <c r="AF276" s="167"/>
      <c r="AG276" s="167"/>
      <c r="AH276" s="167"/>
      <c r="AY276" s="167"/>
      <c r="AZ276" s="167"/>
      <c r="BA276" s="167"/>
      <c r="BB276" s="167"/>
      <c r="BC276" s="167"/>
      <c r="BD276" s="167"/>
      <c r="BE276" s="167"/>
      <c r="BF276" s="167"/>
      <c r="BW276" s="167"/>
      <c r="BX276" s="167"/>
      <c r="BY276" s="167"/>
      <c r="BZ276" s="167"/>
      <c r="CA276" s="167"/>
      <c r="CB276" s="167"/>
      <c r="CC276" s="167"/>
      <c r="CD276" s="167"/>
      <c r="CU276" s="167"/>
      <c r="CV276" s="167"/>
      <c r="CW276" s="167"/>
      <c r="CX276" s="167"/>
      <c r="CY276" s="167"/>
      <c r="CZ276" s="167"/>
      <c r="DA276" s="167"/>
      <c r="DB276" s="167"/>
      <c r="DS276" s="167"/>
      <c r="DT276" s="167"/>
      <c r="DU276" s="167"/>
      <c r="DV276" s="167"/>
      <c r="DW276" s="167"/>
      <c r="DX276" s="167"/>
      <c r="DY276" s="167"/>
      <c r="DZ276" s="167"/>
      <c r="EQ276" s="167"/>
      <c r="ER276" s="167"/>
      <c r="ES276" s="167"/>
      <c r="ET276" s="167"/>
      <c r="EU276" s="167"/>
      <c r="EV276" s="167"/>
      <c r="EW276" s="167"/>
      <c r="EX276" s="167"/>
      <c r="FO276" s="167"/>
      <c r="FP276" s="167"/>
      <c r="FQ276" s="167"/>
      <c r="FR276" s="167"/>
      <c r="FS276" s="167"/>
      <c r="FT276" s="167"/>
      <c r="FU276" s="167"/>
      <c r="FV276" s="167"/>
      <c r="GM276" s="167"/>
      <c r="GN276" s="167"/>
      <c r="GO276" s="167"/>
      <c r="GP276" s="167"/>
      <c r="GQ276" s="167"/>
      <c r="GR276" s="167"/>
      <c r="GS276" s="167"/>
      <c r="GT276" s="167"/>
      <c r="HK276" s="167"/>
      <c r="HL276" s="167"/>
      <c r="HM276" s="167"/>
      <c r="HN276" s="167"/>
      <c r="HO276" s="167"/>
      <c r="HP276" s="167"/>
      <c r="HQ276" s="167"/>
      <c r="HR276" s="167"/>
      <c r="II276" s="167"/>
      <c r="IJ276" s="167"/>
      <c r="IK276" s="167"/>
      <c r="IL276" s="167"/>
      <c r="IM276" s="167"/>
      <c r="IN276" s="167"/>
      <c r="IO276" s="167"/>
      <c r="IP276" s="167"/>
    </row>
    <row r="277" spans="1:256" s="125" customFormat="1">
      <c r="A277" s="16">
        <v>61</v>
      </c>
      <c r="B277" s="17">
        <v>43094</v>
      </c>
      <c r="C277" s="18"/>
      <c r="D277" s="19" t="s">
        <v>359</v>
      </c>
      <c r="E277" s="20" t="s">
        <v>372</v>
      </c>
      <c r="F277" s="168" t="s">
        <v>376</v>
      </c>
      <c r="G277" s="63">
        <v>1709</v>
      </c>
      <c r="H277" s="121">
        <v>4671800</v>
      </c>
      <c r="I277" s="24"/>
      <c r="J277" s="24">
        <f>SUM(H277)/1.05</f>
        <v>4449333.333333333</v>
      </c>
      <c r="K277" s="24">
        <f t="shared" si="19"/>
        <v>4449333.333333333</v>
      </c>
      <c r="L277" s="123"/>
      <c r="M277" s="24">
        <f t="shared" si="20"/>
        <v>0</v>
      </c>
      <c r="N277" s="124">
        <f t="shared" si="21"/>
        <v>4449333.333333333</v>
      </c>
      <c r="O277" s="108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130"/>
      <c r="AB277" s="130"/>
      <c r="AC277" s="130"/>
      <c r="AD277" s="130"/>
      <c r="AE277" s="130"/>
      <c r="AF277" s="167"/>
      <c r="AG277" s="167"/>
      <c r="AH277" s="167"/>
      <c r="AY277" s="167"/>
      <c r="AZ277" s="167"/>
      <c r="BA277" s="167"/>
      <c r="BB277" s="167"/>
      <c r="BC277" s="167"/>
      <c r="BD277" s="167"/>
      <c r="BE277" s="167"/>
      <c r="BF277" s="167"/>
      <c r="BW277" s="167"/>
      <c r="BX277" s="167"/>
      <c r="BY277" s="167"/>
      <c r="BZ277" s="167"/>
      <c r="CA277" s="167"/>
      <c r="CB277" s="167"/>
      <c r="CC277" s="167"/>
      <c r="CD277" s="167"/>
      <c r="CU277" s="167"/>
      <c r="CV277" s="167"/>
      <c r="CW277" s="167"/>
      <c r="CX277" s="167"/>
      <c r="CY277" s="167"/>
      <c r="CZ277" s="167"/>
      <c r="DA277" s="167"/>
      <c r="DB277" s="167"/>
      <c r="DS277" s="167"/>
      <c r="DT277" s="167"/>
      <c r="DU277" s="167"/>
      <c r="DV277" s="167"/>
      <c r="DW277" s="167"/>
      <c r="DX277" s="167"/>
      <c r="DY277" s="167"/>
      <c r="DZ277" s="167"/>
      <c r="EQ277" s="167"/>
      <c r="ER277" s="167"/>
      <c r="ES277" s="167"/>
      <c r="ET277" s="167"/>
      <c r="EU277" s="167"/>
      <c r="EV277" s="167"/>
      <c r="EW277" s="167"/>
      <c r="EX277" s="167"/>
      <c r="FO277" s="167"/>
      <c r="FP277" s="167"/>
      <c r="FQ277" s="167"/>
      <c r="FR277" s="167"/>
      <c r="FS277" s="167"/>
      <c r="FT277" s="167"/>
      <c r="FU277" s="167"/>
      <c r="FV277" s="167"/>
      <c r="GM277" s="167"/>
      <c r="GN277" s="167"/>
      <c r="GO277" s="167"/>
      <c r="GP277" s="167"/>
      <c r="GQ277" s="167"/>
      <c r="GR277" s="167"/>
      <c r="GS277" s="167"/>
      <c r="GT277" s="167"/>
      <c r="HK277" s="167"/>
      <c r="HL277" s="167"/>
      <c r="HM277" s="167"/>
      <c r="HN277" s="167"/>
      <c r="HO277" s="167"/>
      <c r="HP277" s="167"/>
      <c r="HQ277" s="167"/>
      <c r="HR277" s="167"/>
      <c r="II277" s="167"/>
      <c r="IJ277" s="167"/>
      <c r="IK277" s="167"/>
      <c r="IL277" s="167"/>
      <c r="IM277" s="167"/>
      <c r="IN277" s="167"/>
      <c r="IO277" s="167"/>
      <c r="IP277" s="167"/>
    </row>
    <row r="278" spans="1:256" s="125" customFormat="1">
      <c r="A278" s="16">
        <v>62</v>
      </c>
      <c r="B278" s="29">
        <v>43088</v>
      </c>
      <c r="C278" s="18"/>
      <c r="D278" s="19" t="s">
        <v>359</v>
      </c>
      <c r="E278" s="20" t="s">
        <v>377</v>
      </c>
      <c r="F278" s="82" t="s">
        <v>378</v>
      </c>
      <c r="G278" s="58">
        <v>1709</v>
      </c>
      <c r="H278" s="121">
        <v>5630600</v>
      </c>
      <c r="I278" s="24"/>
      <c r="J278" s="24">
        <f>SUM(H278)/1.05</f>
        <v>5362476.1904761903</v>
      </c>
      <c r="K278" s="24">
        <f t="shared" si="19"/>
        <v>5362476.1904761903</v>
      </c>
      <c r="L278" s="26"/>
      <c r="M278" s="24">
        <f t="shared" si="20"/>
        <v>0</v>
      </c>
      <c r="N278" s="124">
        <f t="shared" si="21"/>
        <v>5362476.1904761903</v>
      </c>
      <c r="O278" s="87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130"/>
      <c r="AB278" s="130"/>
      <c r="AC278" s="130"/>
      <c r="AD278" s="130"/>
      <c r="AE278" s="130"/>
      <c r="AF278" s="167"/>
      <c r="AG278" s="167"/>
      <c r="AH278" s="167"/>
      <c r="AY278" s="167"/>
      <c r="AZ278" s="167"/>
      <c r="BA278" s="167"/>
      <c r="BB278" s="167"/>
      <c r="BC278" s="167"/>
      <c r="BD278" s="167"/>
      <c r="BE278" s="167"/>
      <c r="BF278" s="167"/>
      <c r="BW278" s="167"/>
      <c r="BX278" s="167"/>
      <c r="BY278" s="167"/>
      <c r="BZ278" s="167"/>
      <c r="CA278" s="167"/>
      <c r="CB278" s="167"/>
      <c r="CC278" s="167"/>
      <c r="CD278" s="167"/>
      <c r="CU278" s="167"/>
      <c r="CV278" s="167"/>
      <c r="CW278" s="167"/>
      <c r="CX278" s="167"/>
      <c r="CY278" s="167"/>
      <c r="CZ278" s="167"/>
      <c r="DA278" s="167"/>
      <c r="DB278" s="167"/>
      <c r="DS278" s="167"/>
      <c r="DT278" s="167"/>
      <c r="DU278" s="167"/>
      <c r="DV278" s="167"/>
      <c r="DW278" s="167"/>
      <c r="DX278" s="167"/>
      <c r="DY278" s="167"/>
      <c r="DZ278" s="167"/>
      <c r="EQ278" s="167"/>
      <c r="ER278" s="167"/>
      <c r="ES278" s="167"/>
      <c r="ET278" s="167"/>
      <c r="EU278" s="167"/>
      <c r="EV278" s="167"/>
      <c r="EW278" s="167"/>
      <c r="EX278" s="167"/>
      <c r="FO278" s="167"/>
      <c r="FP278" s="167"/>
      <c r="FQ278" s="167"/>
      <c r="FR278" s="167"/>
      <c r="FS278" s="167"/>
      <c r="FT278" s="167"/>
      <c r="FU278" s="167"/>
      <c r="FV278" s="167"/>
      <c r="GM278" s="167"/>
      <c r="GN278" s="167"/>
      <c r="GO278" s="167"/>
      <c r="GP278" s="167"/>
      <c r="GQ278" s="167"/>
      <c r="GR278" s="167"/>
      <c r="GS278" s="167"/>
      <c r="GT278" s="167"/>
      <c r="HK278" s="167"/>
      <c r="HL278" s="167"/>
      <c r="HM278" s="167"/>
      <c r="HN278" s="167"/>
      <c r="HO278" s="167"/>
      <c r="HP278" s="167"/>
      <c r="HQ278" s="167"/>
      <c r="HR278" s="167"/>
      <c r="II278" s="167"/>
      <c r="IJ278" s="167"/>
      <c r="IK278" s="167"/>
      <c r="IL278" s="167"/>
      <c r="IM278" s="167"/>
      <c r="IN278" s="167"/>
      <c r="IO278" s="167"/>
      <c r="IP278" s="167"/>
    </row>
    <row r="279" spans="1:256" s="125" customFormat="1">
      <c r="A279" s="16">
        <v>63</v>
      </c>
      <c r="B279" s="29">
        <v>43096</v>
      </c>
      <c r="C279" s="18"/>
      <c r="D279" s="19" t="s">
        <v>379</v>
      </c>
      <c r="E279" s="20" t="s">
        <v>380</v>
      </c>
      <c r="F279" s="62" t="s">
        <v>381</v>
      </c>
      <c r="G279" s="63">
        <v>1710</v>
      </c>
      <c r="H279" s="121">
        <v>1530000</v>
      </c>
      <c r="I279" s="24"/>
      <c r="J279" s="24">
        <f>SUM(H279)/1.05</f>
        <v>1457142.857142857</v>
      </c>
      <c r="K279" s="24">
        <f t="shared" si="19"/>
        <v>1457142.857142857</v>
      </c>
      <c r="L279" s="123"/>
      <c r="M279" s="24">
        <f t="shared" si="20"/>
        <v>0</v>
      </c>
      <c r="N279" s="124">
        <f t="shared" si="21"/>
        <v>1457142.857142857</v>
      </c>
      <c r="O279" s="87"/>
      <c r="P279" s="3"/>
      <c r="Q279" s="140"/>
      <c r="R279" s="3"/>
      <c r="S279" s="3"/>
      <c r="T279" s="3"/>
      <c r="U279" s="3"/>
      <c r="V279" s="3"/>
      <c r="W279" s="3"/>
      <c r="X279" s="3"/>
      <c r="Y279" s="3"/>
      <c r="Z279" s="3"/>
      <c r="AA279" s="130"/>
      <c r="AB279" s="130"/>
      <c r="AC279" s="130"/>
      <c r="AD279" s="130"/>
      <c r="AE279" s="130"/>
      <c r="AF279" s="130"/>
      <c r="AG279" s="130"/>
      <c r="AH279" s="130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130"/>
      <c r="AZ279" s="130"/>
      <c r="BA279" s="130"/>
      <c r="BB279" s="130"/>
      <c r="BC279" s="130"/>
      <c r="BD279" s="130"/>
      <c r="BE279" s="130"/>
      <c r="BF279" s="130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130"/>
      <c r="BX279" s="130"/>
      <c r="BY279" s="130"/>
      <c r="BZ279" s="130"/>
      <c r="CA279" s="130"/>
      <c r="CB279" s="130"/>
      <c r="CC279" s="130"/>
      <c r="CD279" s="130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130"/>
      <c r="CV279" s="130"/>
      <c r="CW279" s="130"/>
      <c r="CX279" s="130"/>
      <c r="CY279" s="130"/>
      <c r="CZ279" s="130"/>
      <c r="DA279" s="130"/>
      <c r="DB279" s="130"/>
      <c r="DC279" s="3"/>
      <c r="DD279" s="3"/>
      <c r="DE279" s="3"/>
      <c r="DF279" s="3"/>
      <c r="DG279" s="3"/>
      <c r="DH279" s="3"/>
      <c r="DI279" s="3"/>
      <c r="DJ279" s="3"/>
      <c r="DK279" s="3"/>
      <c r="DL279" s="3"/>
      <c r="DM279" s="3"/>
      <c r="DN279" s="3"/>
      <c r="DO279" s="3"/>
      <c r="DP279" s="3"/>
      <c r="DQ279" s="3"/>
      <c r="DR279" s="3"/>
      <c r="DS279" s="130"/>
      <c r="DT279" s="130"/>
      <c r="DU279" s="130"/>
      <c r="DV279" s="130"/>
      <c r="DW279" s="130"/>
      <c r="DX279" s="130"/>
      <c r="DY279" s="130"/>
      <c r="DZ279" s="130"/>
      <c r="EA279" s="3"/>
      <c r="EB279" s="3"/>
      <c r="EC279" s="3"/>
      <c r="ED279" s="3"/>
      <c r="EE279" s="3"/>
      <c r="EF279" s="3"/>
      <c r="EG279" s="3"/>
      <c r="EH279" s="3"/>
      <c r="EI279" s="3"/>
      <c r="EJ279" s="3"/>
      <c r="EK279" s="3"/>
      <c r="EL279" s="3"/>
      <c r="EM279" s="3"/>
      <c r="EN279" s="3"/>
      <c r="EO279" s="3"/>
      <c r="EP279" s="3"/>
      <c r="EQ279" s="130"/>
      <c r="ER279" s="130"/>
      <c r="ES279" s="130"/>
      <c r="ET279" s="130"/>
      <c r="EU279" s="130"/>
      <c r="EV279" s="130"/>
      <c r="EW279" s="130"/>
      <c r="EX279" s="130"/>
      <c r="EY279" s="3"/>
      <c r="EZ279" s="3"/>
      <c r="FA279" s="3"/>
      <c r="FB279" s="3"/>
      <c r="FC279" s="3"/>
      <c r="FD279" s="3"/>
      <c r="FE279" s="3"/>
      <c r="FF279" s="3"/>
      <c r="FG279" s="3"/>
      <c r="FH279" s="3"/>
      <c r="FI279" s="3"/>
      <c r="FJ279" s="3"/>
      <c r="FK279" s="3"/>
      <c r="FL279" s="3"/>
      <c r="FM279" s="3"/>
      <c r="FN279" s="3"/>
      <c r="FO279" s="130"/>
      <c r="FP279" s="130"/>
      <c r="FQ279" s="130"/>
      <c r="FR279" s="130"/>
      <c r="FS279" s="130"/>
      <c r="FT279" s="130"/>
      <c r="FU279" s="130"/>
      <c r="FV279" s="130"/>
      <c r="FW279" s="3"/>
      <c r="FX279" s="3"/>
      <c r="FY279" s="3"/>
      <c r="FZ279" s="3"/>
      <c r="GA279" s="3"/>
      <c r="GB279" s="3"/>
      <c r="GC279" s="3"/>
      <c r="GD279" s="3"/>
      <c r="GE279" s="3"/>
      <c r="GF279" s="3"/>
      <c r="GG279" s="3"/>
      <c r="GH279" s="3"/>
      <c r="GI279" s="3"/>
      <c r="GJ279" s="3"/>
      <c r="GK279" s="3"/>
      <c r="GL279" s="3"/>
      <c r="GM279" s="130"/>
      <c r="GN279" s="130"/>
      <c r="GO279" s="130"/>
      <c r="GP279" s="130"/>
      <c r="GQ279" s="130"/>
      <c r="GR279" s="130"/>
      <c r="GS279" s="130"/>
      <c r="GT279" s="130"/>
      <c r="GU279" s="3"/>
      <c r="GV279" s="3"/>
      <c r="GW279" s="3"/>
      <c r="GX279" s="3"/>
      <c r="GY279" s="3"/>
      <c r="GZ279" s="3"/>
      <c r="HA279" s="3"/>
      <c r="HB279" s="3"/>
      <c r="HC279" s="3"/>
      <c r="HD279" s="3"/>
      <c r="HE279" s="3"/>
      <c r="HF279" s="3"/>
      <c r="HG279" s="3"/>
      <c r="HH279" s="3"/>
      <c r="HI279" s="3"/>
      <c r="HJ279" s="3"/>
      <c r="HK279" s="130"/>
      <c r="HL279" s="130"/>
      <c r="HM279" s="130"/>
      <c r="HN279" s="130"/>
      <c r="HO279" s="130"/>
      <c r="HP279" s="130"/>
      <c r="HQ279" s="130"/>
      <c r="HR279" s="130"/>
      <c r="HS279" s="3"/>
      <c r="HT279" s="3"/>
      <c r="HU279" s="3"/>
      <c r="HV279" s="3"/>
      <c r="HW279" s="3"/>
      <c r="HX279" s="3"/>
      <c r="HY279" s="3"/>
      <c r="HZ279" s="3"/>
      <c r="IA279" s="3"/>
      <c r="IB279" s="3"/>
      <c r="IC279" s="3"/>
      <c r="ID279" s="3"/>
      <c r="IE279" s="3"/>
      <c r="IF279" s="3"/>
      <c r="IG279" s="3"/>
      <c r="IH279" s="3"/>
      <c r="II279" s="130"/>
      <c r="IJ279" s="130"/>
      <c r="IK279" s="130"/>
      <c r="IL279" s="130"/>
      <c r="IM279" s="130"/>
      <c r="IN279" s="130"/>
      <c r="IO279" s="130"/>
      <c r="IP279" s="130"/>
      <c r="IQ279" s="3"/>
      <c r="IR279" s="3"/>
      <c r="IS279" s="3"/>
      <c r="IT279" s="3"/>
      <c r="IU279" s="3"/>
      <c r="IV279" s="3"/>
    </row>
    <row r="280" spans="1:256" s="125" customFormat="1">
      <c r="A280" s="16">
        <v>64</v>
      </c>
      <c r="B280" s="17">
        <v>43054</v>
      </c>
      <c r="C280" s="18"/>
      <c r="D280" s="19" t="s">
        <v>379</v>
      </c>
      <c r="E280" s="20" t="s">
        <v>380</v>
      </c>
      <c r="F280" s="168" t="s">
        <v>382</v>
      </c>
      <c r="G280" s="63">
        <v>1705</v>
      </c>
      <c r="H280" s="121">
        <v>1530000</v>
      </c>
      <c r="I280" s="24">
        <v>1361905</v>
      </c>
      <c r="J280" s="24"/>
      <c r="K280" s="24">
        <f t="shared" si="19"/>
        <v>1361905</v>
      </c>
      <c r="L280" s="123"/>
      <c r="M280" s="24">
        <f t="shared" si="20"/>
        <v>0</v>
      </c>
      <c r="N280" s="124">
        <f t="shared" si="21"/>
        <v>1361905</v>
      </c>
      <c r="O280" s="107"/>
      <c r="P280" s="3"/>
      <c r="Q280" s="3"/>
      <c r="R280" s="3"/>
      <c r="S280" s="3"/>
      <c r="T280" s="3"/>
      <c r="U280" s="3"/>
      <c r="V280" s="3"/>
      <c r="W280" s="3"/>
      <c r="X280" s="3"/>
      <c r="Y280" s="131"/>
      <c r="Z280" s="15"/>
      <c r="AA280" s="132"/>
      <c r="AB280" s="133"/>
      <c r="AC280" s="134"/>
      <c r="AD280" s="134"/>
      <c r="AE280" s="135"/>
      <c r="AF280" s="136"/>
      <c r="AG280" s="137"/>
      <c r="AH280" s="137"/>
      <c r="AI280" s="3"/>
      <c r="AJ280" s="138"/>
      <c r="AK280" s="2"/>
      <c r="AL280" s="139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131"/>
      <c r="AX280" s="15"/>
      <c r="AY280" s="132"/>
      <c r="AZ280" s="133"/>
      <c r="BA280" s="134"/>
      <c r="BB280" s="134"/>
      <c r="BC280" s="135"/>
      <c r="BD280" s="136"/>
      <c r="BE280" s="137"/>
      <c r="BF280" s="137"/>
      <c r="BG280" s="3"/>
      <c r="BH280" s="138"/>
      <c r="BI280" s="2"/>
      <c r="BJ280" s="139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131"/>
      <c r="BV280" s="15"/>
      <c r="BW280" s="132"/>
      <c r="BX280" s="133"/>
      <c r="BY280" s="134"/>
      <c r="BZ280" s="134"/>
      <c r="CA280" s="135"/>
      <c r="CB280" s="136"/>
      <c r="CC280" s="137"/>
      <c r="CD280" s="137"/>
      <c r="CE280" s="3"/>
      <c r="CF280" s="138"/>
      <c r="CG280" s="2"/>
      <c r="CH280" s="139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131"/>
      <c r="CT280" s="15"/>
      <c r="CU280" s="132"/>
      <c r="CV280" s="133"/>
      <c r="CW280" s="134"/>
      <c r="CX280" s="134"/>
      <c r="CY280" s="135"/>
      <c r="CZ280" s="136"/>
      <c r="DA280" s="137"/>
      <c r="DB280" s="137"/>
      <c r="DC280" s="3"/>
      <c r="DD280" s="138"/>
      <c r="DE280" s="2"/>
      <c r="DF280" s="139"/>
      <c r="DG280" s="3"/>
      <c r="DH280" s="3"/>
      <c r="DI280" s="3"/>
      <c r="DJ280" s="3"/>
      <c r="DK280" s="3"/>
      <c r="DL280" s="3"/>
      <c r="DM280" s="3"/>
      <c r="DN280" s="3"/>
      <c r="DO280" s="3"/>
      <c r="DP280" s="3"/>
      <c r="DQ280" s="131"/>
      <c r="DR280" s="15"/>
      <c r="DS280" s="132"/>
      <c r="DT280" s="133"/>
      <c r="DU280" s="134"/>
      <c r="DV280" s="134"/>
      <c r="DW280" s="135"/>
      <c r="DX280" s="136"/>
      <c r="DY280" s="137"/>
      <c r="DZ280" s="137"/>
      <c r="EA280" s="3"/>
      <c r="EB280" s="138"/>
      <c r="EC280" s="2"/>
      <c r="ED280" s="139"/>
      <c r="EE280" s="3"/>
      <c r="EF280" s="3"/>
      <c r="EG280" s="3"/>
      <c r="EH280" s="3"/>
      <c r="EI280" s="3"/>
      <c r="EJ280" s="3"/>
      <c r="EK280" s="3"/>
      <c r="EL280" s="3"/>
      <c r="EM280" s="3"/>
      <c r="EN280" s="3"/>
      <c r="EO280" s="131"/>
      <c r="EP280" s="15"/>
      <c r="EQ280" s="132"/>
      <c r="ER280" s="133"/>
      <c r="ES280" s="134"/>
      <c r="ET280" s="134"/>
      <c r="EU280" s="135"/>
      <c r="EV280" s="136"/>
      <c r="EW280" s="137"/>
      <c r="EX280" s="137"/>
      <c r="EY280" s="3"/>
      <c r="EZ280" s="138"/>
      <c r="FA280" s="2"/>
      <c r="FB280" s="139"/>
      <c r="FC280" s="3"/>
      <c r="FD280" s="3"/>
      <c r="FE280" s="3"/>
      <c r="FF280" s="3"/>
      <c r="FG280" s="3"/>
      <c r="FH280" s="3"/>
      <c r="FI280" s="3"/>
      <c r="FJ280" s="3"/>
      <c r="FK280" s="3"/>
      <c r="FL280" s="3"/>
      <c r="FM280" s="131"/>
      <c r="FN280" s="15"/>
      <c r="FO280" s="132"/>
      <c r="FP280" s="133"/>
      <c r="FQ280" s="134"/>
      <c r="FR280" s="134"/>
      <c r="FS280" s="135"/>
      <c r="FT280" s="136"/>
      <c r="FU280" s="137"/>
      <c r="FV280" s="137"/>
      <c r="FW280" s="3"/>
      <c r="FX280" s="138"/>
      <c r="FY280" s="2"/>
      <c r="FZ280" s="139"/>
      <c r="GA280" s="3"/>
      <c r="GB280" s="3"/>
      <c r="GC280" s="3"/>
      <c r="GD280" s="3"/>
      <c r="GE280" s="3"/>
      <c r="GF280" s="3"/>
      <c r="GG280" s="3"/>
      <c r="GH280" s="3"/>
      <c r="GI280" s="3"/>
      <c r="GJ280" s="3"/>
      <c r="GK280" s="131"/>
      <c r="GL280" s="15"/>
      <c r="GM280" s="132"/>
      <c r="GN280" s="133"/>
      <c r="GO280" s="134"/>
      <c r="GP280" s="134"/>
      <c r="GQ280" s="135"/>
      <c r="GR280" s="136"/>
      <c r="GS280" s="137"/>
      <c r="GT280" s="137"/>
      <c r="GU280" s="3"/>
      <c r="GV280" s="138"/>
      <c r="GW280" s="2"/>
      <c r="GX280" s="139"/>
      <c r="GY280" s="3"/>
      <c r="GZ280" s="3"/>
      <c r="HA280" s="3"/>
      <c r="HB280" s="3"/>
      <c r="HC280" s="3"/>
      <c r="HD280" s="3"/>
      <c r="HE280" s="3"/>
      <c r="HF280" s="3"/>
      <c r="HG280" s="3"/>
      <c r="HH280" s="3"/>
      <c r="HI280" s="131"/>
      <c r="HJ280" s="15"/>
      <c r="HK280" s="132"/>
      <c r="HL280" s="133"/>
      <c r="HM280" s="134"/>
      <c r="HN280" s="134"/>
      <c r="HO280" s="135"/>
      <c r="HP280" s="136"/>
      <c r="HQ280" s="137"/>
      <c r="HR280" s="137"/>
      <c r="HS280" s="3"/>
      <c r="HT280" s="138"/>
      <c r="HU280" s="2"/>
      <c r="HV280" s="139"/>
      <c r="HW280" s="3"/>
      <c r="HX280" s="3"/>
      <c r="HY280" s="3"/>
      <c r="HZ280" s="3"/>
      <c r="IA280" s="3"/>
      <c r="IB280" s="3"/>
      <c r="IC280" s="3"/>
      <c r="ID280" s="3"/>
      <c r="IE280" s="3"/>
      <c r="IF280" s="3"/>
      <c r="IG280" s="131"/>
      <c r="IH280" s="15"/>
      <c r="II280" s="132"/>
      <c r="IJ280" s="133"/>
      <c r="IK280" s="134"/>
      <c r="IL280" s="134"/>
      <c r="IM280" s="135"/>
      <c r="IN280" s="136"/>
      <c r="IO280" s="137"/>
      <c r="IP280" s="137"/>
      <c r="IQ280" s="3"/>
      <c r="IR280" s="138"/>
      <c r="IS280" s="2"/>
      <c r="IT280" s="139"/>
      <c r="IU280" s="3"/>
      <c r="IV280" s="3"/>
    </row>
    <row r="281" spans="1:256" s="125" customFormat="1">
      <c r="A281" s="16">
        <v>65</v>
      </c>
      <c r="B281" s="29">
        <v>43098</v>
      </c>
      <c r="C281" s="18"/>
      <c r="D281" s="19" t="s">
        <v>379</v>
      </c>
      <c r="E281" s="20" t="s">
        <v>383</v>
      </c>
      <c r="F281" s="62" t="s">
        <v>384</v>
      </c>
      <c r="G281" s="63">
        <v>1710</v>
      </c>
      <c r="H281" s="121">
        <v>1410000</v>
      </c>
      <c r="I281" s="24"/>
      <c r="J281" s="24">
        <f t="shared" ref="J281:J289" si="25">SUM(H281)/1.05</f>
        <v>1342857.1428571427</v>
      </c>
      <c r="K281" s="24">
        <f t="shared" ref="K281:K344" si="26">I281+J281</f>
        <v>1342857.1428571427</v>
      </c>
      <c r="L281" s="123"/>
      <c r="M281" s="24">
        <f t="shared" ref="M281:M344" si="27">K281*L281</f>
        <v>0</v>
      </c>
      <c r="N281" s="124">
        <f t="shared" ref="N281:N344" si="28">K281-M281</f>
        <v>1342857.1428571427</v>
      </c>
      <c r="O281" s="87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130"/>
      <c r="AB281" s="130"/>
      <c r="AC281" s="130"/>
      <c r="AD281" s="130"/>
      <c r="AE281" s="130"/>
      <c r="AF281" s="130"/>
      <c r="AG281" s="130"/>
      <c r="AH281" s="130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130"/>
      <c r="AZ281" s="130"/>
      <c r="BA281" s="130"/>
      <c r="BB281" s="130"/>
      <c r="BC281" s="130"/>
      <c r="BD281" s="130"/>
      <c r="BE281" s="130"/>
      <c r="BF281" s="130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130"/>
      <c r="BX281" s="130"/>
      <c r="BY281" s="130"/>
      <c r="BZ281" s="130"/>
      <c r="CA281" s="130"/>
      <c r="CB281" s="130"/>
      <c r="CC281" s="130"/>
      <c r="CD281" s="130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130"/>
      <c r="CV281" s="130"/>
      <c r="CW281" s="130"/>
      <c r="CX281" s="130"/>
      <c r="CY281" s="130"/>
      <c r="CZ281" s="130"/>
      <c r="DA281" s="130"/>
      <c r="DB281" s="130"/>
      <c r="DC281" s="3"/>
      <c r="DD281" s="3"/>
      <c r="DE281" s="3"/>
      <c r="DF281" s="3"/>
      <c r="DG281" s="3"/>
      <c r="DH281" s="3"/>
      <c r="DI281" s="3"/>
      <c r="DJ281" s="3"/>
      <c r="DK281" s="3"/>
      <c r="DL281" s="3"/>
      <c r="DM281" s="3"/>
      <c r="DN281" s="3"/>
      <c r="DO281" s="3"/>
      <c r="DP281" s="3"/>
      <c r="DQ281" s="3"/>
      <c r="DR281" s="3"/>
      <c r="DS281" s="130"/>
      <c r="DT281" s="130"/>
      <c r="DU281" s="130"/>
      <c r="DV281" s="130"/>
      <c r="DW281" s="130"/>
      <c r="DX281" s="130"/>
      <c r="DY281" s="130"/>
      <c r="DZ281" s="130"/>
      <c r="EA281" s="3"/>
      <c r="EB281" s="3"/>
      <c r="EC281" s="3"/>
      <c r="ED281" s="3"/>
      <c r="EE281" s="3"/>
      <c r="EF281" s="3"/>
      <c r="EG281" s="3"/>
      <c r="EH281" s="3"/>
      <c r="EI281" s="3"/>
      <c r="EJ281" s="3"/>
      <c r="EK281" s="3"/>
      <c r="EL281" s="3"/>
      <c r="EM281" s="3"/>
      <c r="EN281" s="3"/>
      <c r="EO281" s="3"/>
      <c r="EP281" s="3"/>
      <c r="EQ281" s="130"/>
      <c r="ER281" s="130"/>
      <c r="ES281" s="130"/>
      <c r="ET281" s="130"/>
      <c r="EU281" s="130"/>
      <c r="EV281" s="130"/>
      <c r="EW281" s="130"/>
      <c r="EX281" s="130"/>
      <c r="EY281" s="3"/>
      <c r="EZ281" s="3"/>
      <c r="FA281" s="3"/>
      <c r="FB281" s="3"/>
      <c r="FC281" s="3"/>
      <c r="FD281" s="3"/>
      <c r="FE281" s="3"/>
      <c r="FF281" s="3"/>
      <c r="FG281" s="3"/>
      <c r="FH281" s="3"/>
      <c r="FI281" s="3"/>
      <c r="FJ281" s="3"/>
      <c r="FK281" s="3"/>
      <c r="FL281" s="3"/>
      <c r="FM281" s="3"/>
      <c r="FN281" s="3"/>
      <c r="FO281" s="130"/>
      <c r="FP281" s="130"/>
      <c r="FQ281" s="130"/>
      <c r="FR281" s="130"/>
      <c r="FS281" s="130"/>
      <c r="FT281" s="130"/>
      <c r="FU281" s="130"/>
      <c r="FV281" s="130"/>
      <c r="FW281" s="3"/>
      <c r="FX281" s="3"/>
      <c r="FY281" s="3"/>
      <c r="FZ281" s="3"/>
      <c r="GA281" s="3"/>
      <c r="GB281" s="3"/>
      <c r="GC281" s="3"/>
      <c r="GD281" s="3"/>
      <c r="GE281" s="3"/>
      <c r="GF281" s="3"/>
      <c r="GG281" s="3"/>
      <c r="GH281" s="3"/>
      <c r="GI281" s="3"/>
      <c r="GJ281" s="3"/>
      <c r="GK281" s="3"/>
      <c r="GL281" s="3"/>
      <c r="GM281" s="130"/>
      <c r="GN281" s="130"/>
      <c r="GO281" s="130"/>
      <c r="GP281" s="130"/>
      <c r="GQ281" s="130"/>
      <c r="GR281" s="130"/>
      <c r="GS281" s="130"/>
      <c r="GT281" s="130"/>
      <c r="GU281" s="3"/>
      <c r="GV281" s="3"/>
      <c r="GW281" s="3"/>
      <c r="GX281" s="3"/>
      <c r="GY281" s="3"/>
      <c r="GZ281" s="3"/>
      <c r="HA281" s="3"/>
      <c r="HB281" s="3"/>
      <c r="HC281" s="3"/>
      <c r="HD281" s="3"/>
      <c r="HE281" s="3"/>
      <c r="HF281" s="3"/>
      <c r="HG281" s="3"/>
      <c r="HH281" s="3"/>
      <c r="HI281" s="3"/>
      <c r="HJ281" s="3"/>
      <c r="HK281" s="130"/>
      <c r="HL281" s="130"/>
      <c r="HM281" s="130"/>
      <c r="HN281" s="130"/>
      <c r="HO281" s="130"/>
      <c r="HP281" s="130"/>
      <c r="HQ281" s="130"/>
      <c r="HR281" s="130"/>
      <c r="HS281" s="3"/>
      <c r="HT281" s="3"/>
      <c r="HU281" s="3"/>
      <c r="HV281" s="3"/>
      <c r="HW281" s="3"/>
      <c r="HX281" s="3"/>
      <c r="HY281" s="3"/>
      <c r="HZ281" s="3"/>
      <c r="IA281" s="3"/>
      <c r="IB281" s="3"/>
      <c r="IC281" s="3"/>
      <c r="ID281" s="3"/>
      <c r="IE281" s="3"/>
      <c r="IF281" s="3"/>
      <c r="IG281" s="3"/>
      <c r="IH281" s="3"/>
      <c r="II281" s="130"/>
      <c r="IJ281" s="130"/>
      <c r="IK281" s="130"/>
      <c r="IL281" s="130"/>
      <c r="IM281" s="130"/>
      <c r="IN281" s="130"/>
      <c r="IO281" s="130"/>
      <c r="IP281" s="130"/>
      <c r="IQ281" s="3"/>
      <c r="IR281" s="3"/>
      <c r="IS281" s="3"/>
      <c r="IT281" s="3"/>
      <c r="IU281" s="3"/>
      <c r="IV281" s="3"/>
    </row>
    <row r="282" spans="1:256" s="125" customFormat="1">
      <c r="A282" s="16">
        <v>66</v>
      </c>
      <c r="B282" s="29">
        <v>43098</v>
      </c>
      <c r="C282" s="18"/>
      <c r="D282" s="19" t="s">
        <v>385</v>
      </c>
      <c r="E282" s="20" t="s">
        <v>383</v>
      </c>
      <c r="F282" s="62" t="s">
        <v>386</v>
      </c>
      <c r="G282" s="63">
        <v>1710</v>
      </c>
      <c r="H282" s="121">
        <v>1410000</v>
      </c>
      <c r="I282" s="24"/>
      <c r="J282" s="24">
        <f t="shared" si="25"/>
        <v>1342857.1428571427</v>
      </c>
      <c r="K282" s="24">
        <f t="shared" si="26"/>
        <v>1342857.1428571427</v>
      </c>
      <c r="L282" s="123"/>
      <c r="M282" s="24">
        <f t="shared" si="27"/>
        <v>0</v>
      </c>
      <c r="N282" s="124">
        <f t="shared" si="28"/>
        <v>1342857.1428571427</v>
      </c>
      <c r="O282" s="87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130"/>
      <c r="AB282" s="130"/>
      <c r="AC282" s="130"/>
      <c r="AD282" s="130"/>
      <c r="AE282" s="130"/>
      <c r="AF282" s="167"/>
      <c r="AG282" s="167"/>
      <c r="AH282" s="167"/>
      <c r="AY282" s="167"/>
      <c r="AZ282" s="167"/>
      <c r="BA282" s="167"/>
      <c r="BB282" s="167"/>
      <c r="BC282" s="167"/>
      <c r="BD282" s="167"/>
      <c r="BE282" s="167"/>
      <c r="BF282" s="167"/>
      <c r="BW282" s="167"/>
      <c r="BX282" s="167"/>
      <c r="BY282" s="167"/>
      <c r="BZ282" s="167"/>
      <c r="CA282" s="167"/>
      <c r="CB282" s="167"/>
      <c r="CC282" s="167"/>
      <c r="CD282" s="167"/>
      <c r="CU282" s="167"/>
      <c r="CV282" s="167"/>
      <c r="CW282" s="167"/>
      <c r="CX282" s="167"/>
      <c r="CY282" s="167"/>
      <c r="CZ282" s="167"/>
      <c r="DA282" s="167"/>
      <c r="DB282" s="167"/>
      <c r="DS282" s="167"/>
      <c r="DT282" s="167"/>
      <c r="DU282" s="167"/>
      <c r="DV282" s="167"/>
      <c r="DW282" s="167"/>
      <c r="DX282" s="167"/>
      <c r="DY282" s="167"/>
      <c r="DZ282" s="167"/>
      <c r="EQ282" s="167"/>
      <c r="ER282" s="167"/>
      <c r="ES282" s="167"/>
      <c r="ET282" s="167"/>
      <c r="EU282" s="167"/>
      <c r="EV282" s="167"/>
      <c r="EW282" s="167"/>
      <c r="EX282" s="167"/>
      <c r="FO282" s="167"/>
      <c r="FP282" s="167"/>
      <c r="FQ282" s="167"/>
      <c r="FR282" s="167"/>
      <c r="FS282" s="167"/>
      <c r="FT282" s="167"/>
      <c r="FU282" s="167"/>
      <c r="FV282" s="167"/>
      <c r="GM282" s="167"/>
      <c r="GN282" s="167"/>
      <c r="GO282" s="167"/>
      <c r="GP282" s="167"/>
      <c r="GQ282" s="167"/>
      <c r="GR282" s="167"/>
      <c r="GS282" s="167"/>
      <c r="GT282" s="167"/>
      <c r="HK282" s="167"/>
      <c r="HL282" s="167"/>
      <c r="HM282" s="167"/>
      <c r="HN282" s="167"/>
      <c r="HO282" s="167"/>
      <c r="HP282" s="167"/>
      <c r="HQ282" s="167"/>
      <c r="HR282" s="167"/>
      <c r="II282" s="167"/>
      <c r="IJ282" s="167"/>
      <c r="IK282" s="167"/>
      <c r="IL282" s="167"/>
      <c r="IM282" s="167"/>
      <c r="IN282" s="167"/>
      <c r="IO282" s="167"/>
      <c r="IP282" s="167"/>
    </row>
    <row r="283" spans="1:256" s="125" customFormat="1">
      <c r="A283" s="16">
        <v>67</v>
      </c>
      <c r="B283" s="17">
        <v>43096</v>
      </c>
      <c r="C283" s="18"/>
      <c r="D283" s="19" t="s">
        <v>385</v>
      </c>
      <c r="E283" s="20" t="s">
        <v>383</v>
      </c>
      <c r="F283" s="62" t="s">
        <v>387</v>
      </c>
      <c r="G283" s="63">
        <v>1710</v>
      </c>
      <c r="H283" s="121">
        <v>1410000</v>
      </c>
      <c r="I283" s="24"/>
      <c r="J283" s="24">
        <f t="shared" si="25"/>
        <v>1342857.1428571427</v>
      </c>
      <c r="K283" s="24">
        <f t="shared" si="26"/>
        <v>1342857.1428571427</v>
      </c>
      <c r="L283" s="123"/>
      <c r="M283" s="24">
        <f t="shared" si="27"/>
        <v>0</v>
      </c>
      <c r="N283" s="124">
        <f t="shared" si="28"/>
        <v>1342857.1428571427</v>
      </c>
      <c r="O283" s="87"/>
      <c r="P283" s="3"/>
      <c r="Q283" s="140"/>
      <c r="R283" s="3"/>
      <c r="S283" s="3"/>
      <c r="T283" s="3"/>
      <c r="U283" s="3"/>
      <c r="V283" s="3"/>
      <c r="W283" s="3"/>
      <c r="X283" s="3"/>
      <c r="Y283" s="3"/>
      <c r="Z283" s="3"/>
      <c r="AA283" s="130"/>
      <c r="AB283" s="130"/>
      <c r="AC283" s="130"/>
      <c r="AD283" s="130"/>
      <c r="AE283" s="130"/>
      <c r="AF283" s="130"/>
      <c r="AG283" s="130"/>
      <c r="AH283" s="130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130"/>
      <c r="AZ283" s="130"/>
      <c r="BA283" s="130"/>
      <c r="BB283" s="130"/>
      <c r="BC283" s="130"/>
      <c r="BD283" s="130"/>
      <c r="BE283" s="130"/>
      <c r="BF283" s="130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130"/>
      <c r="BX283" s="130"/>
      <c r="BY283" s="130"/>
      <c r="BZ283" s="130"/>
      <c r="CA283" s="130"/>
      <c r="CB283" s="130"/>
      <c r="CC283" s="130"/>
      <c r="CD283" s="130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130"/>
      <c r="CV283" s="130"/>
      <c r="CW283" s="130"/>
      <c r="CX283" s="130"/>
      <c r="CY283" s="130"/>
      <c r="CZ283" s="130"/>
      <c r="DA283" s="130"/>
      <c r="DB283" s="130"/>
      <c r="DC283" s="3"/>
      <c r="DD283" s="3"/>
      <c r="DE283" s="3"/>
      <c r="DF283" s="3"/>
      <c r="DG283" s="3"/>
      <c r="DH283" s="3"/>
      <c r="DI283" s="3"/>
      <c r="DJ283" s="3"/>
      <c r="DK283" s="3"/>
      <c r="DL283" s="3"/>
      <c r="DM283" s="3"/>
      <c r="DN283" s="3"/>
      <c r="DO283" s="3"/>
      <c r="DP283" s="3"/>
      <c r="DQ283" s="3"/>
      <c r="DR283" s="3"/>
      <c r="DS283" s="130"/>
      <c r="DT283" s="130"/>
      <c r="DU283" s="130"/>
      <c r="DV283" s="130"/>
      <c r="DW283" s="130"/>
      <c r="DX283" s="130"/>
      <c r="DY283" s="130"/>
      <c r="DZ283" s="130"/>
      <c r="EA283" s="3"/>
      <c r="EB283" s="3"/>
      <c r="EC283" s="3"/>
      <c r="ED283" s="3"/>
      <c r="EE283" s="3"/>
      <c r="EF283" s="3"/>
      <c r="EG283" s="3"/>
      <c r="EH283" s="3"/>
      <c r="EI283" s="3"/>
      <c r="EJ283" s="3"/>
      <c r="EK283" s="3"/>
      <c r="EL283" s="3"/>
      <c r="EM283" s="3"/>
      <c r="EN283" s="3"/>
      <c r="EO283" s="3"/>
      <c r="EP283" s="3"/>
      <c r="EQ283" s="130"/>
      <c r="ER283" s="130"/>
      <c r="ES283" s="130"/>
      <c r="ET283" s="130"/>
      <c r="EU283" s="130"/>
      <c r="EV283" s="130"/>
      <c r="EW283" s="130"/>
      <c r="EX283" s="130"/>
      <c r="EY283" s="3"/>
      <c r="EZ283" s="3"/>
      <c r="FA283" s="3"/>
      <c r="FB283" s="3"/>
      <c r="FC283" s="3"/>
      <c r="FD283" s="3"/>
      <c r="FE283" s="3"/>
      <c r="FF283" s="3"/>
      <c r="FG283" s="3"/>
      <c r="FH283" s="3"/>
      <c r="FI283" s="3"/>
      <c r="FJ283" s="3"/>
      <c r="FK283" s="3"/>
      <c r="FL283" s="3"/>
      <c r="FM283" s="3"/>
      <c r="FN283" s="3"/>
      <c r="FO283" s="130"/>
      <c r="FP283" s="130"/>
      <c r="FQ283" s="130"/>
      <c r="FR283" s="130"/>
      <c r="FS283" s="130"/>
      <c r="FT283" s="130"/>
      <c r="FU283" s="130"/>
      <c r="FV283" s="130"/>
      <c r="FW283" s="3"/>
      <c r="FX283" s="3"/>
      <c r="FY283" s="3"/>
      <c r="FZ283" s="3"/>
      <c r="GA283" s="3"/>
      <c r="GB283" s="3"/>
      <c r="GC283" s="3"/>
      <c r="GD283" s="3"/>
      <c r="GE283" s="3"/>
      <c r="GF283" s="3"/>
      <c r="GG283" s="3"/>
      <c r="GH283" s="3"/>
      <c r="GI283" s="3"/>
      <c r="GJ283" s="3"/>
      <c r="GK283" s="3"/>
      <c r="GL283" s="3"/>
      <c r="GM283" s="130"/>
      <c r="GN283" s="130"/>
      <c r="GO283" s="130"/>
      <c r="GP283" s="130"/>
      <c r="GQ283" s="130"/>
      <c r="GR283" s="130"/>
      <c r="GS283" s="130"/>
      <c r="GT283" s="130"/>
      <c r="GU283" s="3"/>
      <c r="GV283" s="3"/>
      <c r="GW283" s="3"/>
      <c r="GX283" s="3"/>
      <c r="GY283" s="3"/>
      <c r="GZ283" s="3"/>
      <c r="HA283" s="3"/>
      <c r="HB283" s="3"/>
      <c r="HC283" s="3"/>
      <c r="HD283" s="3"/>
      <c r="HE283" s="3"/>
      <c r="HF283" s="3"/>
      <c r="HG283" s="3"/>
      <c r="HH283" s="3"/>
      <c r="HI283" s="3"/>
      <c r="HJ283" s="3"/>
      <c r="HK283" s="130"/>
      <c r="HL283" s="130"/>
      <c r="HM283" s="130"/>
      <c r="HN283" s="130"/>
      <c r="HO283" s="130"/>
      <c r="HP283" s="130"/>
      <c r="HQ283" s="130"/>
      <c r="HR283" s="130"/>
      <c r="HS283" s="3"/>
      <c r="HT283" s="3"/>
      <c r="HU283" s="3"/>
      <c r="HV283" s="3"/>
      <c r="HW283" s="3"/>
      <c r="HX283" s="3"/>
      <c r="HY283" s="3"/>
      <c r="HZ283" s="3"/>
      <c r="IA283" s="3"/>
      <c r="IB283" s="3"/>
      <c r="IC283" s="3"/>
      <c r="ID283" s="3"/>
      <c r="IE283" s="3"/>
      <c r="IF283" s="3"/>
      <c r="IG283" s="3"/>
      <c r="IH283" s="3"/>
      <c r="II283" s="130"/>
      <c r="IJ283" s="130"/>
      <c r="IK283" s="130"/>
      <c r="IL283" s="130"/>
      <c r="IM283" s="130"/>
      <c r="IN283" s="130"/>
      <c r="IO283" s="130"/>
      <c r="IP283" s="130"/>
      <c r="IQ283" s="3"/>
      <c r="IR283" s="3"/>
      <c r="IS283" s="3"/>
      <c r="IT283" s="3"/>
      <c r="IU283" s="3"/>
      <c r="IV283" s="3"/>
    </row>
    <row r="284" spans="1:256" s="125" customFormat="1">
      <c r="A284" s="16">
        <v>68</v>
      </c>
      <c r="B284" s="29">
        <v>43098</v>
      </c>
      <c r="C284" s="18"/>
      <c r="D284" s="19" t="s">
        <v>385</v>
      </c>
      <c r="E284" s="20" t="s">
        <v>383</v>
      </c>
      <c r="F284" s="62" t="s">
        <v>388</v>
      </c>
      <c r="G284" s="63">
        <v>1710</v>
      </c>
      <c r="H284" s="121">
        <v>1410000</v>
      </c>
      <c r="I284" s="24"/>
      <c r="J284" s="24">
        <f t="shared" si="25"/>
        <v>1342857.1428571427</v>
      </c>
      <c r="K284" s="24">
        <f t="shared" si="26"/>
        <v>1342857.1428571427</v>
      </c>
      <c r="L284" s="123"/>
      <c r="M284" s="24">
        <f t="shared" si="27"/>
        <v>0</v>
      </c>
      <c r="N284" s="124">
        <f t="shared" si="28"/>
        <v>1342857.1428571427</v>
      </c>
      <c r="O284" s="87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130"/>
      <c r="AB284" s="130"/>
      <c r="AC284" s="130"/>
      <c r="AD284" s="130"/>
      <c r="AE284" s="130"/>
      <c r="AF284" s="130"/>
      <c r="AG284" s="130"/>
      <c r="AH284" s="130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130"/>
      <c r="AZ284" s="130"/>
      <c r="BA284" s="130"/>
      <c r="BB284" s="130"/>
      <c r="BC284" s="130"/>
      <c r="BD284" s="130"/>
      <c r="BE284" s="130"/>
      <c r="BF284" s="130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130"/>
      <c r="BX284" s="130"/>
      <c r="BY284" s="130"/>
      <c r="BZ284" s="130"/>
      <c r="CA284" s="130"/>
      <c r="CB284" s="130"/>
      <c r="CC284" s="130"/>
      <c r="CD284" s="130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130"/>
      <c r="CV284" s="130"/>
      <c r="CW284" s="130"/>
      <c r="CX284" s="130"/>
      <c r="CY284" s="130"/>
      <c r="CZ284" s="130"/>
      <c r="DA284" s="130"/>
      <c r="DB284" s="130"/>
      <c r="DC284" s="3"/>
      <c r="DD284" s="3"/>
      <c r="DE284" s="3"/>
      <c r="DF284" s="3"/>
      <c r="DG284" s="3"/>
      <c r="DH284" s="3"/>
      <c r="DI284" s="3"/>
      <c r="DJ284" s="3"/>
      <c r="DK284" s="3"/>
      <c r="DL284" s="3"/>
      <c r="DM284" s="3"/>
      <c r="DN284" s="3"/>
      <c r="DO284" s="3"/>
      <c r="DP284" s="3"/>
      <c r="DQ284" s="3"/>
      <c r="DR284" s="3"/>
      <c r="DS284" s="130"/>
      <c r="DT284" s="130"/>
      <c r="DU284" s="130"/>
      <c r="DV284" s="130"/>
      <c r="DW284" s="130"/>
      <c r="DX284" s="130"/>
      <c r="DY284" s="130"/>
      <c r="DZ284" s="130"/>
      <c r="EA284" s="3"/>
      <c r="EB284" s="3"/>
      <c r="EC284" s="3"/>
      <c r="ED284" s="3"/>
      <c r="EE284" s="3"/>
      <c r="EF284" s="3"/>
      <c r="EG284" s="3"/>
      <c r="EH284" s="3"/>
      <c r="EI284" s="3"/>
      <c r="EJ284" s="3"/>
      <c r="EK284" s="3"/>
      <c r="EL284" s="3"/>
      <c r="EM284" s="3"/>
      <c r="EN284" s="3"/>
      <c r="EO284" s="3"/>
      <c r="EP284" s="3"/>
      <c r="EQ284" s="130"/>
      <c r="ER284" s="130"/>
      <c r="ES284" s="130"/>
      <c r="ET284" s="130"/>
      <c r="EU284" s="130"/>
      <c r="EV284" s="130"/>
      <c r="EW284" s="130"/>
      <c r="EX284" s="130"/>
      <c r="EY284" s="3"/>
      <c r="EZ284" s="3"/>
      <c r="FA284" s="3"/>
      <c r="FB284" s="3"/>
      <c r="FC284" s="3"/>
      <c r="FD284" s="3"/>
      <c r="FE284" s="3"/>
      <c r="FF284" s="3"/>
      <c r="FG284" s="3"/>
      <c r="FH284" s="3"/>
      <c r="FI284" s="3"/>
      <c r="FJ284" s="3"/>
      <c r="FK284" s="3"/>
      <c r="FL284" s="3"/>
      <c r="FM284" s="3"/>
      <c r="FN284" s="3"/>
      <c r="FO284" s="130"/>
      <c r="FP284" s="130"/>
      <c r="FQ284" s="130"/>
      <c r="FR284" s="130"/>
      <c r="FS284" s="130"/>
      <c r="FT284" s="130"/>
      <c r="FU284" s="130"/>
      <c r="FV284" s="130"/>
      <c r="FW284" s="3"/>
      <c r="FX284" s="3"/>
      <c r="FY284" s="3"/>
      <c r="FZ284" s="3"/>
      <c r="GA284" s="3"/>
      <c r="GB284" s="3"/>
      <c r="GC284" s="3"/>
      <c r="GD284" s="3"/>
      <c r="GE284" s="3"/>
      <c r="GF284" s="3"/>
      <c r="GG284" s="3"/>
      <c r="GH284" s="3"/>
      <c r="GI284" s="3"/>
      <c r="GJ284" s="3"/>
      <c r="GK284" s="3"/>
      <c r="GL284" s="3"/>
      <c r="GM284" s="130"/>
      <c r="GN284" s="130"/>
      <c r="GO284" s="130"/>
      <c r="GP284" s="130"/>
      <c r="GQ284" s="130"/>
      <c r="GR284" s="130"/>
      <c r="GS284" s="130"/>
      <c r="GT284" s="130"/>
      <c r="GU284" s="3"/>
      <c r="GV284" s="3"/>
      <c r="GW284" s="3"/>
      <c r="GX284" s="3"/>
      <c r="GY284" s="3"/>
      <c r="GZ284" s="3"/>
      <c r="HA284" s="3"/>
      <c r="HB284" s="3"/>
      <c r="HC284" s="3"/>
      <c r="HD284" s="3"/>
      <c r="HE284" s="3"/>
      <c r="HF284" s="3"/>
      <c r="HG284" s="3"/>
      <c r="HH284" s="3"/>
      <c r="HI284" s="3"/>
      <c r="HJ284" s="3"/>
      <c r="HK284" s="130"/>
      <c r="HL284" s="130"/>
      <c r="HM284" s="130"/>
      <c r="HN284" s="130"/>
      <c r="HO284" s="130"/>
      <c r="HP284" s="130"/>
      <c r="HQ284" s="130"/>
      <c r="HR284" s="130"/>
      <c r="HS284" s="3"/>
      <c r="HT284" s="3"/>
      <c r="HU284" s="3"/>
      <c r="HV284" s="3"/>
      <c r="HW284" s="3"/>
      <c r="HX284" s="3"/>
      <c r="HY284" s="3"/>
      <c r="HZ284" s="3"/>
      <c r="IA284" s="3"/>
      <c r="IB284" s="3"/>
      <c r="IC284" s="3"/>
      <c r="ID284" s="3"/>
      <c r="IE284" s="3"/>
      <c r="IF284" s="3"/>
      <c r="IG284" s="3"/>
      <c r="IH284" s="3"/>
      <c r="II284" s="130"/>
      <c r="IJ284" s="130"/>
      <c r="IK284" s="130"/>
      <c r="IL284" s="130"/>
      <c r="IM284" s="130"/>
      <c r="IN284" s="130"/>
      <c r="IO284" s="130"/>
      <c r="IP284" s="130"/>
      <c r="IQ284" s="3"/>
      <c r="IR284" s="3"/>
      <c r="IS284" s="3"/>
      <c r="IT284" s="3"/>
      <c r="IU284" s="3"/>
      <c r="IV284" s="3"/>
    </row>
    <row r="285" spans="1:256" s="125" customFormat="1">
      <c r="A285" s="16">
        <v>69</v>
      </c>
      <c r="B285" s="29">
        <v>43097</v>
      </c>
      <c r="C285" s="18"/>
      <c r="D285" s="19" t="s">
        <v>385</v>
      </c>
      <c r="E285" s="20" t="s">
        <v>383</v>
      </c>
      <c r="F285" s="62" t="s">
        <v>389</v>
      </c>
      <c r="G285" s="63">
        <v>1710</v>
      </c>
      <c r="H285" s="121">
        <v>1410000</v>
      </c>
      <c r="I285" s="24"/>
      <c r="J285" s="24">
        <f t="shared" si="25"/>
        <v>1342857.1428571427</v>
      </c>
      <c r="K285" s="24">
        <f t="shared" si="26"/>
        <v>1342857.1428571427</v>
      </c>
      <c r="L285" s="123"/>
      <c r="M285" s="24">
        <f t="shared" si="27"/>
        <v>0</v>
      </c>
      <c r="N285" s="124">
        <f t="shared" si="28"/>
        <v>1342857.1428571427</v>
      </c>
      <c r="O285" s="87"/>
      <c r="P285" s="3"/>
      <c r="Q285" s="140"/>
      <c r="R285" s="3"/>
      <c r="S285" s="3"/>
      <c r="T285" s="3"/>
      <c r="U285" s="3"/>
      <c r="V285" s="3"/>
      <c r="W285" s="3"/>
      <c r="X285" s="3"/>
      <c r="Y285" s="3"/>
      <c r="Z285" s="3"/>
      <c r="AA285" s="130"/>
      <c r="AB285" s="130"/>
      <c r="AC285" s="130"/>
      <c r="AD285" s="130"/>
      <c r="AE285" s="130"/>
      <c r="AF285" s="130"/>
      <c r="AG285" s="130"/>
      <c r="AH285" s="130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130"/>
      <c r="AZ285" s="130"/>
      <c r="BA285" s="130"/>
      <c r="BB285" s="130"/>
      <c r="BC285" s="130"/>
      <c r="BD285" s="130"/>
      <c r="BE285" s="130"/>
      <c r="BF285" s="130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130"/>
      <c r="BX285" s="130"/>
      <c r="BY285" s="130"/>
      <c r="BZ285" s="130"/>
      <c r="CA285" s="130"/>
      <c r="CB285" s="130"/>
      <c r="CC285" s="130"/>
      <c r="CD285" s="130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130"/>
      <c r="CV285" s="130"/>
      <c r="CW285" s="130"/>
      <c r="CX285" s="130"/>
      <c r="CY285" s="130"/>
      <c r="CZ285" s="130"/>
      <c r="DA285" s="130"/>
      <c r="DB285" s="130"/>
      <c r="DC285" s="3"/>
      <c r="DD285" s="3"/>
      <c r="DE285" s="3"/>
      <c r="DF285" s="3"/>
      <c r="DG285" s="3"/>
      <c r="DH285" s="3"/>
      <c r="DI285" s="3"/>
      <c r="DJ285" s="3"/>
      <c r="DK285" s="3"/>
      <c r="DL285" s="3"/>
      <c r="DM285" s="3"/>
      <c r="DN285" s="3"/>
      <c r="DO285" s="3"/>
      <c r="DP285" s="3"/>
      <c r="DQ285" s="3"/>
      <c r="DR285" s="3"/>
      <c r="DS285" s="130"/>
      <c r="DT285" s="130"/>
      <c r="DU285" s="130"/>
      <c r="DV285" s="130"/>
      <c r="DW285" s="130"/>
      <c r="DX285" s="130"/>
      <c r="DY285" s="130"/>
      <c r="DZ285" s="130"/>
      <c r="EA285" s="3"/>
      <c r="EB285" s="3"/>
      <c r="EC285" s="3"/>
      <c r="ED285" s="3"/>
      <c r="EE285" s="3"/>
      <c r="EF285" s="3"/>
      <c r="EG285" s="3"/>
      <c r="EH285" s="3"/>
      <c r="EI285" s="3"/>
      <c r="EJ285" s="3"/>
      <c r="EK285" s="3"/>
      <c r="EL285" s="3"/>
      <c r="EM285" s="3"/>
      <c r="EN285" s="3"/>
      <c r="EO285" s="3"/>
      <c r="EP285" s="3"/>
      <c r="EQ285" s="130"/>
      <c r="ER285" s="130"/>
      <c r="ES285" s="130"/>
      <c r="ET285" s="130"/>
      <c r="EU285" s="130"/>
      <c r="EV285" s="130"/>
      <c r="EW285" s="130"/>
      <c r="EX285" s="130"/>
      <c r="EY285" s="3"/>
      <c r="EZ285" s="3"/>
      <c r="FA285" s="3"/>
      <c r="FB285" s="3"/>
      <c r="FC285" s="3"/>
      <c r="FD285" s="3"/>
      <c r="FE285" s="3"/>
      <c r="FF285" s="3"/>
      <c r="FG285" s="3"/>
      <c r="FH285" s="3"/>
      <c r="FI285" s="3"/>
      <c r="FJ285" s="3"/>
      <c r="FK285" s="3"/>
      <c r="FL285" s="3"/>
      <c r="FM285" s="3"/>
      <c r="FN285" s="3"/>
      <c r="FO285" s="130"/>
      <c r="FP285" s="130"/>
      <c r="FQ285" s="130"/>
      <c r="FR285" s="130"/>
      <c r="FS285" s="130"/>
      <c r="FT285" s="130"/>
      <c r="FU285" s="130"/>
      <c r="FV285" s="130"/>
      <c r="FW285" s="3"/>
      <c r="FX285" s="3"/>
      <c r="FY285" s="3"/>
      <c r="FZ285" s="3"/>
      <c r="GA285" s="3"/>
      <c r="GB285" s="3"/>
      <c r="GC285" s="3"/>
      <c r="GD285" s="3"/>
      <c r="GE285" s="3"/>
      <c r="GF285" s="3"/>
      <c r="GG285" s="3"/>
      <c r="GH285" s="3"/>
      <c r="GI285" s="3"/>
      <c r="GJ285" s="3"/>
      <c r="GK285" s="3"/>
      <c r="GL285" s="3"/>
      <c r="GM285" s="130"/>
      <c r="GN285" s="130"/>
      <c r="GO285" s="130"/>
      <c r="GP285" s="130"/>
      <c r="GQ285" s="130"/>
      <c r="GR285" s="130"/>
      <c r="GS285" s="130"/>
      <c r="GT285" s="130"/>
      <c r="GU285" s="3"/>
      <c r="GV285" s="3"/>
      <c r="GW285" s="3"/>
      <c r="GX285" s="3"/>
      <c r="GY285" s="3"/>
      <c r="GZ285" s="3"/>
      <c r="HA285" s="3"/>
      <c r="HB285" s="3"/>
      <c r="HC285" s="3"/>
      <c r="HD285" s="3"/>
      <c r="HE285" s="3"/>
      <c r="HF285" s="3"/>
      <c r="HG285" s="3"/>
      <c r="HH285" s="3"/>
      <c r="HI285" s="3"/>
      <c r="HJ285" s="3"/>
      <c r="HK285" s="130"/>
      <c r="HL285" s="130"/>
      <c r="HM285" s="130"/>
      <c r="HN285" s="130"/>
      <c r="HO285" s="130"/>
      <c r="HP285" s="130"/>
      <c r="HQ285" s="130"/>
      <c r="HR285" s="130"/>
      <c r="HS285" s="3"/>
      <c r="HT285" s="3"/>
      <c r="HU285" s="3"/>
      <c r="HV285" s="3"/>
      <c r="HW285" s="3"/>
      <c r="HX285" s="3"/>
      <c r="HY285" s="3"/>
      <c r="HZ285" s="3"/>
      <c r="IA285" s="3"/>
      <c r="IB285" s="3"/>
      <c r="IC285" s="3"/>
      <c r="ID285" s="3"/>
      <c r="IE285" s="3"/>
      <c r="IF285" s="3"/>
      <c r="IG285" s="3"/>
      <c r="IH285" s="3"/>
      <c r="II285" s="130"/>
      <c r="IJ285" s="130"/>
      <c r="IK285" s="130"/>
      <c r="IL285" s="130"/>
      <c r="IM285" s="130"/>
      <c r="IN285" s="130"/>
      <c r="IO285" s="130"/>
      <c r="IP285" s="130"/>
      <c r="IQ285" s="3"/>
      <c r="IR285" s="3"/>
      <c r="IS285" s="3"/>
      <c r="IT285" s="3"/>
      <c r="IU285" s="3"/>
      <c r="IV285" s="3"/>
    </row>
    <row r="286" spans="1:256" s="125" customFormat="1">
      <c r="A286" s="16">
        <v>70</v>
      </c>
      <c r="B286" s="128">
        <v>43088</v>
      </c>
      <c r="C286" s="18"/>
      <c r="D286" s="19" t="s">
        <v>385</v>
      </c>
      <c r="E286" s="20" t="s">
        <v>383</v>
      </c>
      <c r="F286" s="168" t="s">
        <v>390</v>
      </c>
      <c r="G286" s="63">
        <v>1708</v>
      </c>
      <c r="H286" s="121">
        <v>1410000</v>
      </c>
      <c r="I286" s="24"/>
      <c r="J286" s="24">
        <f t="shared" si="25"/>
        <v>1342857.1428571427</v>
      </c>
      <c r="K286" s="24">
        <f t="shared" si="26"/>
        <v>1342857.1428571427</v>
      </c>
      <c r="L286" s="123"/>
      <c r="M286" s="24">
        <f t="shared" si="27"/>
        <v>0</v>
      </c>
      <c r="N286" s="124">
        <f t="shared" si="28"/>
        <v>1342857.1428571427</v>
      </c>
      <c r="O286" s="85"/>
      <c r="P286" s="3"/>
      <c r="Q286" s="140"/>
      <c r="R286" s="3"/>
      <c r="S286" s="3"/>
      <c r="T286" s="3"/>
      <c r="U286" s="3"/>
      <c r="V286" s="3"/>
      <c r="W286" s="3"/>
      <c r="X286" s="3"/>
      <c r="Y286" s="3"/>
      <c r="Z286" s="3"/>
      <c r="AA286" s="130"/>
      <c r="AB286" s="130"/>
      <c r="AC286" s="130"/>
      <c r="AD286" s="130"/>
      <c r="AE286" s="130"/>
      <c r="AF286" s="167"/>
      <c r="AG286" s="167"/>
      <c r="AH286" s="167"/>
      <c r="AY286" s="167"/>
      <c r="AZ286" s="167"/>
      <c r="BA286" s="167"/>
      <c r="BB286" s="167"/>
      <c r="BC286" s="167"/>
      <c r="BD286" s="167"/>
      <c r="BE286" s="167"/>
      <c r="BF286" s="167"/>
      <c r="BW286" s="167"/>
      <c r="BX286" s="167"/>
      <c r="BY286" s="167"/>
      <c r="BZ286" s="167"/>
      <c r="CA286" s="167"/>
      <c r="CB286" s="167"/>
      <c r="CC286" s="167"/>
      <c r="CD286" s="167"/>
      <c r="CU286" s="167"/>
      <c r="CV286" s="167"/>
      <c r="CW286" s="167"/>
      <c r="CX286" s="167"/>
      <c r="CY286" s="167"/>
      <c r="CZ286" s="167"/>
      <c r="DA286" s="167"/>
      <c r="DB286" s="167"/>
      <c r="DS286" s="167"/>
      <c r="DT286" s="167"/>
      <c r="DU286" s="167"/>
      <c r="DV286" s="167"/>
      <c r="DW286" s="167"/>
      <c r="DX286" s="167"/>
      <c r="DY286" s="167"/>
      <c r="DZ286" s="167"/>
      <c r="EQ286" s="167"/>
      <c r="ER286" s="167"/>
      <c r="ES286" s="167"/>
      <c r="ET286" s="167"/>
      <c r="EU286" s="167"/>
      <c r="EV286" s="167"/>
      <c r="EW286" s="167"/>
      <c r="EX286" s="167"/>
      <c r="FO286" s="167"/>
      <c r="FP286" s="167"/>
      <c r="FQ286" s="167"/>
      <c r="FR286" s="167"/>
      <c r="FS286" s="167"/>
      <c r="FT286" s="167"/>
      <c r="FU286" s="167"/>
      <c r="FV286" s="167"/>
      <c r="GM286" s="167"/>
      <c r="GN286" s="167"/>
      <c r="GO286" s="167"/>
      <c r="GP286" s="167"/>
      <c r="GQ286" s="167"/>
      <c r="GR286" s="167"/>
      <c r="GS286" s="167"/>
      <c r="GT286" s="167"/>
      <c r="HK286" s="167"/>
      <c r="HL286" s="167"/>
      <c r="HM286" s="167"/>
      <c r="HN286" s="167"/>
      <c r="HO286" s="167"/>
      <c r="HP286" s="167"/>
      <c r="HQ286" s="167"/>
      <c r="HR286" s="167"/>
      <c r="II286" s="167"/>
      <c r="IJ286" s="167"/>
      <c r="IK286" s="167"/>
      <c r="IL286" s="167"/>
      <c r="IM286" s="167"/>
      <c r="IN286" s="167"/>
      <c r="IO286" s="167"/>
      <c r="IP286" s="167"/>
    </row>
    <row r="287" spans="1:256" s="125" customFormat="1">
      <c r="A287" s="16">
        <v>71</v>
      </c>
      <c r="B287" s="17">
        <v>43095</v>
      </c>
      <c r="C287" s="18"/>
      <c r="D287" s="19" t="s">
        <v>385</v>
      </c>
      <c r="E287" s="20" t="s">
        <v>383</v>
      </c>
      <c r="F287" s="168" t="s">
        <v>391</v>
      </c>
      <c r="G287" s="63">
        <v>1709</v>
      </c>
      <c r="H287" s="121">
        <v>1410000</v>
      </c>
      <c r="I287" s="24"/>
      <c r="J287" s="24">
        <f t="shared" si="25"/>
        <v>1342857.1428571427</v>
      </c>
      <c r="K287" s="24">
        <f t="shared" si="26"/>
        <v>1342857.1428571427</v>
      </c>
      <c r="L287" s="123"/>
      <c r="M287" s="24">
        <f t="shared" si="27"/>
        <v>0</v>
      </c>
      <c r="N287" s="124">
        <f t="shared" si="28"/>
        <v>1342857.1428571427</v>
      </c>
      <c r="O287" s="108"/>
      <c r="P287" s="3"/>
      <c r="Q287" s="3"/>
      <c r="R287" s="3"/>
      <c r="S287" s="3"/>
      <c r="T287" s="3"/>
      <c r="U287" s="3"/>
      <c r="V287" s="3"/>
      <c r="W287" s="3"/>
      <c r="X287" s="3"/>
      <c r="Y287" s="131"/>
      <c r="Z287" s="15"/>
      <c r="AA287" s="132"/>
      <c r="AB287" s="133"/>
      <c r="AC287" s="134"/>
      <c r="AD287" s="134"/>
      <c r="AE287" s="135"/>
      <c r="AF287" s="182"/>
      <c r="AG287" s="183"/>
      <c r="AH287" s="183"/>
      <c r="AJ287" s="184"/>
      <c r="AK287" s="185"/>
      <c r="AL287" s="186"/>
      <c r="AW287" s="187"/>
      <c r="AX287" s="188"/>
      <c r="AY287" s="189"/>
      <c r="AZ287" s="190"/>
      <c r="BA287" s="191"/>
      <c r="BB287" s="191"/>
      <c r="BC287" s="192"/>
      <c r="BD287" s="182"/>
      <c r="BE287" s="183"/>
      <c r="BF287" s="183"/>
      <c r="BH287" s="184"/>
      <c r="BI287" s="185"/>
      <c r="BJ287" s="186"/>
      <c r="BU287" s="187"/>
      <c r="BV287" s="188"/>
      <c r="BW287" s="189"/>
      <c r="BX287" s="190"/>
      <c r="BY287" s="191"/>
      <c r="BZ287" s="191"/>
      <c r="CA287" s="192"/>
      <c r="CB287" s="182"/>
      <c r="CC287" s="183"/>
      <c r="CD287" s="183"/>
      <c r="CF287" s="184"/>
      <c r="CG287" s="185"/>
      <c r="CH287" s="186"/>
      <c r="CS287" s="187"/>
      <c r="CT287" s="188"/>
      <c r="CU287" s="189"/>
      <c r="CV287" s="190"/>
      <c r="CW287" s="191"/>
      <c r="CX287" s="191"/>
      <c r="CY287" s="192"/>
      <c r="CZ287" s="182"/>
      <c r="DA287" s="183"/>
      <c r="DB287" s="183"/>
      <c r="DD287" s="184"/>
      <c r="DE287" s="185"/>
      <c r="DF287" s="186"/>
      <c r="DQ287" s="187"/>
      <c r="DR287" s="188"/>
      <c r="DS287" s="189"/>
      <c r="DT287" s="190"/>
      <c r="DU287" s="191"/>
      <c r="DV287" s="191"/>
      <c r="DW287" s="192"/>
      <c r="DX287" s="182"/>
      <c r="DY287" s="183"/>
      <c r="DZ287" s="183"/>
      <c r="EB287" s="184"/>
      <c r="EC287" s="185"/>
      <c r="ED287" s="186"/>
      <c r="EO287" s="187"/>
      <c r="EP287" s="188"/>
      <c r="EQ287" s="189"/>
      <c r="ER287" s="190"/>
      <c r="ES287" s="191"/>
      <c r="ET287" s="191"/>
      <c r="EU287" s="192"/>
      <c r="EV287" s="182"/>
      <c r="EW287" s="183"/>
      <c r="EX287" s="183"/>
      <c r="EZ287" s="184"/>
      <c r="FA287" s="185"/>
      <c r="FB287" s="186"/>
      <c r="FM287" s="187"/>
      <c r="FN287" s="188"/>
      <c r="FO287" s="189"/>
      <c r="FP287" s="190"/>
      <c r="FQ287" s="191"/>
      <c r="FR287" s="191"/>
      <c r="FS287" s="192"/>
      <c r="FT287" s="182"/>
      <c r="FU287" s="183"/>
      <c r="FV287" s="183"/>
      <c r="FX287" s="184"/>
      <c r="FY287" s="185"/>
      <c r="FZ287" s="186"/>
      <c r="GK287" s="187"/>
      <c r="GL287" s="188"/>
      <c r="GM287" s="189"/>
      <c r="GN287" s="190"/>
      <c r="GO287" s="191"/>
      <c r="GP287" s="191"/>
      <c r="GQ287" s="192"/>
      <c r="GR287" s="182"/>
      <c r="GS287" s="183"/>
      <c r="GT287" s="183"/>
      <c r="GV287" s="184"/>
      <c r="GW287" s="185"/>
      <c r="GX287" s="186"/>
      <c r="HI287" s="187"/>
      <c r="HJ287" s="188"/>
      <c r="HK287" s="189"/>
      <c r="HL287" s="190"/>
      <c r="HM287" s="191"/>
      <c r="HN287" s="191"/>
      <c r="HO287" s="192"/>
      <c r="HP287" s="182"/>
      <c r="HQ287" s="183"/>
      <c r="HR287" s="183"/>
      <c r="HT287" s="184"/>
      <c r="HU287" s="185"/>
      <c r="HV287" s="186"/>
      <c r="IG287" s="187"/>
      <c r="IH287" s="188"/>
      <c r="II287" s="189"/>
      <c r="IJ287" s="190"/>
      <c r="IK287" s="191"/>
      <c r="IL287" s="191"/>
      <c r="IM287" s="192"/>
      <c r="IN287" s="182"/>
      <c r="IO287" s="183"/>
      <c r="IP287" s="183"/>
      <c r="IR287" s="184"/>
      <c r="IS287" s="185"/>
      <c r="IT287" s="186"/>
    </row>
    <row r="288" spans="1:256" s="125" customFormat="1">
      <c r="A288" s="16">
        <v>72</v>
      </c>
      <c r="B288" s="29">
        <v>43098</v>
      </c>
      <c r="C288" s="18"/>
      <c r="D288" s="19" t="s">
        <v>385</v>
      </c>
      <c r="E288" s="20" t="s">
        <v>383</v>
      </c>
      <c r="F288" s="62" t="s">
        <v>392</v>
      </c>
      <c r="G288" s="63">
        <v>1709</v>
      </c>
      <c r="H288" s="121">
        <v>1410000</v>
      </c>
      <c r="I288" s="24"/>
      <c r="J288" s="24">
        <f t="shared" si="25"/>
        <v>1342857.1428571427</v>
      </c>
      <c r="K288" s="24">
        <f t="shared" si="26"/>
        <v>1342857.1428571427</v>
      </c>
      <c r="L288" s="123"/>
      <c r="M288" s="24">
        <f t="shared" si="27"/>
        <v>0</v>
      </c>
      <c r="N288" s="124">
        <f t="shared" si="28"/>
        <v>1342857.1428571427</v>
      </c>
      <c r="O288" s="87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130"/>
      <c r="AB288" s="130"/>
      <c r="AC288" s="130"/>
      <c r="AD288" s="130"/>
      <c r="AE288" s="130"/>
      <c r="AF288" s="167"/>
      <c r="AG288" s="167"/>
      <c r="AH288" s="167"/>
      <c r="AY288" s="167"/>
      <c r="AZ288" s="167"/>
      <c r="BA288" s="167"/>
      <c r="BB288" s="167"/>
      <c r="BC288" s="167"/>
      <c r="BD288" s="167"/>
      <c r="BE288" s="167"/>
      <c r="BF288" s="167"/>
      <c r="BW288" s="167"/>
      <c r="BX288" s="167"/>
      <c r="BY288" s="167"/>
      <c r="BZ288" s="167"/>
      <c r="CA288" s="167"/>
      <c r="CB288" s="167"/>
      <c r="CC288" s="167"/>
      <c r="CD288" s="167"/>
      <c r="CU288" s="167"/>
      <c r="CV288" s="167"/>
      <c r="CW288" s="167"/>
      <c r="CX288" s="167"/>
      <c r="CY288" s="167"/>
      <c r="CZ288" s="167"/>
      <c r="DA288" s="167"/>
      <c r="DB288" s="167"/>
      <c r="DS288" s="167"/>
      <c r="DT288" s="167"/>
      <c r="DU288" s="167"/>
      <c r="DV288" s="167"/>
      <c r="DW288" s="167"/>
      <c r="DX288" s="167"/>
      <c r="DY288" s="167"/>
      <c r="DZ288" s="167"/>
      <c r="EQ288" s="167"/>
      <c r="ER288" s="167"/>
      <c r="ES288" s="167"/>
      <c r="ET288" s="167"/>
      <c r="EU288" s="167"/>
      <c r="EV288" s="167"/>
      <c r="EW288" s="167"/>
      <c r="EX288" s="167"/>
      <c r="FO288" s="167"/>
      <c r="FP288" s="167"/>
      <c r="FQ288" s="167"/>
      <c r="FR288" s="167"/>
      <c r="FS288" s="167"/>
      <c r="FT288" s="167"/>
      <c r="FU288" s="167"/>
      <c r="FV288" s="167"/>
      <c r="GM288" s="167"/>
      <c r="GN288" s="167"/>
      <c r="GO288" s="167"/>
      <c r="GP288" s="167"/>
      <c r="GQ288" s="167"/>
      <c r="GR288" s="167"/>
      <c r="GS288" s="167"/>
      <c r="GT288" s="167"/>
      <c r="HK288" s="167"/>
      <c r="HL288" s="167"/>
      <c r="HM288" s="167"/>
      <c r="HN288" s="167"/>
      <c r="HO288" s="167"/>
      <c r="HP288" s="167"/>
      <c r="HQ288" s="167"/>
      <c r="HR288" s="167"/>
      <c r="II288" s="167"/>
      <c r="IJ288" s="167"/>
      <c r="IK288" s="167"/>
      <c r="IL288" s="167"/>
      <c r="IM288" s="167"/>
      <c r="IN288" s="167"/>
      <c r="IO288" s="167"/>
      <c r="IP288" s="167"/>
    </row>
    <row r="289" spans="1:256" s="125" customFormat="1">
      <c r="A289" s="16">
        <v>73</v>
      </c>
      <c r="B289" s="17">
        <v>43094</v>
      </c>
      <c r="C289" s="18"/>
      <c r="D289" s="19" t="s">
        <v>385</v>
      </c>
      <c r="E289" s="20" t="s">
        <v>383</v>
      </c>
      <c r="F289" s="168" t="s">
        <v>393</v>
      </c>
      <c r="G289" s="63">
        <v>1709</v>
      </c>
      <c r="H289" s="121">
        <v>1410000</v>
      </c>
      <c r="I289" s="24"/>
      <c r="J289" s="24">
        <f t="shared" si="25"/>
        <v>1342857.1428571427</v>
      </c>
      <c r="K289" s="24">
        <f t="shared" si="26"/>
        <v>1342857.1428571427</v>
      </c>
      <c r="L289" s="123"/>
      <c r="M289" s="24">
        <f t="shared" si="27"/>
        <v>0</v>
      </c>
      <c r="N289" s="124">
        <f t="shared" si="28"/>
        <v>1342857.1428571427</v>
      </c>
      <c r="O289" s="108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130"/>
      <c r="AB289" s="130"/>
      <c r="AC289" s="130"/>
      <c r="AD289" s="130"/>
      <c r="AE289" s="130"/>
      <c r="AF289" s="167"/>
      <c r="AG289" s="167"/>
      <c r="AH289" s="167"/>
      <c r="AY289" s="167"/>
      <c r="AZ289" s="167"/>
      <c r="BA289" s="167"/>
      <c r="BB289" s="167"/>
      <c r="BC289" s="167"/>
      <c r="BD289" s="167"/>
      <c r="BE289" s="167"/>
      <c r="BF289" s="167"/>
      <c r="BW289" s="167"/>
      <c r="BX289" s="167"/>
      <c r="BY289" s="167"/>
      <c r="BZ289" s="167"/>
      <c r="CA289" s="167"/>
      <c r="CB289" s="167"/>
      <c r="CC289" s="167"/>
      <c r="CD289" s="167"/>
      <c r="CU289" s="167"/>
      <c r="CV289" s="167"/>
      <c r="CW289" s="167"/>
      <c r="CX289" s="167"/>
      <c r="CY289" s="167"/>
      <c r="CZ289" s="167"/>
      <c r="DA289" s="167"/>
      <c r="DB289" s="167"/>
      <c r="DS289" s="167"/>
      <c r="DT289" s="167"/>
      <c r="DU289" s="167"/>
      <c r="DV289" s="167"/>
      <c r="DW289" s="167"/>
      <c r="DX289" s="167"/>
      <c r="DY289" s="167"/>
      <c r="DZ289" s="167"/>
      <c r="EQ289" s="167"/>
      <c r="ER289" s="167"/>
      <c r="ES289" s="167"/>
      <c r="ET289" s="167"/>
      <c r="EU289" s="167"/>
      <c r="EV289" s="167"/>
      <c r="EW289" s="167"/>
      <c r="EX289" s="167"/>
      <c r="FO289" s="167"/>
      <c r="FP289" s="167"/>
      <c r="FQ289" s="167"/>
      <c r="FR289" s="167"/>
      <c r="FS289" s="167"/>
      <c r="FT289" s="167"/>
      <c r="FU289" s="167"/>
      <c r="FV289" s="167"/>
      <c r="GM289" s="167"/>
      <c r="GN289" s="167"/>
      <c r="GO289" s="167"/>
      <c r="GP289" s="167"/>
      <c r="GQ289" s="167"/>
      <c r="GR289" s="167"/>
      <c r="GS289" s="167"/>
      <c r="GT289" s="167"/>
      <c r="HK289" s="167"/>
      <c r="HL289" s="167"/>
      <c r="HM289" s="167"/>
      <c r="HN289" s="167"/>
      <c r="HO289" s="167"/>
      <c r="HP289" s="167"/>
      <c r="HQ289" s="167"/>
      <c r="HR289" s="167"/>
      <c r="II289" s="167"/>
      <c r="IJ289" s="167"/>
      <c r="IK289" s="167"/>
      <c r="IL289" s="167"/>
      <c r="IM289" s="167"/>
      <c r="IN289" s="167"/>
      <c r="IO289" s="167"/>
      <c r="IP289" s="167"/>
    </row>
    <row r="290" spans="1:256" s="125" customFormat="1">
      <c r="A290" s="16">
        <v>74</v>
      </c>
      <c r="B290" s="17">
        <v>43068</v>
      </c>
      <c r="C290" s="18"/>
      <c r="D290" s="19" t="s">
        <v>379</v>
      </c>
      <c r="E290" s="20" t="s">
        <v>394</v>
      </c>
      <c r="F290" s="62" t="s">
        <v>395</v>
      </c>
      <c r="G290" s="63">
        <v>1707</v>
      </c>
      <c r="H290" s="121">
        <f>1701400-30000</f>
        <v>1671400</v>
      </c>
      <c r="I290" s="24">
        <v>1591810</v>
      </c>
      <c r="J290" s="24"/>
      <c r="K290" s="24">
        <f t="shared" si="26"/>
        <v>1591810</v>
      </c>
      <c r="L290" s="123"/>
      <c r="M290" s="24">
        <f t="shared" si="27"/>
        <v>0</v>
      </c>
      <c r="N290" s="124">
        <f t="shared" si="28"/>
        <v>1591810</v>
      </c>
      <c r="O290" s="126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130"/>
      <c r="AB290" s="130"/>
      <c r="AC290" s="130"/>
      <c r="AD290" s="130"/>
      <c r="AE290" s="130"/>
      <c r="AF290" s="130"/>
      <c r="AG290" s="130"/>
      <c r="AH290" s="130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130"/>
      <c r="AZ290" s="130"/>
      <c r="BA290" s="130"/>
      <c r="BB290" s="130"/>
      <c r="BC290" s="130"/>
      <c r="BD290" s="130"/>
      <c r="BE290" s="130"/>
      <c r="BF290" s="130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130"/>
      <c r="BX290" s="130"/>
      <c r="BY290" s="130"/>
      <c r="BZ290" s="130"/>
      <c r="CA290" s="130"/>
      <c r="CB290" s="130"/>
      <c r="CC290" s="130"/>
      <c r="CD290" s="130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130"/>
      <c r="CV290" s="130"/>
      <c r="CW290" s="130"/>
      <c r="CX290" s="130"/>
      <c r="CY290" s="130"/>
      <c r="CZ290" s="130"/>
      <c r="DA290" s="130"/>
      <c r="DB290" s="130"/>
      <c r="DC290" s="3"/>
      <c r="DD290" s="3"/>
      <c r="DE290" s="3"/>
      <c r="DF290" s="3"/>
      <c r="DG290" s="3"/>
      <c r="DH290" s="3"/>
      <c r="DI290" s="3"/>
      <c r="DJ290" s="3"/>
      <c r="DK290" s="3"/>
      <c r="DL290" s="3"/>
      <c r="DM290" s="3"/>
      <c r="DN290" s="3"/>
      <c r="DO290" s="3"/>
      <c r="DP290" s="3"/>
      <c r="DQ290" s="3"/>
      <c r="DR290" s="3"/>
      <c r="DS290" s="130"/>
      <c r="DT290" s="130"/>
      <c r="DU290" s="130"/>
      <c r="DV290" s="130"/>
      <c r="DW290" s="130"/>
      <c r="DX290" s="130"/>
      <c r="DY290" s="130"/>
      <c r="DZ290" s="130"/>
      <c r="EA290" s="3"/>
      <c r="EB290" s="3"/>
      <c r="EC290" s="3"/>
      <c r="ED290" s="3"/>
      <c r="EE290" s="3"/>
      <c r="EF290" s="3"/>
      <c r="EG290" s="3"/>
      <c r="EH290" s="3"/>
      <c r="EI290" s="3"/>
      <c r="EJ290" s="3"/>
      <c r="EK290" s="3"/>
      <c r="EL290" s="3"/>
      <c r="EM290" s="3"/>
      <c r="EN290" s="3"/>
      <c r="EO290" s="3"/>
      <c r="EP290" s="3"/>
      <c r="EQ290" s="130"/>
      <c r="ER290" s="130"/>
      <c r="ES290" s="130"/>
      <c r="ET290" s="130"/>
      <c r="EU290" s="130"/>
      <c r="EV290" s="130"/>
      <c r="EW290" s="130"/>
      <c r="EX290" s="130"/>
      <c r="EY290" s="3"/>
      <c r="EZ290" s="3"/>
      <c r="FA290" s="3"/>
      <c r="FB290" s="3"/>
      <c r="FC290" s="3"/>
      <c r="FD290" s="3"/>
      <c r="FE290" s="3"/>
      <c r="FF290" s="3"/>
      <c r="FG290" s="3"/>
      <c r="FH290" s="3"/>
      <c r="FI290" s="3"/>
      <c r="FJ290" s="3"/>
      <c r="FK290" s="3"/>
      <c r="FL290" s="3"/>
      <c r="FM290" s="3"/>
      <c r="FN290" s="3"/>
      <c r="FO290" s="130"/>
      <c r="FP290" s="130"/>
      <c r="FQ290" s="130"/>
      <c r="FR290" s="130"/>
      <c r="FS290" s="130"/>
      <c r="FT290" s="130"/>
      <c r="FU290" s="130"/>
      <c r="FV290" s="130"/>
      <c r="FW290" s="3"/>
      <c r="FX290" s="3"/>
      <c r="FY290" s="3"/>
      <c r="FZ290" s="3"/>
      <c r="GA290" s="3"/>
      <c r="GB290" s="3"/>
      <c r="GC290" s="3"/>
      <c r="GD290" s="3"/>
      <c r="GE290" s="3"/>
      <c r="GF290" s="3"/>
      <c r="GG290" s="3"/>
      <c r="GH290" s="3"/>
      <c r="GI290" s="3"/>
      <c r="GJ290" s="3"/>
      <c r="GK290" s="3"/>
      <c r="GL290" s="3"/>
      <c r="GM290" s="130"/>
      <c r="GN290" s="130"/>
      <c r="GO290" s="130"/>
      <c r="GP290" s="130"/>
      <c r="GQ290" s="130"/>
      <c r="GR290" s="130"/>
      <c r="GS290" s="130"/>
      <c r="GT290" s="130"/>
      <c r="GU290" s="3"/>
      <c r="GV290" s="3"/>
      <c r="GW290" s="3"/>
      <c r="GX290" s="3"/>
      <c r="GY290" s="3"/>
      <c r="GZ290" s="3"/>
      <c r="HA290" s="3"/>
      <c r="HB290" s="3"/>
      <c r="HC290" s="3"/>
      <c r="HD290" s="3"/>
      <c r="HE290" s="3"/>
      <c r="HF290" s="3"/>
      <c r="HG290" s="3"/>
      <c r="HH290" s="3"/>
      <c r="HI290" s="3"/>
      <c r="HJ290" s="3"/>
      <c r="HK290" s="130"/>
      <c r="HL290" s="130"/>
      <c r="HM290" s="130"/>
      <c r="HN290" s="130"/>
      <c r="HO290" s="130"/>
      <c r="HP290" s="130"/>
      <c r="HQ290" s="130"/>
      <c r="HR290" s="130"/>
      <c r="HS290" s="3"/>
      <c r="HT290" s="3"/>
      <c r="HU290" s="3"/>
      <c r="HV290" s="3"/>
      <c r="HW290" s="3"/>
      <c r="HX290" s="3"/>
      <c r="HY290" s="3"/>
      <c r="HZ290" s="3"/>
      <c r="IA290" s="3"/>
      <c r="IB290" s="3"/>
      <c r="IC290" s="3"/>
      <c r="ID290" s="3"/>
      <c r="IE290" s="3"/>
      <c r="IF290" s="3"/>
      <c r="IG290" s="3"/>
      <c r="IH290" s="3"/>
      <c r="II290" s="130"/>
      <c r="IJ290" s="130"/>
      <c r="IK290" s="130"/>
      <c r="IL290" s="130"/>
      <c r="IM290" s="130"/>
      <c r="IN290" s="130"/>
      <c r="IO290" s="130"/>
      <c r="IP290" s="130"/>
      <c r="IQ290" s="3"/>
      <c r="IR290" s="3"/>
      <c r="IS290" s="3"/>
      <c r="IT290" s="3"/>
      <c r="IU290" s="3"/>
      <c r="IV290" s="3"/>
    </row>
    <row r="291" spans="1:256" s="125" customFormat="1">
      <c r="A291" s="16">
        <v>75</v>
      </c>
      <c r="B291" s="17">
        <v>43096</v>
      </c>
      <c r="C291" s="18"/>
      <c r="D291" s="19" t="s">
        <v>379</v>
      </c>
      <c r="E291" s="20" t="s">
        <v>394</v>
      </c>
      <c r="F291" s="168" t="s">
        <v>396</v>
      </c>
      <c r="G291" s="63">
        <v>1708</v>
      </c>
      <c r="H291" s="121">
        <f>70000+1701400</f>
        <v>1771400</v>
      </c>
      <c r="I291" s="24"/>
      <c r="J291" s="24">
        <f>SUM(H291)/1.05</f>
        <v>1687047.6190476189</v>
      </c>
      <c r="K291" s="24">
        <f t="shared" si="26"/>
        <v>1687047.6190476189</v>
      </c>
      <c r="L291" s="123"/>
      <c r="M291" s="24">
        <f t="shared" si="27"/>
        <v>0</v>
      </c>
      <c r="N291" s="124">
        <f t="shared" si="28"/>
        <v>1687047.6190476189</v>
      </c>
      <c r="O291" s="108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130"/>
      <c r="AB291" s="130"/>
      <c r="AC291" s="130"/>
      <c r="AD291" s="130"/>
      <c r="AE291" s="130"/>
      <c r="AF291" s="167"/>
      <c r="AG291" s="167"/>
      <c r="AH291" s="167"/>
      <c r="AY291" s="167"/>
      <c r="AZ291" s="167"/>
      <c r="BA291" s="167"/>
      <c r="BB291" s="167"/>
      <c r="BC291" s="167"/>
      <c r="BD291" s="167"/>
      <c r="BE291" s="167"/>
      <c r="BF291" s="167"/>
      <c r="BW291" s="167"/>
      <c r="BX291" s="167"/>
      <c r="BY291" s="167"/>
      <c r="BZ291" s="167"/>
      <c r="CA291" s="167"/>
      <c r="CB291" s="167"/>
      <c r="CC291" s="167"/>
      <c r="CD291" s="167"/>
      <c r="CU291" s="167"/>
      <c r="CV291" s="167"/>
      <c r="CW291" s="167"/>
      <c r="CX291" s="167"/>
      <c r="CY291" s="167"/>
      <c r="CZ291" s="167"/>
      <c r="DA291" s="167"/>
      <c r="DB291" s="167"/>
      <c r="DS291" s="167"/>
      <c r="DT291" s="167"/>
      <c r="DU291" s="167"/>
      <c r="DV291" s="167"/>
      <c r="DW291" s="167"/>
      <c r="DX291" s="167"/>
      <c r="DY291" s="167"/>
      <c r="DZ291" s="167"/>
      <c r="EQ291" s="167"/>
      <c r="ER291" s="167"/>
      <c r="ES291" s="167"/>
      <c r="ET291" s="167"/>
      <c r="EU291" s="167"/>
      <c r="EV291" s="167"/>
      <c r="EW291" s="167"/>
      <c r="EX291" s="167"/>
      <c r="FO291" s="167"/>
      <c r="FP291" s="167"/>
      <c r="FQ291" s="167"/>
      <c r="FR291" s="167"/>
      <c r="FS291" s="167"/>
      <c r="FT291" s="167"/>
      <c r="FU291" s="167"/>
      <c r="FV291" s="167"/>
      <c r="GM291" s="167"/>
      <c r="GN291" s="167"/>
      <c r="GO291" s="167"/>
      <c r="GP291" s="167"/>
      <c r="GQ291" s="167"/>
      <c r="GR291" s="167"/>
      <c r="GS291" s="167"/>
      <c r="GT291" s="167"/>
      <c r="HK291" s="167"/>
      <c r="HL291" s="167"/>
      <c r="HM291" s="167"/>
      <c r="HN291" s="167"/>
      <c r="HO291" s="167"/>
      <c r="HP291" s="167"/>
      <c r="HQ291" s="167"/>
      <c r="HR291" s="167"/>
      <c r="II291" s="167"/>
      <c r="IJ291" s="167"/>
      <c r="IK291" s="167"/>
      <c r="IL291" s="167"/>
      <c r="IM291" s="167"/>
      <c r="IN291" s="167"/>
      <c r="IO291" s="167"/>
      <c r="IP291" s="167"/>
    </row>
    <row r="292" spans="1:256" s="125" customFormat="1">
      <c r="A292" s="16">
        <v>76</v>
      </c>
      <c r="B292" s="29">
        <v>43084</v>
      </c>
      <c r="C292" s="18"/>
      <c r="D292" s="19" t="s">
        <v>397</v>
      </c>
      <c r="E292" s="20" t="s">
        <v>398</v>
      </c>
      <c r="F292" s="82" t="s">
        <v>399</v>
      </c>
      <c r="G292" s="63">
        <v>1708</v>
      </c>
      <c r="H292" s="121">
        <f>1729000</f>
        <v>1729000</v>
      </c>
      <c r="I292" s="24"/>
      <c r="J292" s="24">
        <f>SUM(H292)/1.05</f>
        <v>1646666.6666666665</v>
      </c>
      <c r="K292" s="24">
        <f t="shared" si="26"/>
        <v>1646666.6666666665</v>
      </c>
      <c r="L292" s="123"/>
      <c r="M292" s="24">
        <f t="shared" si="27"/>
        <v>0</v>
      </c>
      <c r="N292" s="124">
        <f t="shared" si="28"/>
        <v>1646666.6666666665</v>
      </c>
      <c r="O292" s="85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130"/>
      <c r="AB292" s="130"/>
      <c r="AC292" s="130"/>
      <c r="AD292" s="130"/>
      <c r="AE292" s="130"/>
      <c r="AF292" s="167"/>
      <c r="AG292" s="167"/>
      <c r="AH292" s="167"/>
      <c r="AY292" s="167"/>
      <c r="AZ292" s="167"/>
      <c r="BA292" s="167"/>
      <c r="BB292" s="167"/>
      <c r="BC292" s="167"/>
      <c r="BD292" s="167"/>
      <c r="BE292" s="167"/>
      <c r="BF292" s="167"/>
      <c r="BW292" s="167"/>
      <c r="BX292" s="167"/>
      <c r="BY292" s="167"/>
      <c r="BZ292" s="167"/>
      <c r="CA292" s="167"/>
      <c r="CB292" s="167"/>
      <c r="CC292" s="167"/>
      <c r="CD292" s="167"/>
      <c r="CU292" s="167"/>
      <c r="CV292" s="167"/>
      <c r="CW292" s="167"/>
      <c r="CX292" s="167"/>
      <c r="CY292" s="167"/>
      <c r="CZ292" s="167"/>
      <c r="DA292" s="167"/>
      <c r="DB292" s="167"/>
      <c r="DS292" s="167"/>
      <c r="DT292" s="167"/>
      <c r="DU292" s="167"/>
      <c r="DV292" s="167"/>
      <c r="DW292" s="167"/>
      <c r="DX292" s="167"/>
      <c r="DY292" s="167"/>
      <c r="DZ292" s="167"/>
      <c r="EQ292" s="167"/>
      <c r="ER292" s="167"/>
      <c r="ES292" s="167"/>
      <c r="ET292" s="167"/>
      <c r="EU292" s="167"/>
      <c r="EV292" s="167"/>
      <c r="EW292" s="167"/>
      <c r="EX292" s="167"/>
      <c r="FO292" s="167"/>
      <c r="FP292" s="167"/>
      <c r="FQ292" s="167"/>
      <c r="FR292" s="167"/>
      <c r="FS292" s="167"/>
      <c r="FT292" s="167"/>
      <c r="FU292" s="167"/>
      <c r="FV292" s="167"/>
      <c r="GM292" s="167"/>
      <c r="GN292" s="167"/>
      <c r="GO292" s="167"/>
      <c r="GP292" s="167"/>
      <c r="GQ292" s="167"/>
      <c r="GR292" s="167"/>
      <c r="GS292" s="167"/>
      <c r="GT292" s="167"/>
      <c r="HK292" s="167"/>
      <c r="HL292" s="167"/>
      <c r="HM292" s="167"/>
      <c r="HN292" s="167"/>
      <c r="HO292" s="167"/>
      <c r="HP292" s="167"/>
      <c r="HQ292" s="167"/>
      <c r="HR292" s="167"/>
      <c r="II292" s="167"/>
      <c r="IJ292" s="167"/>
      <c r="IK292" s="167"/>
      <c r="IL292" s="167"/>
      <c r="IM292" s="167"/>
      <c r="IN292" s="167"/>
      <c r="IO292" s="167"/>
      <c r="IP292" s="167"/>
    </row>
    <row r="293" spans="1:256" s="125" customFormat="1">
      <c r="A293" s="16">
        <v>77</v>
      </c>
      <c r="B293" s="17">
        <v>43083</v>
      </c>
      <c r="C293" s="18"/>
      <c r="D293" s="19" t="s">
        <v>397</v>
      </c>
      <c r="E293" s="20" t="s">
        <v>398</v>
      </c>
      <c r="F293" s="168" t="s">
        <v>400</v>
      </c>
      <c r="G293" s="63">
        <v>1708</v>
      </c>
      <c r="H293" s="121">
        <v>1729000</v>
      </c>
      <c r="I293" s="24"/>
      <c r="J293" s="24">
        <f>SUM(H293)/1.05</f>
        <v>1646666.6666666665</v>
      </c>
      <c r="K293" s="24">
        <f t="shared" si="26"/>
        <v>1646666.6666666665</v>
      </c>
      <c r="L293" s="123"/>
      <c r="M293" s="24">
        <f t="shared" si="27"/>
        <v>0</v>
      </c>
      <c r="N293" s="124">
        <f t="shared" si="28"/>
        <v>1646666.6666666665</v>
      </c>
      <c r="O293" s="85"/>
      <c r="P293" s="3"/>
      <c r="Q293" s="140"/>
      <c r="R293" s="3"/>
      <c r="S293" s="3"/>
      <c r="T293" s="3"/>
      <c r="U293" s="3"/>
      <c r="V293" s="3"/>
      <c r="W293" s="3"/>
      <c r="X293" s="3"/>
      <c r="Y293" s="3"/>
      <c r="Z293" s="3"/>
      <c r="AA293" s="130"/>
      <c r="AB293" s="130"/>
      <c r="AC293" s="130"/>
      <c r="AD293" s="130"/>
      <c r="AE293" s="130"/>
      <c r="AF293" s="130"/>
      <c r="AG293" s="130"/>
      <c r="AH293" s="130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130"/>
      <c r="AZ293" s="130"/>
      <c r="BA293" s="130"/>
      <c r="BB293" s="130"/>
      <c r="BC293" s="130"/>
      <c r="BD293" s="130"/>
      <c r="BE293" s="130"/>
      <c r="BF293" s="130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130"/>
      <c r="BX293" s="130"/>
      <c r="BY293" s="130"/>
      <c r="BZ293" s="130"/>
      <c r="CA293" s="130"/>
      <c r="CB293" s="130"/>
      <c r="CC293" s="130"/>
      <c r="CD293" s="130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130"/>
      <c r="CV293" s="130"/>
      <c r="CW293" s="130"/>
      <c r="CX293" s="130"/>
      <c r="CY293" s="130"/>
      <c r="CZ293" s="130"/>
      <c r="DA293" s="130"/>
      <c r="DB293" s="130"/>
      <c r="DC293" s="3"/>
      <c r="DD293" s="3"/>
      <c r="DE293" s="3"/>
      <c r="DF293" s="3"/>
      <c r="DG293" s="3"/>
      <c r="DH293" s="3"/>
      <c r="DI293" s="3"/>
      <c r="DJ293" s="3"/>
      <c r="DK293" s="3"/>
      <c r="DL293" s="3"/>
      <c r="DM293" s="3"/>
      <c r="DN293" s="3"/>
      <c r="DO293" s="3"/>
      <c r="DP293" s="3"/>
      <c r="DQ293" s="3"/>
      <c r="DR293" s="3"/>
      <c r="DS293" s="130"/>
      <c r="DT293" s="130"/>
      <c r="DU293" s="130"/>
      <c r="DV293" s="130"/>
      <c r="DW293" s="130"/>
      <c r="DX293" s="130"/>
      <c r="DY293" s="130"/>
      <c r="DZ293" s="130"/>
      <c r="EA293" s="3"/>
      <c r="EB293" s="3"/>
      <c r="EC293" s="3"/>
      <c r="ED293" s="3"/>
      <c r="EE293" s="3"/>
      <c r="EF293" s="3"/>
      <c r="EG293" s="3"/>
      <c r="EH293" s="3"/>
      <c r="EI293" s="3"/>
      <c r="EJ293" s="3"/>
      <c r="EK293" s="3"/>
      <c r="EL293" s="3"/>
      <c r="EM293" s="3"/>
      <c r="EN293" s="3"/>
      <c r="EO293" s="3"/>
      <c r="EP293" s="3"/>
      <c r="EQ293" s="130"/>
      <c r="ER293" s="130"/>
      <c r="ES293" s="130"/>
      <c r="ET293" s="130"/>
      <c r="EU293" s="130"/>
      <c r="EV293" s="130"/>
      <c r="EW293" s="130"/>
      <c r="EX293" s="130"/>
      <c r="EY293" s="3"/>
      <c r="EZ293" s="3"/>
      <c r="FA293" s="3"/>
      <c r="FB293" s="3"/>
      <c r="FC293" s="3"/>
      <c r="FD293" s="3"/>
      <c r="FE293" s="3"/>
      <c r="FF293" s="3"/>
      <c r="FG293" s="3"/>
      <c r="FH293" s="3"/>
      <c r="FI293" s="3"/>
      <c r="FJ293" s="3"/>
      <c r="FK293" s="3"/>
      <c r="FL293" s="3"/>
      <c r="FM293" s="3"/>
      <c r="FN293" s="3"/>
      <c r="FO293" s="130"/>
      <c r="FP293" s="130"/>
      <c r="FQ293" s="130"/>
      <c r="FR293" s="130"/>
      <c r="FS293" s="130"/>
      <c r="FT293" s="130"/>
      <c r="FU293" s="130"/>
      <c r="FV293" s="130"/>
      <c r="FW293" s="3"/>
      <c r="FX293" s="3"/>
      <c r="FY293" s="3"/>
      <c r="FZ293" s="3"/>
      <c r="GA293" s="3"/>
      <c r="GB293" s="3"/>
      <c r="GC293" s="3"/>
      <c r="GD293" s="3"/>
      <c r="GE293" s="3"/>
      <c r="GF293" s="3"/>
      <c r="GG293" s="3"/>
      <c r="GH293" s="3"/>
      <c r="GI293" s="3"/>
      <c r="GJ293" s="3"/>
      <c r="GK293" s="3"/>
      <c r="GL293" s="3"/>
      <c r="GM293" s="130"/>
      <c r="GN293" s="130"/>
      <c r="GO293" s="130"/>
      <c r="GP293" s="130"/>
      <c r="GQ293" s="130"/>
      <c r="GR293" s="130"/>
      <c r="GS293" s="130"/>
      <c r="GT293" s="130"/>
      <c r="GU293" s="3"/>
      <c r="GV293" s="3"/>
      <c r="GW293" s="3"/>
      <c r="GX293" s="3"/>
      <c r="GY293" s="3"/>
      <c r="GZ293" s="3"/>
      <c r="HA293" s="3"/>
      <c r="HB293" s="3"/>
      <c r="HC293" s="3"/>
      <c r="HD293" s="3"/>
      <c r="HE293" s="3"/>
      <c r="HF293" s="3"/>
      <c r="HG293" s="3"/>
      <c r="HH293" s="3"/>
      <c r="HI293" s="3"/>
      <c r="HJ293" s="3"/>
      <c r="HK293" s="130"/>
      <c r="HL293" s="130"/>
      <c r="HM293" s="130"/>
      <c r="HN293" s="130"/>
      <c r="HO293" s="130"/>
      <c r="HP293" s="130"/>
      <c r="HQ293" s="130"/>
      <c r="HR293" s="130"/>
      <c r="HS293" s="3"/>
      <c r="HT293" s="3"/>
      <c r="HU293" s="3"/>
      <c r="HV293" s="3"/>
      <c r="HW293" s="3"/>
      <c r="HX293" s="3"/>
      <c r="HY293" s="3"/>
      <c r="HZ293" s="3"/>
      <c r="IA293" s="3"/>
      <c r="IB293" s="3"/>
      <c r="IC293" s="3"/>
      <c r="ID293" s="3"/>
      <c r="IE293" s="3"/>
      <c r="IF293" s="3"/>
      <c r="IG293" s="3"/>
      <c r="IH293" s="3"/>
      <c r="II293" s="130"/>
      <c r="IJ293" s="130"/>
      <c r="IK293" s="130"/>
      <c r="IL293" s="130"/>
      <c r="IM293" s="130"/>
      <c r="IN293" s="130"/>
      <c r="IO293" s="130"/>
      <c r="IP293" s="130"/>
      <c r="IQ293" s="3"/>
      <c r="IR293" s="3"/>
      <c r="IS293" s="3"/>
      <c r="IT293" s="3"/>
      <c r="IU293" s="3"/>
      <c r="IV293" s="3"/>
    </row>
    <row r="294" spans="1:256" s="125" customFormat="1">
      <c r="A294" s="16">
        <v>78</v>
      </c>
      <c r="B294" s="17">
        <v>43095</v>
      </c>
      <c r="C294" s="18"/>
      <c r="D294" s="19" t="s">
        <v>397</v>
      </c>
      <c r="E294" s="20" t="s">
        <v>401</v>
      </c>
      <c r="F294" s="168" t="s">
        <v>402</v>
      </c>
      <c r="G294" s="63">
        <v>1707</v>
      </c>
      <c r="H294" s="121">
        <f>1615000-30000</f>
        <v>1585000</v>
      </c>
      <c r="I294" s="24"/>
      <c r="J294" s="24">
        <f>SUM(H294)/1.05</f>
        <v>1509523.8095238095</v>
      </c>
      <c r="K294" s="24">
        <f t="shared" si="26"/>
        <v>1509523.8095238095</v>
      </c>
      <c r="L294" s="123"/>
      <c r="M294" s="24">
        <f t="shared" si="27"/>
        <v>0</v>
      </c>
      <c r="N294" s="124">
        <f t="shared" si="28"/>
        <v>1509523.8095238095</v>
      </c>
      <c r="O294" s="108"/>
      <c r="P294" s="3"/>
      <c r="Q294" s="140"/>
      <c r="R294" s="3"/>
      <c r="S294" s="3"/>
      <c r="T294" s="3"/>
      <c r="U294" s="3"/>
      <c r="V294" s="3"/>
      <c r="W294" s="3"/>
      <c r="X294" s="3"/>
      <c r="Y294" s="3"/>
      <c r="Z294" s="3"/>
      <c r="AA294" s="130"/>
      <c r="AB294" s="130"/>
      <c r="AC294" s="130"/>
      <c r="AD294" s="130"/>
      <c r="AE294" s="130"/>
      <c r="AF294" s="130"/>
      <c r="AG294" s="130"/>
      <c r="AH294" s="130"/>
      <c r="AI294" s="3"/>
      <c r="AJ294" s="3"/>
      <c r="AK294" s="3"/>
      <c r="AY294" s="167"/>
      <c r="AZ294" s="167"/>
      <c r="BA294" s="167"/>
      <c r="BB294" s="167"/>
      <c r="BC294" s="167"/>
      <c r="BD294" s="167"/>
      <c r="BE294" s="167"/>
      <c r="BF294" s="167"/>
      <c r="BW294" s="167"/>
      <c r="BX294" s="167"/>
      <c r="BY294" s="167"/>
      <c r="BZ294" s="167"/>
      <c r="CA294" s="167"/>
      <c r="CB294" s="167"/>
      <c r="CC294" s="167"/>
      <c r="CD294" s="167"/>
      <c r="CU294" s="167"/>
      <c r="CV294" s="167"/>
      <c r="CW294" s="167"/>
      <c r="CX294" s="167"/>
      <c r="CY294" s="167"/>
      <c r="CZ294" s="167"/>
      <c r="DA294" s="167"/>
      <c r="DB294" s="167"/>
      <c r="DS294" s="167"/>
      <c r="DT294" s="167"/>
      <c r="DU294" s="167"/>
      <c r="DV294" s="167"/>
      <c r="DW294" s="167"/>
      <c r="DX294" s="167"/>
      <c r="DY294" s="167"/>
      <c r="DZ294" s="167"/>
      <c r="EQ294" s="167"/>
      <c r="ER294" s="167"/>
      <c r="ES294" s="167"/>
      <c r="ET294" s="167"/>
      <c r="EU294" s="167"/>
      <c r="EV294" s="167"/>
      <c r="EW294" s="167"/>
      <c r="EX294" s="167"/>
      <c r="FO294" s="167"/>
      <c r="FP294" s="167"/>
      <c r="FQ294" s="167"/>
      <c r="FR294" s="167"/>
      <c r="FS294" s="167"/>
      <c r="FT294" s="167"/>
      <c r="FU294" s="167"/>
      <c r="FV294" s="167"/>
      <c r="GM294" s="167"/>
      <c r="GN294" s="167"/>
      <c r="GO294" s="167"/>
      <c r="GP294" s="167"/>
      <c r="GQ294" s="167"/>
      <c r="GR294" s="167"/>
      <c r="GS294" s="167"/>
      <c r="GT294" s="167"/>
      <c r="HK294" s="167"/>
      <c r="HL294" s="167"/>
      <c r="HM294" s="167"/>
      <c r="HN294" s="167"/>
      <c r="HO294" s="167"/>
      <c r="HP294" s="167"/>
      <c r="HQ294" s="167"/>
      <c r="HR294" s="167"/>
      <c r="II294" s="167"/>
      <c r="IJ294" s="167"/>
      <c r="IK294" s="167"/>
      <c r="IL294" s="167"/>
      <c r="IM294" s="167"/>
      <c r="IN294" s="167"/>
      <c r="IO294" s="167"/>
      <c r="IP294" s="167"/>
    </row>
    <row r="295" spans="1:256" s="125" customFormat="1">
      <c r="A295" s="16">
        <v>79</v>
      </c>
      <c r="B295" s="17">
        <v>43039</v>
      </c>
      <c r="C295" s="18"/>
      <c r="D295" s="19" t="s">
        <v>397</v>
      </c>
      <c r="E295" s="20" t="s">
        <v>401</v>
      </c>
      <c r="F295" s="82" t="s">
        <v>403</v>
      </c>
      <c r="G295" s="63">
        <v>1708</v>
      </c>
      <c r="H295" s="121">
        <v>1618200</v>
      </c>
      <c r="I295" s="24">
        <v>1541143</v>
      </c>
      <c r="J295" s="24"/>
      <c r="K295" s="24">
        <f t="shared" si="26"/>
        <v>1541143</v>
      </c>
      <c r="L295" s="123"/>
      <c r="M295" s="24">
        <f t="shared" si="27"/>
        <v>0</v>
      </c>
      <c r="N295" s="124">
        <f t="shared" si="28"/>
        <v>1541143</v>
      </c>
      <c r="O295" s="87"/>
      <c r="P295" s="3"/>
      <c r="Q295" s="140"/>
      <c r="R295" s="3"/>
      <c r="S295" s="3"/>
      <c r="T295" s="3"/>
      <c r="U295" s="3"/>
      <c r="V295" s="3"/>
      <c r="W295" s="3"/>
      <c r="X295" s="3"/>
      <c r="Y295" s="3"/>
      <c r="Z295" s="3"/>
      <c r="AA295" s="130"/>
      <c r="AB295" s="130"/>
      <c r="AC295" s="130"/>
      <c r="AD295" s="130"/>
      <c r="AE295" s="130"/>
      <c r="AF295" s="130"/>
      <c r="AG295" s="130"/>
      <c r="AH295" s="130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130"/>
      <c r="AZ295" s="130"/>
      <c r="BA295" s="130"/>
      <c r="BB295" s="130"/>
      <c r="BC295" s="130"/>
      <c r="BD295" s="130"/>
      <c r="BE295" s="130"/>
      <c r="BF295" s="130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130"/>
      <c r="BX295" s="130"/>
      <c r="BY295" s="130"/>
      <c r="BZ295" s="130"/>
      <c r="CA295" s="130"/>
      <c r="CB295" s="130"/>
      <c r="CC295" s="130"/>
      <c r="CD295" s="130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130"/>
      <c r="CV295" s="130"/>
      <c r="CW295" s="130"/>
      <c r="CX295" s="130"/>
      <c r="CY295" s="130"/>
      <c r="CZ295" s="130"/>
      <c r="DA295" s="130"/>
      <c r="DB295" s="130"/>
      <c r="DC295" s="3"/>
      <c r="DD295" s="3"/>
      <c r="DE295" s="3"/>
      <c r="DF295" s="3"/>
      <c r="DG295" s="3"/>
      <c r="DH295" s="3"/>
      <c r="DI295" s="3"/>
      <c r="DJ295" s="3"/>
      <c r="DK295" s="3"/>
      <c r="DL295" s="3"/>
      <c r="DM295" s="3"/>
      <c r="DN295" s="3"/>
      <c r="DO295" s="3"/>
      <c r="DP295" s="3"/>
      <c r="DQ295" s="3"/>
      <c r="DR295" s="3"/>
      <c r="DS295" s="130"/>
      <c r="DT295" s="130"/>
      <c r="DU295" s="130"/>
      <c r="DV295" s="130"/>
      <c r="DW295" s="130"/>
      <c r="DX295" s="130"/>
      <c r="DY295" s="130"/>
      <c r="DZ295" s="130"/>
      <c r="EA295" s="3"/>
      <c r="EB295" s="3"/>
      <c r="EC295" s="3"/>
      <c r="ED295" s="3"/>
      <c r="EE295" s="3"/>
      <c r="EF295" s="3"/>
      <c r="EG295" s="3"/>
      <c r="EH295" s="3"/>
      <c r="EI295" s="3"/>
      <c r="EJ295" s="3"/>
      <c r="EK295" s="3"/>
      <c r="EL295" s="3"/>
      <c r="EM295" s="3"/>
      <c r="EN295" s="3"/>
      <c r="EO295" s="3"/>
      <c r="EP295" s="3"/>
      <c r="EQ295" s="130"/>
      <c r="ER295" s="130"/>
      <c r="ES295" s="130"/>
      <c r="ET295" s="130"/>
      <c r="EU295" s="130"/>
      <c r="EV295" s="130"/>
      <c r="EW295" s="130"/>
      <c r="EX295" s="130"/>
      <c r="EY295" s="3"/>
      <c r="EZ295" s="3"/>
      <c r="FA295" s="3"/>
      <c r="FB295" s="3"/>
      <c r="FC295" s="3"/>
      <c r="FD295" s="3"/>
      <c r="FE295" s="3"/>
      <c r="FF295" s="3"/>
      <c r="FG295" s="3"/>
      <c r="FH295" s="3"/>
      <c r="FI295" s="3"/>
      <c r="FJ295" s="3"/>
      <c r="FK295" s="3"/>
      <c r="FL295" s="3"/>
      <c r="FM295" s="3"/>
      <c r="FN295" s="3"/>
      <c r="FO295" s="130"/>
      <c r="FP295" s="130"/>
      <c r="FQ295" s="130"/>
      <c r="FR295" s="130"/>
      <c r="FS295" s="130"/>
      <c r="FT295" s="130"/>
      <c r="FU295" s="130"/>
      <c r="FV295" s="130"/>
      <c r="FW295" s="3"/>
      <c r="FX295" s="3"/>
      <c r="FY295" s="3"/>
      <c r="FZ295" s="3"/>
      <c r="GA295" s="3"/>
      <c r="GB295" s="3"/>
      <c r="GC295" s="3"/>
      <c r="GD295" s="3"/>
      <c r="GE295" s="3"/>
      <c r="GF295" s="3"/>
      <c r="GG295" s="3"/>
      <c r="GH295" s="3"/>
      <c r="GI295" s="3"/>
      <c r="GJ295" s="3"/>
      <c r="GK295" s="3"/>
      <c r="GL295" s="3"/>
      <c r="GM295" s="130"/>
      <c r="GN295" s="130"/>
      <c r="GO295" s="130"/>
      <c r="GP295" s="130"/>
      <c r="GQ295" s="130"/>
      <c r="GR295" s="130"/>
      <c r="GS295" s="130"/>
      <c r="GT295" s="130"/>
      <c r="GU295" s="3"/>
      <c r="GV295" s="3"/>
      <c r="GW295" s="3"/>
      <c r="GX295" s="3"/>
      <c r="GY295" s="3"/>
      <c r="GZ295" s="3"/>
      <c r="HA295" s="3"/>
      <c r="HB295" s="3"/>
      <c r="HC295" s="3"/>
      <c r="HD295" s="3"/>
      <c r="HE295" s="3"/>
      <c r="HF295" s="3"/>
      <c r="HG295" s="3"/>
      <c r="HH295" s="3"/>
      <c r="HI295" s="3"/>
      <c r="HJ295" s="3"/>
      <c r="HK295" s="130"/>
      <c r="HL295" s="130"/>
      <c r="HM295" s="130"/>
      <c r="HN295" s="130"/>
      <c r="HO295" s="130"/>
      <c r="HP295" s="130"/>
      <c r="HQ295" s="130"/>
      <c r="HR295" s="130"/>
      <c r="HS295" s="3"/>
      <c r="HT295" s="3"/>
      <c r="HU295" s="3"/>
      <c r="HV295" s="3"/>
      <c r="HW295" s="3"/>
      <c r="HX295" s="3"/>
      <c r="HY295" s="3"/>
      <c r="HZ295" s="3"/>
      <c r="IA295" s="3"/>
      <c r="IB295" s="3"/>
      <c r="IC295" s="3"/>
      <c r="ID295" s="3"/>
      <c r="IE295" s="3"/>
      <c r="IF295" s="3"/>
      <c r="IG295" s="3"/>
      <c r="IH295" s="3"/>
      <c r="II295" s="130"/>
      <c r="IJ295" s="130"/>
      <c r="IK295" s="130"/>
      <c r="IL295" s="130"/>
      <c r="IM295" s="130"/>
      <c r="IN295" s="130"/>
      <c r="IO295" s="130"/>
      <c r="IP295" s="130"/>
      <c r="IQ295" s="3"/>
      <c r="IR295" s="3"/>
      <c r="IS295" s="3"/>
      <c r="IT295" s="3"/>
      <c r="IU295" s="3"/>
      <c r="IV295" s="3"/>
    </row>
    <row r="296" spans="1:256" s="125" customFormat="1">
      <c r="A296" s="16">
        <v>80</v>
      </c>
      <c r="B296" s="17">
        <v>43095</v>
      </c>
      <c r="C296" s="18"/>
      <c r="D296" s="19" t="s">
        <v>397</v>
      </c>
      <c r="E296" s="20" t="s">
        <v>401</v>
      </c>
      <c r="F296" s="168" t="s">
        <v>404</v>
      </c>
      <c r="G296" s="63">
        <v>1708</v>
      </c>
      <c r="H296" s="121">
        <v>1615000</v>
      </c>
      <c r="I296" s="24"/>
      <c r="J296" s="24">
        <f t="shared" ref="J296:J301" si="29">SUM(H296)/1.05</f>
        <v>1538095.2380952381</v>
      </c>
      <c r="K296" s="24">
        <f t="shared" si="26"/>
        <v>1538095.2380952381</v>
      </c>
      <c r="L296" s="123"/>
      <c r="M296" s="24">
        <f t="shared" si="27"/>
        <v>0</v>
      </c>
      <c r="N296" s="124">
        <f t="shared" si="28"/>
        <v>1538095.2380952381</v>
      </c>
      <c r="O296" s="108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130"/>
      <c r="AB296" s="130"/>
      <c r="AC296" s="130"/>
      <c r="AD296" s="130"/>
      <c r="AE296" s="130"/>
      <c r="AF296" s="130"/>
      <c r="AG296" s="130"/>
      <c r="AH296" s="130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130"/>
      <c r="AZ296" s="130"/>
      <c r="BA296" s="130"/>
      <c r="BB296" s="130"/>
      <c r="BC296" s="130"/>
      <c r="BD296" s="130"/>
      <c r="BE296" s="130"/>
      <c r="BF296" s="130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130"/>
      <c r="BX296" s="130"/>
      <c r="BY296" s="130"/>
      <c r="BZ296" s="130"/>
      <c r="CA296" s="130"/>
      <c r="CB296" s="130"/>
      <c r="CC296" s="130"/>
      <c r="CD296" s="130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130"/>
      <c r="CV296" s="130"/>
      <c r="CW296" s="130"/>
      <c r="CX296" s="130"/>
      <c r="CY296" s="130"/>
      <c r="CZ296" s="130"/>
      <c r="DA296" s="130"/>
      <c r="DB296" s="130"/>
      <c r="DC296" s="3"/>
      <c r="DD296" s="3"/>
      <c r="DE296" s="3"/>
      <c r="DF296" s="3"/>
      <c r="DG296" s="3"/>
      <c r="DH296" s="3"/>
      <c r="DI296" s="3"/>
      <c r="DJ296" s="3"/>
      <c r="DK296" s="3"/>
      <c r="DL296" s="3"/>
      <c r="DM296" s="3"/>
      <c r="DN296" s="3"/>
      <c r="DO296" s="3"/>
      <c r="DP296" s="3"/>
      <c r="DQ296" s="3"/>
      <c r="DR296" s="3"/>
      <c r="DS296" s="130"/>
      <c r="DT296" s="130"/>
      <c r="DU296" s="130"/>
      <c r="DV296" s="130"/>
      <c r="DW296" s="130"/>
      <c r="DX296" s="130"/>
      <c r="DY296" s="130"/>
      <c r="DZ296" s="130"/>
      <c r="EA296" s="3"/>
      <c r="EB296" s="3"/>
      <c r="EC296" s="3"/>
      <c r="ED296" s="3"/>
      <c r="EE296" s="3"/>
      <c r="EF296" s="3"/>
      <c r="EG296" s="3"/>
      <c r="EH296" s="3"/>
      <c r="EI296" s="3"/>
      <c r="EJ296" s="3"/>
      <c r="EK296" s="3"/>
      <c r="EL296" s="3"/>
      <c r="EM296" s="3"/>
      <c r="EN296" s="3"/>
      <c r="EO296" s="3"/>
      <c r="EP296" s="3"/>
      <c r="EQ296" s="130"/>
      <c r="ER296" s="130"/>
      <c r="ES296" s="130"/>
      <c r="ET296" s="130"/>
      <c r="EU296" s="130"/>
      <c r="EV296" s="130"/>
      <c r="EW296" s="130"/>
      <c r="EX296" s="130"/>
      <c r="EY296" s="3"/>
      <c r="EZ296" s="3"/>
      <c r="FA296" s="3"/>
      <c r="FB296" s="3"/>
      <c r="FC296" s="3"/>
      <c r="FD296" s="3"/>
      <c r="FE296" s="3"/>
      <c r="FF296" s="3"/>
      <c r="FG296" s="3"/>
      <c r="FH296" s="3"/>
      <c r="FI296" s="3"/>
      <c r="FJ296" s="3"/>
      <c r="FK296" s="3"/>
      <c r="FL296" s="3"/>
      <c r="FM296" s="3"/>
      <c r="FN296" s="3"/>
      <c r="FO296" s="130"/>
      <c r="FP296" s="130"/>
      <c r="FQ296" s="130"/>
      <c r="FR296" s="130"/>
      <c r="FS296" s="130"/>
      <c r="FT296" s="130"/>
      <c r="FU296" s="130"/>
      <c r="FV296" s="130"/>
      <c r="FW296" s="3"/>
      <c r="FX296" s="3"/>
      <c r="FY296" s="3"/>
      <c r="FZ296" s="3"/>
      <c r="GA296" s="3"/>
      <c r="GB296" s="3"/>
      <c r="GC296" s="3"/>
      <c r="GD296" s="3"/>
      <c r="GE296" s="3"/>
      <c r="GF296" s="3"/>
      <c r="GG296" s="3"/>
      <c r="GH296" s="3"/>
      <c r="GI296" s="3"/>
      <c r="GJ296" s="3"/>
      <c r="GK296" s="3"/>
      <c r="GL296" s="3"/>
      <c r="GM296" s="130"/>
      <c r="GN296" s="130"/>
      <c r="GO296" s="130"/>
      <c r="GP296" s="130"/>
      <c r="GQ296" s="130"/>
      <c r="GR296" s="130"/>
      <c r="GS296" s="130"/>
      <c r="GT296" s="130"/>
      <c r="GU296" s="3"/>
      <c r="GV296" s="3"/>
      <c r="GW296" s="3"/>
      <c r="GX296" s="3"/>
      <c r="GY296" s="3"/>
      <c r="GZ296" s="3"/>
      <c r="HA296" s="3"/>
      <c r="HB296" s="3"/>
      <c r="HC296" s="3"/>
      <c r="HD296" s="3"/>
      <c r="HE296" s="3"/>
      <c r="HF296" s="3"/>
      <c r="HG296" s="3"/>
      <c r="HH296" s="3"/>
      <c r="HI296" s="3"/>
      <c r="HJ296" s="3"/>
      <c r="HK296" s="130"/>
      <c r="HL296" s="130"/>
      <c r="HM296" s="130"/>
      <c r="HN296" s="130"/>
      <c r="HO296" s="130"/>
      <c r="HP296" s="130"/>
      <c r="HQ296" s="130"/>
      <c r="HR296" s="130"/>
      <c r="HS296" s="3"/>
      <c r="HT296" s="3"/>
      <c r="HU296" s="3"/>
      <c r="HV296" s="3"/>
      <c r="HW296" s="3"/>
      <c r="HX296" s="3"/>
      <c r="HY296" s="3"/>
      <c r="HZ296" s="3"/>
      <c r="IA296" s="3"/>
      <c r="IB296" s="3"/>
      <c r="IC296" s="3"/>
      <c r="ID296" s="3"/>
      <c r="IE296" s="3"/>
      <c r="IF296" s="3"/>
      <c r="IG296" s="3"/>
      <c r="IH296" s="3"/>
      <c r="II296" s="130"/>
      <c r="IJ296" s="130"/>
      <c r="IK296" s="130"/>
      <c r="IL296" s="130"/>
      <c r="IM296" s="130"/>
      <c r="IN296" s="130"/>
      <c r="IO296" s="130"/>
      <c r="IP296" s="130"/>
      <c r="IQ296" s="3"/>
      <c r="IR296" s="3"/>
      <c r="IS296" s="3"/>
      <c r="IT296" s="3"/>
      <c r="IU296" s="3"/>
      <c r="IV296" s="3"/>
    </row>
    <row r="297" spans="1:256" s="125" customFormat="1">
      <c r="A297" s="16">
        <v>81</v>
      </c>
      <c r="B297" s="17">
        <v>43095</v>
      </c>
      <c r="C297" s="18"/>
      <c r="D297" s="19" t="s">
        <v>397</v>
      </c>
      <c r="E297" s="20" t="s">
        <v>401</v>
      </c>
      <c r="F297" s="168" t="s">
        <v>405</v>
      </c>
      <c r="G297" s="63">
        <v>1709</v>
      </c>
      <c r="H297" s="121">
        <v>1615000</v>
      </c>
      <c r="I297" s="24"/>
      <c r="J297" s="24">
        <f t="shared" si="29"/>
        <v>1538095.2380952381</v>
      </c>
      <c r="K297" s="24">
        <f t="shared" si="26"/>
        <v>1538095.2380952381</v>
      </c>
      <c r="L297" s="123"/>
      <c r="M297" s="24">
        <f t="shared" si="27"/>
        <v>0</v>
      </c>
      <c r="N297" s="124">
        <f t="shared" si="28"/>
        <v>1538095.2380952381</v>
      </c>
      <c r="O297" s="108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130"/>
      <c r="AB297" s="130"/>
      <c r="AC297" s="130"/>
      <c r="AD297" s="130"/>
      <c r="AE297" s="130"/>
      <c r="AF297" s="130"/>
      <c r="AG297" s="130"/>
      <c r="AH297" s="130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130"/>
      <c r="AZ297" s="130"/>
      <c r="BA297" s="130"/>
      <c r="BB297" s="130"/>
      <c r="BC297" s="130"/>
      <c r="BD297" s="130"/>
      <c r="BE297" s="130"/>
      <c r="BF297" s="130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130"/>
      <c r="BX297" s="130"/>
      <c r="BY297" s="130"/>
      <c r="BZ297" s="130"/>
      <c r="CA297" s="130"/>
      <c r="CB297" s="130"/>
      <c r="CC297" s="130"/>
      <c r="CD297" s="130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130"/>
      <c r="CV297" s="130"/>
      <c r="CW297" s="130"/>
      <c r="CX297" s="130"/>
      <c r="CY297" s="130"/>
      <c r="CZ297" s="130"/>
      <c r="DA297" s="130"/>
      <c r="DB297" s="130"/>
      <c r="DC297" s="3"/>
      <c r="DD297" s="3"/>
      <c r="DE297" s="3"/>
      <c r="DF297" s="3"/>
      <c r="DG297" s="3"/>
      <c r="DH297" s="3"/>
      <c r="DI297" s="3"/>
      <c r="DJ297" s="3"/>
      <c r="DK297" s="3"/>
      <c r="DL297" s="3"/>
      <c r="DM297" s="3"/>
      <c r="DN297" s="3"/>
      <c r="DO297" s="3"/>
      <c r="DP297" s="3"/>
      <c r="DQ297" s="3"/>
      <c r="DR297" s="3"/>
      <c r="DS297" s="130"/>
      <c r="DT297" s="130"/>
      <c r="DU297" s="130"/>
      <c r="DV297" s="130"/>
      <c r="DW297" s="130"/>
      <c r="DX297" s="130"/>
      <c r="DY297" s="130"/>
      <c r="DZ297" s="130"/>
      <c r="EA297" s="3"/>
      <c r="EB297" s="3"/>
      <c r="EC297" s="3"/>
      <c r="ED297" s="3"/>
      <c r="EE297" s="3"/>
      <c r="EF297" s="3"/>
      <c r="EG297" s="3"/>
      <c r="EH297" s="3"/>
      <c r="EI297" s="3"/>
      <c r="EJ297" s="3"/>
      <c r="EK297" s="3"/>
      <c r="EL297" s="3"/>
      <c r="EM297" s="3"/>
      <c r="EN297" s="3"/>
      <c r="EO297" s="3"/>
      <c r="EP297" s="3"/>
      <c r="EQ297" s="130"/>
      <c r="ER297" s="130"/>
      <c r="ES297" s="130"/>
      <c r="ET297" s="130"/>
      <c r="EU297" s="130"/>
      <c r="EV297" s="130"/>
      <c r="EW297" s="130"/>
      <c r="EX297" s="130"/>
      <c r="EY297" s="3"/>
      <c r="EZ297" s="3"/>
      <c r="FA297" s="3"/>
      <c r="FB297" s="3"/>
      <c r="FC297" s="3"/>
      <c r="FD297" s="3"/>
      <c r="FE297" s="3"/>
      <c r="FF297" s="3"/>
      <c r="FG297" s="3"/>
      <c r="FH297" s="3"/>
      <c r="FI297" s="3"/>
      <c r="FJ297" s="3"/>
      <c r="FK297" s="3"/>
      <c r="FL297" s="3"/>
      <c r="FM297" s="3"/>
      <c r="FN297" s="3"/>
      <c r="FO297" s="130"/>
      <c r="FP297" s="130"/>
      <c r="FQ297" s="130"/>
      <c r="FR297" s="130"/>
      <c r="FS297" s="130"/>
      <c r="FT297" s="130"/>
      <c r="FU297" s="130"/>
      <c r="FV297" s="130"/>
      <c r="FW297" s="3"/>
      <c r="FX297" s="3"/>
      <c r="FY297" s="3"/>
      <c r="FZ297" s="3"/>
      <c r="GA297" s="3"/>
      <c r="GB297" s="3"/>
      <c r="GC297" s="3"/>
      <c r="GD297" s="3"/>
      <c r="GE297" s="3"/>
      <c r="GF297" s="3"/>
      <c r="GG297" s="3"/>
      <c r="GH297" s="3"/>
      <c r="GI297" s="3"/>
      <c r="GJ297" s="3"/>
      <c r="GK297" s="3"/>
      <c r="GL297" s="3"/>
      <c r="GM297" s="130"/>
      <c r="GN297" s="130"/>
      <c r="GO297" s="130"/>
      <c r="GP297" s="130"/>
      <c r="GQ297" s="130"/>
      <c r="GR297" s="130"/>
      <c r="GS297" s="130"/>
      <c r="GT297" s="130"/>
      <c r="GU297" s="3"/>
      <c r="GV297" s="3"/>
      <c r="GW297" s="3"/>
      <c r="GX297" s="3"/>
      <c r="GY297" s="3"/>
      <c r="GZ297" s="3"/>
      <c r="HA297" s="3"/>
      <c r="HB297" s="3"/>
      <c r="HC297" s="3"/>
      <c r="HD297" s="3"/>
      <c r="HE297" s="3"/>
      <c r="HF297" s="3"/>
      <c r="HG297" s="3"/>
      <c r="HH297" s="3"/>
      <c r="HI297" s="3"/>
      <c r="HJ297" s="3"/>
      <c r="HK297" s="130"/>
      <c r="HL297" s="130"/>
      <c r="HM297" s="130"/>
      <c r="HN297" s="130"/>
      <c r="HO297" s="130"/>
      <c r="HP297" s="130"/>
      <c r="HQ297" s="130"/>
      <c r="HR297" s="130"/>
      <c r="HS297" s="3"/>
      <c r="HT297" s="3"/>
      <c r="HU297" s="3"/>
      <c r="HV297" s="3"/>
      <c r="HW297" s="3"/>
      <c r="HX297" s="3"/>
      <c r="HY297" s="3"/>
      <c r="HZ297" s="3"/>
      <c r="IA297" s="3"/>
      <c r="IB297" s="3"/>
      <c r="IC297" s="3"/>
      <c r="ID297" s="3"/>
      <c r="IE297" s="3"/>
      <c r="IF297" s="3"/>
      <c r="IG297" s="3"/>
      <c r="IH297" s="3"/>
      <c r="II297" s="130"/>
      <c r="IJ297" s="130"/>
      <c r="IK297" s="130"/>
      <c r="IL297" s="130"/>
      <c r="IM297" s="130"/>
      <c r="IN297" s="130"/>
      <c r="IO297" s="130"/>
      <c r="IP297" s="130"/>
      <c r="IQ297" s="3"/>
      <c r="IR297" s="3"/>
      <c r="IS297" s="3"/>
      <c r="IT297" s="3"/>
      <c r="IU297" s="3"/>
      <c r="IV297" s="3"/>
    </row>
    <row r="298" spans="1:256" s="125" customFormat="1">
      <c r="A298" s="16">
        <v>82</v>
      </c>
      <c r="B298" s="29">
        <v>43077</v>
      </c>
      <c r="C298" s="18"/>
      <c r="D298" s="19" t="s">
        <v>406</v>
      </c>
      <c r="E298" s="20" t="s">
        <v>407</v>
      </c>
      <c r="F298" s="62" t="s">
        <v>408</v>
      </c>
      <c r="G298" s="63">
        <v>1707</v>
      </c>
      <c r="H298" s="121">
        <f>2000000-30000</f>
        <v>1970000</v>
      </c>
      <c r="I298" s="24"/>
      <c r="J298" s="24">
        <f t="shared" si="29"/>
        <v>1876190.4761904762</v>
      </c>
      <c r="K298" s="24">
        <f t="shared" si="26"/>
        <v>1876190.4761904762</v>
      </c>
      <c r="L298" s="123"/>
      <c r="M298" s="24">
        <f t="shared" si="27"/>
        <v>0</v>
      </c>
      <c r="N298" s="124">
        <f t="shared" si="28"/>
        <v>1876190.4761904762</v>
      </c>
      <c r="O298" s="107"/>
      <c r="P298" s="3"/>
      <c r="Q298" s="140"/>
      <c r="R298" s="3"/>
      <c r="S298" s="3"/>
      <c r="T298" s="3"/>
      <c r="U298" s="3"/>
      <c r="V298" s="3"/>
      <c r="W298" s="3"/>
      <c r="X298" s="3"/>
      <c r="Y298" s="131"/>
      <c r="Z298" s="15"/>
      <c r="AA298" s="99"/>
      <c r="AB298" s="149"/>
      <c r="AC298" s="134"/>
      <c r="AD298" s="134"/>
      <c r="AE298" s="137"/>
      <c r="AF298" s="150"/>
      <c r="AG298" s="137"/>
      <c r="AH298" s="137"/>
      <c r="AI298" s="3"/>
      <c r="AJ298" s="138"/>
      <c r="AK298" s="2"/>
      <c r="AL298" s="139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131"/>
      <c r="AX298" s="15"/>
      <c r="AY298" s="99"/>
      <c r="AZ298" s="149"/>
      <c r="BA298" s="134"/>
      <c r="BB298" s="134"/>
      <c r="BC298" s="137"/>
      <c r="BD298" s="150"/>
      <c r="BE298" s="137"/>
      <c r="BF298" s="137"/>
      <c r="BG298" s="3"/>
      <c r="BH298" s="138"/>
      <c r="BI298" s="2"/>
      <c r="BJ298" s="139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131"/>
      <c r="BV298" s="15"/>
      <c r="BW298" s="99"/>
      <c r="BX298" s="149"/>
      <c r="BY298" s="134"/>
      <c r="BZ298" s="134"/>
      <c r="CA298" s="137"/>
      <c r="CB298" s="150"/>
      <c r="CC298" s="137"/>
      <c r="CD298" s="137"/>
      <c r="CE298" s="3"/>
      <c r="CF298" s="138"/>
      <c r="CG298" s="2"/>
      <c r="CH298" s="139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131"/>
      <c r="CT298" s="15"/>
      <c r="CU298" s="99"/>
      <c r="CV298" s="149"/>
      <c r="CW298" s="134"/>
      <c r="CX298" s="134"/>
      <c r="CY298" s="137"/>
      <c r="CZ298" s="150"/>
      <c r="DA298" s="137"/>
      <c r="DB298" s="137"/>
      <c r="DC298" s="3"/>
      <c r="DD298" s="138"/>
      <c r="DE298" s="2"/>
      <c r="DF298" s="139"/>
      <c r="DG298" s="3"/>
      <c r="DH298" s="3"/>
      <c r="DI298" s="3"/>
      <c r="DJ298" s="3"/>
      <c r="DK298" s="3"/>
      <c r="DL298" s="3"/>
      <c r="DM298" s="3"/>
      <c r="DN298" s="3"/>
      <c r="DO298" s="3"/>
      <c r="DP298" s="3"/>
      <c r="DQ298" s="131"/>
      <c r="DR298" s="15"/>
      <c r="DS298" s="99"/>
      <c r="DT298" s="149"/>
      <c r="DU298" s="134"/>
      <c r="DV298" s="134"/>
      <c r="DW298" s="137"/>
      <c r="DX298" s="150"/>
      <c r="DY298" s="137"/>
      <c r="DZ298" s="137"/>
      <c r="EA298" s="3"/>
      <c r="EB298" s="138"/>
      <c r="EC298" s="2"/>
      <c r="ED298" s="139"/>
      <c r="EE298" s="3"/>
      <c r="EF298" s="3"/>
      <c r="EG298" s="3"/>
      <c r="EH298" s="3"/>
      <c r="EI298" s="3"/>
      <c r="EJ298" s="3"/>
      <c r="EK298" s="3"/>
      <c r="EL298" s="3"/>
      <c r="EM298" s="3"/>
      <c r="EN298" s="3"/>
      <c r="EO298" s="131"/>
      <c r="EP298" s="15"/>
      <c r="EQ298" s="99"/>
      <c r="ER298" s="149"/>
      <c r="ES298" s="134"/>
      <c r="ET298" s="134"/>
      <c r="EU298" s="137"/>
      <c r="EV298" s="150"/>
      <c r="EW298" s="137"/>
      <c r="EX298" s="137"/>
      <c r="EY298" s="3"/>
      <c r="EZ298" s="138"/>
      <c r="FA298" s="2"/>
      <c r="FB298" s="139"/>
      <c r="FC298" s="3"/>
      <c r="FD298" s="3"/>
      <c r="FE298" s="3"/>
      <c r="FF298" s="3"/>
      <c r="FG298" s="3"/>
      <c r="FH298" s="3"/>
      <c r="FI298" s="3"/>
      <c r="FJ298" s="3"/>
      <c r="FK298" s="3"/>
      <c r="FL298" s="3"/>
      <c r="FM298" s="131"/>
      <c r="FN298" s="15"/>
      <c r="FO298" s="99"/>
      <c r="FP298" s="149"/>
      <c r="FQ298" s="134"/>
      <c r="FR298" s="134"/>
      <c r="FS298" s="137"/>
      <c r="FT298" s="150"/>
      <c r="FU298" s="137"/>
      <c r="FV298" s="137"/>
      <c r="FW298" s="3"/>
      <c r="FX298" s="138"/>
      <c r="FY298" s="2"/>
      <c r="FZ298" s="139"/>
      <c r="GA298" s="3"/>
      <c r="GB298" s="3"/>
      <c r="GC298" s="3"/>
      <c r="GD298" s="3"/>
      <c r="GE298" s="3"/>
      <c r="GF298" s="3"/>
      <c r="GG298" s="3"/>
      <c r="GH298" s="3"/>
      <c r="GI298" s="3"/>
      <c r="GJ298" s="3"/>
      <c r="GK298" s="131"/>
      <c r="GL298" s="15"/>
      <c r="GM298" s="99"/>
      <c r="GN298" s="149"/>
      <c r="GO298" s="134"/>
      <c r="GP298" s="134"/>
      <c r="GQ298" s="137"/>
      <c r="GR298" s="150"/>
      <c r="GS298" s="137"/>
      <c r="GT298" s="137"/>
      <c r="GU298" s="3"/>
      <c r="GV298" s="138"/>
      <c r="GW298" s="2"/>
      <c r="GX298" s="139"/>
      <c r="GY298" s="3"/>
      <c r="GZ298" s="3"/>
      <c r="HA298" s="3"/>
      <c r="HB298" s="3"/>
      <c r="HC298" s="3"/>
      <c r="HD298" s="3"/>
      <c r="HE298" s="3"/>
      <c r="HF298" s="3"/>
      <c r="HG298" s="3"/>
      <c r="HH298" s="3"/>
      <c r="HI298" s="131"/>
      <c r="HJ298" s="15"/>
      <c r="HK298" s="99"/>
      <c r="HL298" s="149"/>
      <c r="HM298" s="134"/>
      <c r="HN298" s="134"/>
      <c r="HO298" s="137"/>
      <c r="HP298" s="150"/>
      <c r="HQ298" s="137"/>
      <c r="HR298" s="137"/>
      <c r="HS298" s="3"/>
      <c r="HT298" s="138"/>
      <c r="HU298" s="2"/>
      <c r="HV298" s="139"/>
      <c r="HW298" s="3"/>
      <c r="HX298" s="3"/>
      <c r="HY298" s="3"/>
      <c r="HZ298" s="3"/>
      <c r="IA298" s="3"/>
      <c r="IB298" s="3"/>
      <c r="IC298" s="3"/>
      <c r="ID298" s="3"/>
      <c r="IE298" s="3"/>
      <c r="IF298" s="3"/>
      <c r="IG298" s="131"/>
      <c r="IH298" s="15"/>
      <c r="II298" s="99"/>
      <c r="IJ298" s="149"/>
      <c r="IK298" s="134"/>
      <c r="IL298" s="134"/>
      <c r="IM298" s="137"/>
      <c r="IN298" s="150"/>
      <c r="IO298" s="137"/>
      <c r="IP298" s="137"/>
      <c r="IQ298" s="3"/>
      <c r="IR298" s="138"/>
      <c r="IS298" s="2"/>
      <c r="IT298" s="139"/>
      <c r="IU298" s="3"/>
      <c r="IV298" s="3"/>
    </row>
    <row r="299" spans="1:256" s="125" customFormat="1">
      <c r="A299" s="16">
        <v>83</v>
      </c>
      <c r="B299" s="29">
        <v>43082</v>
      </c>
      <c r="C299" s="18"/>
      <c r="D299" s="19" t="s">
        <v>406</v>
      </c>
      <c r="E299" s="20" t="s">
        <v>407</v>
      </c>
      <c r="F299" s="62" t="s">
        <v>409</v>
      </c>
      <c r="G299" s="63">
        <v>1708</v>
      </c>
      <c r="H299" s="121">
        <v>2000000</v>
      </c>
      <c r="I299" s="24"/>
      <c r="J299" s="24">
        <f t="shared" si="29"/>
        <v>1904761.9047619046</v>
      </c>
      <c r="K299" s="24">
        <f t="shared" si="26"/>
        <v>1904761.9047619046</v>
      </c>
      <c r="L299" s="123"/>
      <c r="M299" s="24">
        <f t="shared" si="27"/>
        <v>0</v>
      </c>
      <c r="N299" s="124">
        <f t="shared" si="28"/>
        <v>1904761.9047619046</v>
      </c>
      <c r="O299" s="107"/>
      <c r="P299" s="3"/>
      <c r="Q299" s="140"/>
      <c r="R299" s="3"/>
      <c r="S299" s="3"/>
      <c r="T299" s="3"/>
      <c r="U299" s="3"/>
      <c r="V299" s="3"/>
      <c r="W299" s="3"/>
      <c r="X299" s="3"/>
      <c r="Y299" s="131"/>
      <c r="Z299" s="15"/>
      <c r="AA299" s="99"/>
      <c r="AB299" s="149"/>
      <c r="AC299" s="134"/>
      <c r="AD299" s="134"/>
      <c r="AE299" s="137"/>
      <c r="AF299" s="150"/>
      <c r="AG299" s="137"/>
      <c r="AH299" s="137"/>
      <c r="AI299" s="3"/>
      <c r="AJ299" s="138"/>
      <c r="AK299" s="2"/>
      <c r="AL299" s="139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131"/>
      <c r="AX299" s="15"/>
      <c r="AY299" s="99"/>
      <c r="AZ299" s="149"/>
      <c r="BA299" s="134"/>
      <c r="BB299" s="134"/>
      <c r="BC299" s="137"/>
      <c r="BD299" s="150"/>
      <c r="BE299" s="137"/>
      <c r="BF299" s="137"/>
      <c r="BG299" s="3"/>
      <c r="BH299" s="138"/>
      <c r="BI299" s="2"/>
      <c r="BJ299" s="139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131"/>
      <c r="BV299" s="15"/>
      <c r="BW299" s="99"/>
      <c r="BX299" s="149"/>
      <c r="BY299" s="134"/>
      <c r="BZ299" s="134"/>
      <c r="CA299" s="137"/>
      <c r="CB299" s="150"/>
      <c r="CC299" s="137"/>
      <c r="CD299" s="137"/>
      <c r="CE299" s="3"/>
      <c r="CF299" s="138"/>
      <c r="CG299" s="2"/>
      <c r="CH299" s="139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131"/>
      <c r="CT299" s="15"/>
      <c r="CU299" s="99"/>
      <c r="CV299" s="149"/>
      <c r="CW299" s="134"/>
      <c r="CX299" s="134"/>
      <c r="CY299" s="137"/>
      <c r="CZ299" s="150"/>
      <c r="DA299" s="137"/>
      <c r="DB299" s="137"/>
      <c r="DC299" s="3"/>
      <c r="DD299" s="138"/>
      <c r="DE299" s="2"/>
      <c r="DF299" s="139"/>
      <c r="DG299" s="3"/>
      <c r="DH299" s="3"/>
      <c r="DI299" s="3"/>
      <c r="DJ299" s="3"/>
      <c r="DK299" s="3"/>
      <c r="DL299" s="3"/>
      <c r="DM299" s="3"/>
      <c r="DN299" s="3"/>
      <c r="DO299" s="3"/>
      <c r="DP299" s="3"/>
      <c r="DQ299" s="131"/>
      <c r="DR299" s="15"/>
      <c r="DS299" s="99"/>
      <c r="DT299" s="149"/>
      <c r="DU299" s="134"/>
      <c r="DV299" s="134"/>
      <c r="DW299" s="137"/>
      <c r="DX299" s="150"/>
      <c r="DY299" s="137"/>
      <c r="DZ299" s="137"/>
      <c r="EA299" s="3"/>
      <c r="EB299" s="138"/>
      <c r="EC299" s="2"/>
      <c r="ED299" s="139"/>
      <c r="EE299" s="3"/>
      <c r="EF299" s="3"/>
      <c r="EG299" s="3"/>
      <c r="EH299" s="3"/>
      <c r="EI299" s="3"/>
      <c r="EJ299" s="3"/>
      <c r="EK299" s="3"/>
      <c r="EL299" s="3"/>
      <c r="EM299" s="3"/>
      <c r="EN299" s="3"/>
      <c r="EO299" s="131"/>
      <c r="EP299" s="15"/>
      <c r="EQ299" s="99"/>
      <c r="ER299" s="149"/>
      <c r="ES299" s="134"/>
      <c r="ET299" s="134"/>
      <c r="EU299" s="137"/>
      <c r="EV299" s="150"/>
      <c r="EW299" s="137"/>
      <c r="EX299" s="137"/>
      <c r="EY299" s="3"/>
      <c r="EZ299" s="138"/>
      <c r="FA299" s="2"/>
      <c r="FB299" s="139"/>
      <c r="FC299" s="3"/>
      <c r="FD299" s="3"/>
      <c r="FE299" s="3"/>
      <c r="FF299" s="3"/>
      <c r="FG299" s="3"/>
      <c r="FH299" s="3"/>
      <c r="FI299" s="3"/>
      <c r="FJ299" s="3"/>
      <c r="FK299" s="3"/>
      <c r="FL299" s="3"/>
      <c r="FM299" s="131"/>
      <c r="FN299" s="15"/>
      <c r="FO299" s="99"/>
      <c r="FP299" s="149"/>
      <c r="FQ299" s="134"/>
      <c r="FR299" s="134"/>
      <c r="FS299" s="137"/>
      <c r="FT299" s="150"/>
      <c r="FU299" s="137"/>
      <c r="FV299" s="137"/>
      <c r="FW299" s="3"/>
      <c r="FX299" s="138"/>
      <c r="FY299" s="2"/>
      <c r="FZ299" s="139"/>
      <c r="GA299" s="3"/>
      <c r="GB299" s="3"/>
      <c r="GC299" s="3"/>
      <c r="GD299" s="3"/>
      <c r="GE299" s="3"/>
      <c r="GF299" s="3"/>
      <c r="GG299" s="3"/>
      <c r="GH299" s="3"/>
      <c r="GI299" s="3"/>
      <c r="GJ299" s="3"/>
      <c r="GK299" s="131"/>
      <c r="GL299" s="15"/>
      <c r="GM299" s="99"/>
      <c r="GN299" s="149"/>
      <c r="GO299" s="134"/>
      <c r="GP299" s="134"/>
      <c r="GQ299" s="137"/>
      <c r="GR299" s="150"/>
      <c r="GS299" s="137"/>
      <c r="GT299" s="137"/>
      <c r="GU299" s="3"/>
      <c r="GV299" s="138"/>
      <c r="GW299" s="2"/>
      <c r="GX299" s="139"/>
      <c r="GY299" s="3"/>
      <c r="GZ299" s="3"/>
      <c r="HA299" s="3"/>
      <c r="HB299" s="3"/>
      <c r="HC299" s="3"/>
      <c r="HD299" s="3"/>
      <c r="HE299" s="3"/>
      <c r="HF299" s="3"/>
      <c r="HG299" s="3"/>
      <c r="HH299" s="3"/>
      <c r="HI299" s="131"/>
      <c r="HJ299" s="15"/>
      <c r="HK299" s="99"/>
      <c r="HL299" s="149"/>
      <c r="HM299" s="134"/>
      <c r="HN299" s="134"/>
      <c r="HO299" s="137"/>
      <c r="HP299" s="150"/>
      <c r="HQ299" s="137"/>
      <c r="HR299" s="137"/>
      <c r="HS299" s="3"/>
      <c r="HT299" s="138"/>
      <c r="HU299" s="2"/>
      <c r="HV299" s="139"/>
      <c r="HW299" s="3"/>
      <c r="HX299" s="3"/>
      <c r="HY299" s="3"/>
      <c r="HZ299" s="3"/>
      <c r="IA299" s="3"/>
      <c r="IB299" s="3"/>
      <c r="IC299" s="3"/>
      <c r="ID299" s="3"/>
      <c r="IE299" s="3"/>
      <c r="IF299" s="3"/>
      <c r="IG299" s="131"/>
      <c r="IH299" s="15"/>
      <c r="II299" s="99"/>
      <c r="IJ299" s="149"/>
      <c r="IK299" s="134"/>
      <c r="IL299" s="134"/>
      <c r="IM299" s="137"/>
      <c r="IN299" s="150"/>
      <c r="IO299" s="137"/>
      <c r="IP299" s="137"/>
      <c r="IQ299" s="3"/>
      <c r="IR299" s="138"/>
      <c r="IS299" s="2"/>
      <c r="IT299" s="139"/>
      <c r="IU299" s="3"/>
      <c r="IV299" s="3"/>
    </row>
    <row r="300" spans="1:256" s="125" customFormat="1">
      <c r="A300" s="16">
        <v>84</v>
      </c>
      <c r="B300" s="17">
        <v>43088</v>
      </c>
      <c r="C300" s="18"/>
      <c r="D300" s="19" t="s">
        <v>406</v>
      </c>
      <c r="E300" s="20" t="s">
        <v>407</v>
      </c>
      <c r="F300" s="82" t="s">
        <v>410</v>
      </c>
      <c r="G300" s="58">
        <v>1709</v>
      </c>
      <c r="H300" s="121">
        <v>2000000</v>
      </c>
      <c r="I300" s="24"/>
      <c r="J300" s="24">
        <f t="shared" si="29"/>
        <v>1904761.9047619046</v>
      </c>
      <c r="K300" s="24">
        <f t="shared" si="26"/>
        <v>1904761.9047619046</v>
      </c>
      <c r="L300" s="123"/>
      <c r="M300" s="24">
        <f t="shared" si="27"/>
        <v>0</v>
      </c>
      <c r="N300" s="124">
        <f t="shared" si="28"/>
        <v>1904761.9047619046</v>
      </c>
      <c r="O300" s="87"/>
      <c r="P300" s="3"/>
      <c r="Q300" s="140"/>
      <c r="R300" s="3"/>
      <c r="S300" s="3"/>
      <c r="T300" s="3"/>
      <c r="U300" s="3"/>
      <c r="V300" s="3"/>
      <c r="W300" s="3"/>
      <c r="X300" s="3"/>
      <c r="Y300" s="131"/>
      <c r="Z300" s="15"/>
      <c r="AA300" s="99"/>
      <c r="AB300" s="149"/>
      <c r="AC300" s="134"/>
      <c r="AD300" s="134"/>
      <c r="AE300" s="137"/>
      <c r="AF300" s="150"/>
      <c r="AG300" s="137"/>
      <c r="AH300" s="137"/>
      <c r="AI300" s="3"/>
      <c r="AJ300" s="138"/>
      <c r="AK300" s="2"/>
      <c r="AL300" s="139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131"/>
      <c r="AX300" s="15"/>
      <c r="AY300" s="99"/>
      <c r="AZ300" s="149"/>
      <c r="BA300" s="134"/>
      <c r="BB300" s="134"/>
      <c r="BC300" s="137"/>
      <c r="BD300" s="150"/>
      <c r="BE300" s="137"/>
      <c r="BF300" s="137"/>
      <c r="BG300" s="3"/>
      <c r="BH300" s="138"/>
      <c r="BI300" s="2"/>
      <c r="BJ300" s="139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131"/>
      <c r="BV300" s="15"/>
      <c r="BW300" s="99"/>
      <c r="BX300" s="149"/>
      <c r="BY300" s="134"/>
      <c r="BZ300" s="134"/>
      <c r="CA300" s="137"/>
      <c r="CB300" s="150"/>
      <c r="CC300" s="137"/>
      <c r="CD300" s="137"/>
      <c r="CE300" s="3"/>
      <c r="CF300" s="138"/>
      <c r="CG300" s="2"/>
      <c r="CH300" s="139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131"/>
      <c r="CT300" s="15"/>
      <c r="CU300" s="99"/>
      <c r="CV300" s="149"/>
      <c r="CW300" s="134"/>
      <c r="CX300" s="134"/>
      <c r="CY300" s="137"/>
      <c r="CZ300" s="150"/>
      <c r="DA300" s="137"/>
      <c r="DB300" s="137"/>
      <c r="DC300" s="3"/>
      <c r="DD300" s="138"/>
      <c r="DE300" s="2"/>
      <c r="DF300" s="139"/>
      <c r="DG300" s="3"/>
      <c r="DH300" s="3"/>
      <c r="DI300" s="3"/>
      <c r="DJ300" s="3"/>
      <c r="DK300" s="3"/>
      <c r="DL300" s="3"/>
      <c r="DM300" s="3"/>
      <c r="DN300" s="3"/>
      <c r="DO300" s="3"/>
      <c r="DP300" s="3"/>
      <c r="DQ300" s="131"/>
      <c r="DR300" s="15"/>
      <c r="DS300" s="99"/>
      <c r="DT300" s="149"/>
      <c r="DU300" s="134"/>
      <c r="DV300" s="134"/>
      <c r="DW300" s="137"/>
      <c r="DX300" s="150"/>
      <c r="DY300" s="137"/>
      <c r="DZ300" s="137"/>
      <c r="EA300" s="3"/>
      <c r="EB300" s="138"/>
      <c r="EC300" s="2"/>
      <c r="ED300" s="139"/>
      <c r="EE300" s="3"/>
      <c r="EF300" s="3"/>
      <c r="EG300" s="3"/>
      <c r="EH300" s="3"/>
      <c r="EI300" s="3"/>
      <c r="EJ300" s="3"/>
      <c r="EK300" s="3"/>
      <c r="EL300" s="3"/>
      <c r="EM300" s="3"/>
      <c r="EN300" s="3"/>
      <c r="EO300" s="131"/>
      <c r="EP300" s="15"/>
      <c r="EQ300" s="99"/>
      <c r="ER300" s="149"/>
      <c r="ES300" s="134"/>
      <c r="ET300" s="134"/>
      <c r="EU300" s="137"/>
      <c r="EV300" s="150"/>
      <c r="EW300" s="137"/>
      <c r="EX300" s="137"/>
      <c r="EY300" s="3"/>
      <c r="EZ300" s="138"/>
      <c r="FA300" s="2"/>
      <c r="FB300" s="139"/>
      <c r="FC300" s="3"/>
      <c r="FD300" s="3"/>
      <c r="FE300" s="3"/>
      <c r="FF300" s="3"/>
      <c r="FG300" s="3"/>
      <c r="FH300" s="3"/>
      <c r="FI300" s="3"/>
      <c r="FJ300" s="3"/>
      <c r="FK300" s="3"/>
      <c r="FL300" s="3"/>
      <c r="FM300" s="131"/>
      <c r="FN300" s="15"/>
      <c r="FO300" s="99"/>
      <c r="FP300" s="149"/>
      <c r="FQ300" s="134"/>
      <c r="FR300" s="134"/>
      <c r="FS300" s="137"/>
      <c r="FT300" s="150"/>
      <c r="FU300" s="137"/>
      <c r="FV300" s="137"/>
      <c r="FW300" s="3"/>
      <c r="FX300" s="138"/>
      <c r="FY300" s="2"/>
      <c r="FZ300" s="139"/>
      <c r="GA300" s="3"/>
      <c r="GB300" s="3"/>
      <c r="GC300" s="3"/>
      <c r="GD300" s="3"/>
      <c r="GE300" s="3"/>
      <c r="GF300" s="3"/>
      <c r="GG300" s="3"/>
      <c r="GH300" s="3"/>
      <c r="GI300" s="3"/>
      <c r="GJ300" s="3"/>
      <c r="GK300" s="131"/>
      <c r="GL300" s="15"/>
      <c r="GM300" s="99"/>
      <c r="GN300" s="149"/>
      <c r="GO300" s="134"/>
      <c r="GP300" s="134"/>
      <c r="GQ300" s="137"/>
      <c r="GR300" s="150"/>
      <c r="GS300" s="137"/>
      <c r="GT300" s="137"/>
      <c r="GU300" s="3"/>
      <c r="GV300" s="138"/>
      <c r="GW300" s="2"/>
      <c r="GX300" s="139"/>
      <c r="GY300" s="3"/>
      <c r="GZ300" s="3"/>
      <c r="HA300" s="3"/>
      <c r="HB300" s="3"/>
      <c r="HC300" s="3"/>
      <c r="HD300" s="3"/>
      <c r="HE300" s="3"/>
      <c r="HF300" s="3"/>
      <c r="HG300" s="3"/>
      <c r="HH300" s="3"/>
      <c r="HI300" s="131"/>
      <c r="HJ300" s="15"/>
      <c r="HK300" s="99"/>
      <c r="HL300" s="149"/>
      <c r="HM300" s="134"/>
      <c r="HN300" s="134"/>
      <c r="HO300" s="137"/>
      <c r="HP300" s="150"/>
      <c r="HQ300" s="137"/>
      <c r="HR300" s="137"/>
      <c r="HS300" s="3"/>
      <c r="HT300" s="138"/>
      <c r="HU300" s="2"/>
      <c r="HV300" s="139"/>
      <c r="HW300" s="3"/>
      <c r="HX300" s="3"/>
      <c r="HY300" s="3"/>
      <c r="HZ300" s="3"/>
      <c r="IA300" s="3"/>
      <c r="IB300" s="3"/>
      <c r="IC300" s="3"/>
      <c r="ID300" s="3"/>
      <c r="IE300" s="3"/>
      <c r="IF300" s="3"/>
      <c r="IG300" s="131"/>
      <c r="IH300" s="15"/>
      <c r="II300" s="99"/>
      <c r="IJ300" s="149"/>
      <c r="IK300" s="134"/>
      <c r="IL300" s="134"/>
      <c r="IM300" s="137"/>
      <c r="IN300" s="150"/>
      <c r="IO300" s="137"/>
      <c r="IP300" s="137"/>
      <c r="IQ300" s="3"/>
      <c r="IR300" s="138"/>
      <c r="IS300" s="2"/>
      <c r="IT300" s="139"/>
      <c r="IU300" s="3"/>
      <c r="IV300" s="3"/>
    </row>
    <row r="301" spans="1:256" s="125" customFormat="1">
      <c r="A301" s="16">
        <v>85</v>
      </c>
      <c r="B301" s="29">
        <v>43087</v>
      </c>
      <c r="C301" s="18"/>
      <c r="D301" s="198" t="s">
        <v>406</v>
      </c>
      <c r="E301" s="20" t="s">
        <v>407</v>
      </c>
      <c r="F301" s="62" t="s">
        <v>411</v>
      </c>
      <c r="G301" s="63">
        <v>1709</v>
      </c>
      <c r="H301" s="121">
        <v>2000000</v>
      </c>
      <c r="I301" s="24"/>
      <c r="J301" s="24">
        <f t="shared" si="29"/>
        <v>1904761.9047619046</v>
      </c>
      <c r="K301" s="24">
        <f t="shared" si="26"/>
        <v>1904761.9047619046</v>
      </c>
      <c r="L301" s="123"/>
      <c r="M301" s="24">
        <f t="shared" si="27"/>
        <v>0</v>
      </c>
      <c r="N301" s="124">
        <f t="shared" si="28"/>
        <v>1904761.9047619046</v>
      </c>
      <c r="O301" s="85"/>
      <c r="P301" s="3"/>
      <c r="Q301" s="140"/>
      <c r="R301" s="3"/>
      <c r="S301" s="3"/>
      <c r="T301" s="3"/>
      <c r="U301" s="3"/>
      <c r="V301" s="3"/>
      <c r="W301" s="3"/>
      <c r="X301" s="3"/>
      <c r="Y301" s="131"/>
      <c r="Z301" s="15"/>
      <c r="AA301" s="99"/>
      <c r="AB301" s="149"/>
      <c r="AC301" s="134"/>
      <c r="AD301" s="134"/>
      <c r="AE301" s="137"/>
      <c r="AF301" s="150"/>
      <c r="AG301" s="137"/>
      <c r="AH301" s="137"/>
      <c r="AI301" s="3"/>
      <c r="AJ301" s="138"/>
      <c r="AK301" s="2"/>
      <c r="AL301" s="139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131"/>
      <c r="AX301" s="15"/>
      <c r="AY301" s="99"/>
      <c r="AZ301" s="149"/>
      <c r="BA301" s="134"/>
      <c r="BB301" s="134"/>
      <c r="BC301" s="137"/>
      <c r="BD301" s="150"/>
      <c r="BE301" s="137"/>
      <c r="BF301" s="137"/>
      <c r="BG301" s="3"/>
      <c r="BH301" s="138"/>
      <c r="BI301" s="2"/>
      <c r="BJ301" s="139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131"/>
      <c r="BV301" s="15"/>
      <c r="BW301" s="99"/>
      <c r="BX301" s="149"/>
      <c r="BY301" s="134"/>
      <c r="BZ301" s="134"/>
      <c r="CA301" s="137"/>
      <c r="CB301" s="150"/>
      <c r="CC301" s="137"/>
      <c r="CD301" s="137"/>
      <c r="CE301" s="3"/>
      <c r="CF301" s="138"/>
      <c r="CG301" s="2"/>
      <c r="CH301" s="139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131"/>
      <c r="CT301" s="15"/>
      <c r="CU301" s="99"/>
      <c r="CV301" s="149"/>
      <c r="CW301" s="134"/>
      <c r="CX301" s="134"/>
      <c r="CY301" s="137"/>
      <c r="CZ301" s="150"/>
      <c r="DA301" s="137"/>
      <c r="DB301" s="137"/>
      <c r="DC301" s="3"/>
      <c r="DD301" s="138"/>
      <c r="DE301" s="2"/>
      <c r="DF301" s="139"/>
      <c r="DG301" s="3"/>
      <c r="DH301" s="3"/>
      <c r="DI301" s="3"/>
      <c r="DJ301" s="3"/>
      <c r="DK301" s="3"/>
      <c r="DL301" s="3"/>
      <c r="DM301" s="3"/>
      <c r="DN301" s="3"/>
      <c r="DO301" s="3"/>
      <c r="DP301" s="3"/>
      <c r="DQ301" s="131"/>
      <c r="DR301" s="15"/>
      <c r="DS301" s="99"/>
      <c r="DT301" s="149"/>
      <c r="DU301" s="134"/>
      <c r="DV301" s="134"/>
      <c r="DW301" s="137"/>
      <c r="DX301" s="150"/>
      <c r="DY301" s="137"/>
      <c r="DZ301" s="137"/>
      <c r="EA301" s="3"/>
      <c r="EB301" s="138"/>
      <c r="EC301" s="2"/>
      <c r="ED301" s="139"/>
      <c r="EE301" s="3"/>
      <c r="EF301" s="3"/>
      <c r="EG301" s="3"/>
      <c r="EH301" s="3"/>
      <c r="EI301" s="3"/>
      <c r="EJ301" s="3"/>
      <c r="EK301" s="3"/>
      <c r="EL301" s="3"/>
      <c r="EM301" s="3"/>
      <c r="EN301" s="3"/>
      <c r="EO301" s="131"/>
      <c r="EP301" s="15"/>
      <c r="EQ301" s="99"/>
      <c r="ER301" s="149"/>
      <c r="ES301" s="134"/>
      <c r="ET301" s="134"/>
      <c r="EU301" s="137"/>
      <c r="EV301" s="150"/>
      <c r="EW301" s="137"/>
      <c r="EX301" s="137"/>
      <c r="EY301" s="3"/>
      <c r="EZ301" s="138"/>
      <c r="FA301" s="2"/>
      <c r="FB301" s="139"/>
      <c r="FC301" s="3"/>
      <c r="FD301" s="3"/>
      <c r="FE301" s="3"/>
      <c r="FF301" s="3"/>
      <c r="FG301" s="3"/>
      <c r="FH301" s="3"/>
      <c r="FI301" s="3"/>
      <c r="FJ301" s="3"/>
      <c r="FK301" s="3"/>
      <c r="FL301" s="3"/>
      <c r="FM301" s="131"/>
      <c r="FN301" s="15"/>
      <c r="FO301" s="99"/>
      <c r="FP301" s="149"/>
      <c r="FQ301" s="134"/>
      <c r="FR301" s="134"/>
      <c r="FS301" s="137"/>
      <c r="FT301" s="150"/>
      <c r="FU301" s="137"/>
      <c r="FV301" s="137"/>
      <c r="FW301" s="3"/>
      <c r="FX301" s="138"/>
      <c r="FY301" s="2"/>
      <c r="FZ301" s="139"/>
      <c r="GA301" s="3"/>
      <c r="GB301" s="3"/>
      <c r="GC301" s="3"/>
      <c r="GD301" s="3"/>
      <c r="GE301" s="3"/>
      <c r="GF301" s="3"/>
      <c r="GG301" s="3"/>
      <c r="GH301" s="3"/>
      <c r="GI301" s="3"/>
      <c r="GJ301" s="3"/>
      <c r="GK301" s="131"/>
      <c r="GL301" s="15"/>
      <c r="GM301" s="99"/>
      <c r="GN301" s="149"/>
      <c r="GO301" s="134"/>
      <c r="GP301" s="134"/>
      <c r="GQ301" s="137"/>
      <c r="GR301" s="150"/>
      <c r="GS301" s="137"/>
      <c r="GT301" s="137"/>
      <c r="GU301" s="3"/>
      <c r="GV301" s="138"/>
      <c r="GW301" s="2"/>
      <c r="GX301" s="139"/>
      <c r="GY301" s="3"/>
      <c r="GZ301" s="3"/>
      <c r="HA301" s="3"/>
      <c r="HB301" s="3"/>
      <c r="HC301" s="3"/>
      <c r="HD301" s="3"/>
      <c r="HE301" s="3"/>
      <c r="HF301" s="3"/>
      <c r="HG301" s="3"/>
      <c r="HH301" s="3"/>
      <c r="HI301" s="131"/>
      <c r="HJ301" s="15"/>
      <c r="HK301" s="99"/>
      <c r="HL301" s="149"/>
      <c r="HM301" s="134"/>
      <c r="HN301" s="134"/>
      <c r="HO301" s="137"/>
      <c r="HP301" s="150"/>
      <c r="HQ301" s="137"/>
      <c r="HR301" s="137"/>
      <c r="HS301" s="3"/>
      <c r="HT301" s="138"/>
      <c r="HU301" s="2"/>
      <c r="HV301" s="139"/>
      <c r="HW301" s="3"/>
      <c r="HX301" s="3"/>
      <c r="HY301" s="3"/>
      <c r="HZ301" s="3"/>
      <c r="IA301" s="3"/>
      <c r="IB301" s="3"/>
      <c r="IC301" s="3"/>
      <c r="ID301" s="3"/>
      <c r="IE301" s="3"/>
      <c r="IF301" s="3"/>
      <c r="IG301" s="131"/>
      <c r="IH301" s="15"/>
      <c r="II301" s="99"/>
      <c r="IJ301" s="149"/>
      <c r="IK301" s="134"/>
      <c r="IL301" s="134"/>
      <c r="IM301" s="137"/>
      <c r="IN301" s="150"/>
      <c r="IO301" s="137"/>
      <c r="IP301" s="137"/>
      <c r="IQ301" s="3"/>
      <c r="IR301" s="138"/>
      <c r="IS301" s="2"/>
      <c r="IT301" s="139"/>
      <c r="IU301" s="3"/>
      <c r="IV301" s="3"/>
    </row>
    <row r="302" spans="1:256" s="125" customFormat="1">
      <c r="A302" s="16">
        <v>86</v>
      </c>
      <c r="B302" s="17">
        <v>43069</v>
      </c>
      <c r="C302" s="18"/>
      <c r="D302" s="19" t="s">
        <v>412</v>
      </c>
      <c r="E302" s="20" t="s">
        <v>413</v>
      </c>
      <c r="F302" s="168" t="s">
        <v>414</v>
      </c>
      <c r="G302" s="63">
        <v>1707</v>
      </c>
      <c r="H302" s="121">
        <f>2071000-30000</f>
        <v>2041000</v>
      </c>
      <c r="I302" s="24">
        <v>1943810</v>
      </c>
      <c r="J302" s="24"/>
      <c r="K302" s="24">
        <f t="shared" si="26"/>
        <v>1943810</v>
      </c>
      <c r="L302" s="123"/>
      <c r="M302" s="24">
        <f t="shared" si="27"/>
        <v>0</v>
      </c>
      <c r="N302" s="124">
        <f t="shared" si="28"/>
        <v>1943810</v>
      </c>
      <c r="O302" s="87"/>
      <c r="P302" s="3"/>
      <c r="Q302" s="140"/>
      <c r="R302" s="3"/>
      <c r="S302" s="3"/>
      <c r="T302" s="3"/>
      <c r="U302" s="3"/>
      <c r="V302" s="3"/>
      <c r="W302" s="3"/>
      <c r="X302" s="3"/>
      <c r="Y302" s="131"/>
      <c r="Z302" s="15"/>
      <c r="AA302" s="99"/>
      <c r="AB302" s="149"/>
      <c r="AC302" s="134"/>
      <c r="AD302" s="134"/>
      <c r="AE302" s="137"/>
      <c r="AF302" s="150"/>
      <c r="AG302" s="137"/>
      <c r="AH302" s="137"/>
      <c r="AI302" s="3"/>
      <c r="AJ302" s="138"/>
      <c r="AK302" s="2"/>
      <c r="AL302" s="139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131"/>
      <c r="AX302" s="15"/>
      <c r="AY302" s="99"/>
      <c r="AZ302" s="149"/>
      <c r="BA302" s="134"/>
      <c r="BB302" s="134"/>
      <c r="BC302" s="137"/>
      <c r="BD302" s="150"/>
      <c r="BE302" s="137"/>
      <c r="BF302" s="137"/>
      <c r="BG302" s="3"/>
      <c r="BH302" s="138"/>
      <c r="BI302" s="2"/>
      <c r="BJ302" s="139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131"/>
      <c r="BV302" s="15"/>
      <c r="BW302" s="99"/>
      <c r="BX302" s="149"/>
      <c r="BY302" s="134"/>
      <c r="BZ302" s="134"/>
      <c r="CA302" s="137"/>
      <c r="CB302" s="150"/>
      <c r="CC302" s="137"/>
      <c r="CD302" s="137"/>
      <c r="CE302" s="3"/>
      <c r="CF302" s="138"/>
      <c r="CG302" s="2"/>
      <c r="CH302" s="139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131"/>
      <c r="CT302" s="15"/>
      <c r="CU302" s="99"/>
      <c r="CV302" s="149"/>
      <c r="CW302" s="134"/>
      <c r="CX302" s="134"/>
      <c r="CY302" s="137"/>
      <c r="CZ302" s="150"/>
      <c r="DA302" s="137"/>
      <c r="DB302" s="137"/>
      <c r="DC302" s="3"/>
      <c r="DD302" s="138"/>
      <c r="DE302" s="2"/>
      <c r="DF302" s="139"/>
      <c r="DG302" s="3"/>
      <c r="DH302" s="3"/>
      <c r="DI302" s="3"/>
      <c r="DJ302" s="3"/>
      <c r="DK302" s="3"/>
      <c r="DL302" s="3"/>
      <c r="DM302" s="3"/>
      <c r="DN302" s="3"/>
      <c r="DO302" s="3"/>
      <c r="DP302" s="3"/>
      <c r="DQ302" s="131"/>
      <c r="DR302" s="15"/>
      <c r="DS302" s="99"/>
      <c r="DT302" s="149"/>
      <c r="DU302" s="134"/>
      <c r="DV302" s="134"/>
      <c r="DW302" s="137"/>
      <c r="DX302" s="150"/>
      <c r="DY302" s="137"/>
      <c r="DZ302" s="137"/>
      <c r="EA302" s="3"/>
      <c r="EB302" s="138"/>
      <c r="EC302" s="2"/>
      <c r="ED302" s="139"/>
      <c r="EE302" s="3"/>
      <c r="EF302" s="3"/>
      <c r="EG302" s="3"/>
      <c r="EH302" s="3"/>
      <c r="EI302" s="3"/>
      <c r="EJ302" s="3"/>
      <c r="EK302" s="3"/>
      <c r="EL302" s="3"/>
      <c r="EM302" s="3"/>
      <c r="EN302" s="3"/>
      <c r="EO302" s="131"/>
      <c r="EP302" s="15"/>
      <c r="EQ302" s="99"/>
      <c r="ER302" s="149"/>
      <c r="ES302" s="134"/>
      <c r="ET302" s="134"/>
      <c r="EU302" s="137"/>
      <c r="EV302" s="150"/>
      <c r="EW302" s="137"/>
      <c r="EX302" s="137"/>
      <c r="EY302" s="3"/>
      <c r="EZ302" s="138"/>
      <c r="FA302" s="2"/>
      <c r="FB302" s="139"/>
      <c r="FC302" s="3"/>
      <c r="FD302" s="3"/>
      <c r="FE302" s="3"/>
      <c r="FF302" s="3"/>
      <c r="FG302" s="3"/>
      <c r="FH302" s="3"/>
      <c r="FI302" s="3"/>
      <c r="FJ302" s="3"/>
      <c r="FK302" s="3"/>
      <c r="FL302" s="3"/>
      <c r="FM302" s="131"/>
      <c r="FN302" s="15"/>
      <c r="FO302" s="99"/>
      <c r="FP302" s="149"/>
      <c r="FQ302" s="134"/>
      <c r="FR302" s="134"/>
      <c r="FS302" s="137"/>
      <c r="FT302" s="150"/>
      <c r="FU302" s="137"/>
      <c r="FV302" s="137"/>
      <c r="FW302" s="3"/>
      <c r="FX302" s="138"/>
      <c r="FY302" s="2"/>
      <c r="FZ302" s="139"/>
      <c r="GA302" s="3"/>
      <c r="GB302" s="3"/>
      <c r="GC302" s="3"/>
      <c r="GD302" s="3"/>
      <c r="GE302" s="3"/>
      <c r="GF302" s="3"/>
      <c r="GG302" s="3"/>
      <c r="GH302" s="3"/>
      <c r="GI302" s="3"/>
      <c r="GJ302" s="3"/>
      <c r="GK302" s="131"/>
      <c r="GL302" s="15"/>
      <c r="GM302" s="99"/>
      <c r="GN302" s="149"/>
      <c r="GO302" s="134"/>
      <c r="GP302" s="134"/>
      <c r="GQ302" s="137"/>
      <c r="GR302" s="150"/>
      <c r="GS302" s="137"/>
      <c r="GT302" s="137"/>
      <c r="GU302" s="3"/>
      <c r="GV302" s="138"/>
      <c r="GW302" s="2"/>
      <c r="GX302" s="139"/>
      <c r="GY302" s="3"/>
      <c r="GZ302" s="3"/>
      <c r="HA302" s="3"/>
      <c r="HB302" s="3"/>
      <c r="HC302" s="3"/>
      <c r="HD302" s="3"/>
      <c r="HE302" s="3"/>
      <c r="HF302" s="3"/>
      <c r="HG302" s="3"/>
      <c r="HH302" s="3"/>
      <c r="HI302" s="131"/>
      <c r="HJ302" s="15"/>
      <c r="HK302" s="99"/>
      <c r="HL302" s="149"/>
      <c r="HM302" s="134"/>
      <c r="HN302" s="134"/>
      <c r="HO302" s="137"/>
      <c r="HP302" s="150"/>
      <c r="HQ302" s="137"/>
      <c r="HR302" s="137"/>
      <c r="HS302" s="3"/>
      <c r="HT302" s="138"/>
      <c r="HU302" s="2"/>
      <c r="HV302" s="139"/>
      <c r="HW302" s="3"/>
      <c r="HX302" s="3"/>
      <c r="HY302" s="3"/>
      <c r="HZ302" s="3"/>
      <c r="IA302" s="3"/>
      <c r="IB302" s="3"/>
      <c r="IC302" s="3"/>
      <c r="ID302" s="3"/>
      <c r="IE302" s="3"/>
      <c r="IF302" s="3"/>
      <c r="IG302" s="131"/>
      <c r="IH302" s="15"/>
      <c r="II302" s="99"/>
      <c r="IJ302" s="149"/>
      <c r="IK302" s="134"/>
      <c r="IL302" s="134"/>
      <c r="IM302" s="137"/>
      <c r="IN302" s="150"/>
      <c r="IO302" s="137"/>
      <c r="IP302" s="137"/>
      <c r="IQ302" s="3"/>
      <c r="IR302" s="138"/>
      <c r="IS302" s="2"/>
      <c r="IT302" s="139"/>
      <c r="IU302" s="3"/>
      <c r="IV302" s="3"/>
    </row>
    <row r="303" spans="1:256" s="125" customFormat="1">
      <c r="A303" s="16">
        <v>87</v>
      </c>
      <c r="B303" s="29">
        <v>43082</v>
      </c>
      <c r="C303" s="18"/>
      <c r="D303" s="19" t="s">
        <v>412</v>
      </c>
      <c r="E303" s="20" t="s">
        <v>413</v>
      </c>
      <c r="F303" s="62" t="s">
        <v>415</v>
      </c>
      <c r="G303" s="63">
        <v>1707</v>
      </c>
      <c r="H303" s="121">
        <f>2010000-30000</f>
        <v>1980000</v>
      </c>
      <c r="I303" s="24"/>
      <c r="J303" s="24">
        <f>SUM(H303)/1.05</f>
        <v>1885714.2857142857</v>
      </c>
      <c r="K303" s="24">
        <f t="shared" si="26"/>
        <v>1885714.2857142857</v>
      </c>
      <c r="L303" s="123"/>
      <c r="M303" s="24">
        <f t="shared" si="27"/>
        <v>0</v>
      </c>
      <c r="N303" s="124">
        <f t="shared" si="28"/>
        <v>1885714.2857142857</v>
      </c>
      <c r="O303" s="107"/>
      <c r="P303" s="3"/>
      <c r="Q303" s="140"/>
      <c r="R303" s="3"/>
      <c r="S303" s="3"/>
      <c r="T303" s="3"/>
      <c r="U303" s="3"/>
      <c r="V303" s="3"/>
      <c r="W303" s="3"/>
      <c r="X303" s="3"/>
      <c r="Y303" s="131"/>
      <c r="Z303" s="15"/>
      <c r="AA303" s="99"/>
      <c r="AB303" s="149"/>
      <c r="AC303" s="134"/>
      <c r="AD303" s="134"/>
      <c r="AE303" s="137"/>
      <c r="AF303" s="150"/>
      <c r="AG303" s="137"/>
      <c r="AH303" s="137"/>
      <c r="AI303" s="3"/>
      <c r="AJ303" s="138"/>
      <c r="AK303" s="2"/>
      <c r="AL303" s="139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131"/>
      <c r="AX303" s="15"/>
      <c r="AY303" s="99"/>
      <c r="AZ303" s="149"/>
      <c r="BA303" s="134"/>
      <c r="BB303" s="134"/>
      <c r="BC303" s="137"/>
      <c r="BD303" s="150"/>
      <c r="BE303" s="137"/>
      <c r="BF303" s="137"/>
      <c r="BG303" s="3"/>
      <c r="BH303" s="138"/>
      <c r="BI303" s="2"/>
      <c r="BJ303" s="139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131"/>
      <c r="BV303" s="15"/>
      <c r="BW303" s="99"/>
      <c r="BX303" s="149"/>
      <c r="BY303" s="134"/>
      <c r="BZ303" s="134"/>
      <c r="CA303" s="137"/>
      <c r="CB303" s="150"/>
      <c r="CC303" s="137"/>
      <c r="CD303" s="137"/>
      <c r="CE303" s="3"/>
      <c r="CF303" s="138"/>
      <c r="CG303" s="2"/>
      <c r="CH303" s="139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131"/>
      <c r="CT303" s="15"/>
      <c r="CU303" s="99"/>
      <c r="CV303" s="149"/>
      <c r="CW303" s="134"/>
      <c r="CX303" s="134"/>
      <c r="CY303" s="137"/>
      <c r="CZ303" s="150"/>
      <c r="DA303" s="137"/>
      <c r="DB303" s="137"/>
      <c r="DC303" s="3"/>
      <c r="DD303" s="138"/>
      <c r="DE303" s="2"/>
      <c r="DF303" s="139"/>
      <c r="DG303" s="3"/>
      <c r="DH303" s="3"/>
      <c r="DI303" s="3"/>
      <c r="DJ303" s="3"/>
      <c r="DK303" s="3"/>
      <c r="DL303" s="3"/>
      <c r="DM303" s="3"/>
      <c r="DN303" s="3"/>
      <c r="DO303" s="3"/>
      <c r="DP303" s="3"/>
      <c r="DQ303" s="131"/>
      <c r="DR303" s="15"/>
      <c r="DS303" s="99"/>
      <c r="DT303" s="149"/>
      <c r="DU303" s="134"/>
      <c r="DV303" s="134"/>
      <c r="DW303" s="137"/>
      <c r="DX303" s="150"/>
      <c r="DY303" s="137"/>
      <c r="DZ303" s="137"/>
      <c r="EA303" s="3"/>
      <c r="EB303" s="138"/>
      <c r="EC303" s="2"/>
      <c r="ED303" s="139"/>
      <c r="EE303" s="3"/>
      <c r="EF303" s="3"/>
      <c r="EG303" s="3"/>
      <c r="EH303" s="3"/>
      <c r="EI303" s="3"/>
      <c r="EJ303" s="3"/>
      <c r="EK303" s="3"/>
      <c r="EL303" s="3"/>
      <c r="EM303" s="3"/>
      <c r="EN303" s="3"/>
      <c r="EO303" s="131"/>
      <c r="EP303" s="15"/>
      <c r="EQ303" s="99"/>
      <c r="ER303" s="149"/>
      <c r="ES303" s="134"/>
      <c r="ET303" s="134"/>
      <c r="EU303" s="137"/>
      <c r="EV303" s="150"/>
      <c r="EW303" s="137"/>
      <c r="EX303" s="137"/>
      <c r="EY303" s="3"/>
      <c r="EZ303" s="138"/>
      <c r="FA303" s="2"/>
      <c r="FB303" s="139"/>
      <c r="FC303" s="3"/>
      <c r="FD303" s="3"/>
      <c r="FE303" s="3"/>
      <c r="FF303" s="3"/>
      <c r="FG303" s="3"/>
      <c r="FH303" s="3"/>
      <c r="FI303" s="3"/>
      <c r="FJ303" s="3"/>
      <c r="FK303" s="3"/>
      <c r="FL303" s="3"/>
      <c r="FM303" s="131"/>
      <c r="FN303" s="15"/>
      <c r="FO303" s="99"/>
      <c r="FP303" s="149"/>
      <c r="FQ303" s="134"/>
      <c r="FR303" s="134"/>
      <c r="FS303" s="137"/>
      <c r="FT303" s="150"/>
      <c r="FU303" s="137"/>
      <c r="FV303" s="137"/>
      <c r="FW303" s="3"/>
      <c r="FX303" s="138"/>
      <c r="FY303" s="2"/>
      <c r="FZ303" s="139"/>
      <c r="GA303" s="3"/>
      <c r="GB303" s="3"/>
      <c r="GC303" s="3"/>
      <c r="GD303" s="3"/>
      <c r="GE303" s="3"/>
      <c r="GF303" s="3"/>
      <c r="GG303" s="3"/>
      <c r="GH303" s="3"/>
      <c r="GI303" s="3"/>
      <c r="GJ303" s="3"/>
      <c r="GK303" s="131"/>
      <c r="GL303" s="15"/>
      <c r="GM303" s="99"/>
      <c r="GN303" s="149"/>
      <c r="GO303" s="134"/>
      <c r="GP303" s="134"/>
      <c r="GQ303" s="137"/>
      <c r="GR303" s="150"/>
      <c r="GS303" s="137"/>
      <c r="GT303" s="137"/>
      <c r="GU303" s="3"/>
      <c r="GV303" s="138"/>
      <c r="GW303" s="2"/>
      <c r="GX303" s="139"/>
      <c r="GY303" s="3"/>
      <c r="GZ303" s="3"/>
      <c r="HA303" s="3"/>
      <c r="HB303" s="3"/>
      <c r="HC303" s="3"/>
      <c r="HD303" s="3"/>
      <c r="HE303" s="3"/>
      <c r="HF303" s="3"/>
      <c r="HG303" s="3"/>
      <c r="HH303" s="3"/>
      <c r="HI303" s="131"/>
      <c r="HJ303" s="15"/>
      <c r="HK303" s="99"/>
      <c r="HL303" s="149"/>
      <c r="HM303" s="134"/>
      <c r="HN303" s="134"/>
      <c r="HO303" s="137"/>
      <c r="HP303" s="150"/>
      <c r="HQ303" s="137"/>
      <c r="HR303" s="137"/>
      <c r="HS303" s="3"/>
      <c r="HT303" s="138"/>
      <c r="HU303" s="2"/>
      <c r="HV303" s="139"/>
      <c r="HW303" s="3"/>
      <c r="HX303" s="3"/>
      <c r="HY303" s="3"/>
      <c r="HZ303" s="3"/>
      <c r="IA303" s="3"/>
      <c r="IB303" s="3"/>
      <c r="IC303" s="3"/>
      <c r="ID303" s="3"/>
      <c r="IE303" s="3"/>
      <c r="IF303" s="3"/>
      <c r="IG303" s="131"/>
      <c r="IH303" s="15"/>
      <c r="II303" s="99"/>
      <c r="IJ303" s="149"/>
      <c r="IK303" s="134"/>
      <c r="IL303" s="134"/>
      <c r="IM303" s="137"/>
      <c r="IN303" s="150"/>
      <c r="IO303" s="137"/>
      <c r="IP303" s="137"/>
      <c r="IQ303" s="3"/>
      <c r="IR303" s="138"/>
      <c r="IS303" s="2"/>
      <c r="IT303" s="139"/>
      <c r="IU303" s="3"/>
      <c r="IV303" s="3"/>
    </row>
    <row r="304" spans="1:256" s="125" customFormat="1">
      <c r="A304" s="16">
        <v>88</v>
      </c>
      <c r="B304" s="29">
        <v>43082</v>
      </c>
      <c r="C304" s="18"/>
      <c r="D304" s="19" t="s">
        <v>412</v>
      </c>
      <c r="E304" s="20" t="s">
        <v>413</v>
      </c>
      <c r="F304" s="82" t="s">
        <v>416</v>
      </c>
      <c r="G304" s="58">
        <v>1707</v>
      </c>
      <c r="H304" s="121">
        <f>2010000-30000</f>
        <v>1980000</v>
      </c>
      <c r="I304" s="24"/>
      <c r="J304" s="24">
        <f>SUM(H304)/1.05</f>
        <v>1885714.2857142857</v>
      </c>
      <c r="K304" s="24">
        <f t="shared" si="26"/>
        <v>1885714.2857142857</v>
      </c>
      <c r="L304" s="123"/>
      <c r="M304" s="24">
        <f t="shared" si="27"/>
        <v>0</v>
      </c>
      <c r="N304" s="124">
        <f t="shared" si="28"/>
        <v>1885714.2857142857</v>
      </c>
      <c r="O304" s="107"/>
      <c r="P304" s="3"/>
      <c r="Q304" s="140"/>
      <c r="R304" s="3"/>
      <c r="S304" s="3"/>
      <c r="T304" s="3"/>
      <c r="U304" s="3"/>
      <c r="V304" s="3"/>
      <c r="W304" s="3"/>
      <c r="X304" s="3"/>
      <c r="Y304" s="131"/>
      <c r="Z304" s="15"/>
      <c r="AA304" s="99"/>
      <c r="AB304" s="149"/>
      <c r="AC304" s="134"/>
      <c r="AD304" s="134"/>
      <c r="AE304" s="137"/>
      <c r="AF304" s="150"/>
      <c r="AG304" s="137"/>
      <c r="AH304" s="137"/>
      <c r="AI304" s="3"/>
      <c r="AJ304" s="138"/>
      <c r="AK304" s="2"/>
      <c r="AL304" s="139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131"/>
      <c r="AX304" s="15"/>
      <c r="AY304" s="99"/>
      <c r="AZ304" s="149"/>
      <c r="BA304" s="134"/>
      <c r="BB304" s="134"/>
      <c r="BC304" s="137"/>
      <c r="BD304" s="150"/>
      <c r="BE304" s="137"/>
      <c r="BF304" s="137"/>
      <c r="BG304" s="3"/>
      <c r="BH304" s="138"/>
      <c r="BI304" s="2"/>
      <c r="BJ304" s="139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131"/>
      <c r="BV304" s="15"/>
      <c r="BW304" s="99"/>
      <c r="BX304" s="149"/>
      <c r="BY304" s="134"/>
      <c r="BZ304" s="134"/>
      <c r="CA304" s="137"/>
      <c r="CB304" s="150"/>
      <c r="CC304" s="137"/>
      <c r="CD304" s="137"/>
      <c r="CE304" s="3"/>
      <c r="CF304" s="138"/>
      <c r="CG304" s="2"/>
      <c r="CH304" s="139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131"/>
      <c r="CT304" s="15"/>
      <c r="CU304" s="99"/>
      <c r="CV304" s="149"/>
      <c r="CW304" s="134"/>
      <c r="CX304" s="134"/>
      <c r="CY304" s="137"/>
      <c r="CZ304" s="150"/>
      <c r="DA304" s="137"/>
      <c r="DB304" s="137"/>
      <c r="DC304" s="3"/>
      <c r="DD304" s="138"/>
      <c r="DE304" s="2"/>
      <c r="DF304" s="139"/>
      <c r="DG304" s="3"/>
      <c r="DH304" s="3"/>
      <c r="DI304" s="3"/>
      <c r="DJ304" s="3"/>
      <c r="DK304" s="3"/>
      <c r="DL304" s="3"/>
      <c r="DM304" s="3"/>
      <c r="DN304" s="3"/>
      <c r="DO304" s="3"/>
      <c r="DP304" s="3"/>
      <c r="DQ304" s="131"/>
      <c r="DR304" s="15"/>
      <c r="DS304" s="99"/>
      <c r="DT304" s="149"/>
      <c r="DU304" s="134"/>
      <c r="DV304" s="134"/>
      <c r="DW304" s="137"/>
      <c r="DX304" s="150"/>
      <c r="DY304" s="137"/>
      <c r="DZ304" s="137"/>
      <c r="EA304" s="3"/>
      <c r="EB304" s="138"/>
      <c r="EC304" s="2"/>
      <c r="ED304" s="139"/>
      <c r="EE304" s="3"/>
      <c r="EF304" s="3"/>
      <c r="EG304" s="3"/>
      <c r="EH304" s="3"/>
      <c r="EI304" s="3"/>
      <c r="EJ304" s="3"/>
      <c r="EK304" s="3"/>
      <c r="EL304" s="3"/>
      <c r="EM304" s="3"/>
      <c r="EN304" s="3"/>
      <c r="EO304" s="131"/>
      <c r="EP304" s="15"/>
      <c r="EQ304" s="99"/>
      <c r="ER304" s="149"/>
      <c r="ES304" s="134"/>
      <c r="ET304" s="134"/>
      <c r="EU304" s="137"/>
      <c r="EV304" s="150"/>
      <c r="EW304" s="137"/>
      <c r="EX304" s="137"/>
      <c r="EY304" s="3"/>
      <c r="EZ304" s="138"/>
      <c r="FA304" s="2"/>
      <c r="FB304" s="139"/>
      <c r="FC304" s="3"/>
      <c r="FD304" s="3"/>
      <c r="FE304" s="3"/>
      <c r="FF304" s="3"/>
      <c r="FG304" s="3"/>
      <c r="FH304" s="3"/>
      <c r="FI304" s="3"/>
      <c r="FJ304" s="3"/>
      <c r="FK304" s="3"/>
      <c r="FL304" s="3"/>
      <c r="FM304" s="131"/>
      <c r="FN304" s="15"/>
      <c r="FO304" s="99"/>
      <c r="FP304" s="149"/>
      <c r="FQ304" s="134"/>
      <c r="FR304" s="134"/>
      <c r="FS304" s="137"/>
      <c r="FT304" s="150"/>
      <c r="FU304" s="137"/>
      <c r="FV304" s="137"/>
      <c r="FW304" s="3"/>
      <c r="FX304" s="138"/>
      <c r="FY304" s="2"/>
      <c r="FZ304" s="139"/>
      <c r="GA304" s="3"/>
      <c r="GB304" s="3"/>
      <c r="GC304" s="3"/>
      <c r="GD304" s="3"/>
      <c r="GE304" s="3"/>
      <c r="GF304" s="3"/>
      <c r="GG304" s="3"/>
      <c r="GH304" s="3"/>
      <c r="GI304" s="3"/>
      <c r="GJ304" s="3"/>
      <c r="GK304" s="131"/>
      <c r="GL304" s="15"/>
      <c r="GM304" s="99"/>
      <c r="GN304" s="149"/>
      <c r="GO304" s="134"/>
      <c r="GP304" s="134"/>
      <c r="GQ304" s="137"/>
      <c r="GR304" s="150"/>
      <c r="GS304" s="137"/>
      <c r="GT304" s="137"/>
      <c r="GU304" s="3"/>
      <c r="GV304" s="138"/>
      <c r="GW304" s="2"/>
      <c r="GX304" s="139"/>
      <c r="GY304" s="3"/>
      <c r="GZ304" s="3"/>
      <c r="HA304" s="3"/>
      <c r="HB304" s="3"/>
      <c r="HC304" s="3"/>
      <c r="HD304" s="3"/>
      <c r="HE304" s="3"/>
      <c r="HF304" s="3"/>
      <c r="HG304" s="3"/>
      <c r="HH304" s="3"/>
      <c r="HI304" s="131"/>
      <c r="HJ304" s="15"/>
      <c r="HK304" s="99"/>
      <c r="HL304" s="149"/>
      <c r="HM304" s="134"/>
      <c r="HN304" s="134"/>
      <c r="HO304" s="137"/>
      <c r="HP304" s="150"/>
      <c r="HQ304" s="137"/>
      <c r="HR304" s="137"/>
      <c r="HS304" s="3"/>
      <c r="HT304" s="138"/>
      <c r="HU304" s="2"/>
      <c r="HV304" s="139"/>
      <c r="HW304" s="3"/>
      <c r="HX304" s="3"/>
      <c r="HY304" s="3"/>
      <c r="HZ304" s="3"/>
      <c r="IA304" s="3"/>
      <c r="IB304" s="3"/>
      <c r="IC304" s="3"/>
      <c r="ID304" s="3"/>
      <c r="IE304" s="3"/>
      <c r="IF304" s="3"/>
      <c r="IG304" s="131"/>
      <c r="IH304" s="15"/>
      <c r="II304" s="99"/>
      <c r="IJ304" s="149"/>
      <c r="IK304" s="134"/>
      <c r="IL304" s="134"/>
      <c r="IM304" s="137"/>
      <c r="IN304" s="150"/>
      <c r="IO304" s="137"/>
      <c r="IP304" s="137"/>
      <c r="IQ304" s="3"/>
      <c r="IR304" s="138"/>
      <c r="IS304" s="2"/>
      <c r="IT304" s="139"/>
      <c r="IU304" s="3"/>
      <c r="IV304" s="3"/>
    </row>
    <row r="305" spans="1:256" s="125" customFormat="1">
      <c r="A305" s="16">
        <v>89</v>
      </c>
      <c r="B305" s="29">
        <v>43088</v>
      </c>
      <c r="C305" s="18"/>
      <c r="D305" s="19" t="s">
        <v>412</v>
      </c>
      <c r="E305" s="20" t="s">
        <v>413</v>
      </c>
      <c r="F305" s="82" t="s">
        <v>417</v>
      </c>
      <c r="G305" s="63">
        <v>1708</v>
      </c>
      <c r="H305" s="121">
        <v>2010000</v>
      </c>
      <c r="I305" s="24"/>
      <c r="J305" s="24">
        <f>SUM(H305)/1.05</f>
        <v>1914285.7142857143</v>
      </c>
      <c r="K305" s="24">
        <f t="shared" si="26"/>
        <v>1914285.7142857143</v>
      </c>
      <c r="L305" s="123"/>
      <c r="M305" s="24">
        <f t="shared" si="27"/>
        <v>0</v>
      </c>
      <c r="N305" s="124">
        <f t="shared" si="28"/>
        <v>1914285.7142857143</v>
      </c>
      <c r="O305" s="85"/>
      <c r="P305" s="3"/>
      <c r="Q305" s="140"/>
      <c r="R305" s="3"/>
      <c r="S305" s="3"/>
      <c r="T305" s="3"/>
      <c r="U305" s="3"/>
      <c r="V305" s="3"/>
      <c r="W305" s="3"/>
      <c r="X305" s="3"/>
      <c r="Y305" s="3"/>
      <c r="Z305" s="3"/>
      <c r="AA305" s="130"/>
      <c r="AB305" s="130"/>
      <c r="AC305" s="130"/>
      <c r="AD305" s="130"/>
      <c r="AE305" s="130"/>
      <c r="AF305" s="167"/>
      <c r="AG305" s="167"/>
      <c r="AH305" s="167"/>
      <c r="AY305" s="167"/>
      <c r="AZ305" s="167"/>
      <c r="BA305" s="167"/>
      <c r="BB305" s="167"/>
      <c r="BC305" s="167"/>
      <c r="BD305" s="167"/>
      <c r="BE305" s="167"/>
      <c r="BF305" s="167"/>
      <c r="BW305" s="167"/>
      <c r="BX305" s="167"/>
      <c r="BY305" s="167"/>
      <c r="BZ305" s="167"/>
      <c r="CA305" s="167"/>
      <c r="CB305" s="167"/>
      <c r="CC305" s="167"/>
      <c r="CD305" s="167"/>
      <c r="CU305" s="167"/>
      <c r="CV305" s="167"/>
      <c r="CW305" s="167"/>
      <c r="CX305" s="167"/>
      <c r="CY305" s="167"/>
      <c r="CZ305" s="167"/>
      <c r="DA305" s="167"/>
      <c r="DB305" s="167"/>
      <c r="DS305" s="167"/>
      <c r="DT305" s="167"/>
      <c r="DU305" s="167"/>
      <c r="DV305" s="167"/>
      <c r="DW305" s="167"/>
      <c r="DX305" s="167"/>
      <c r="DY305" s="167"/>
      <c r="DZ305" s="167"/>
      <c r="EQ305" s="167"/>
      <c r="ER305" s="167"/>
      <c r="ES305" s="167"/>
      <c r="ET305" s="167"/>
      <c r="EU305" s="167"/>
      <c r="EV305" s="167"/>
      <c r="EW305" s="167"/>
      <c r="EX305" s="167"/>
      <c r="FO305" s="167"/>
      <c r="FP305" s="167"/>
      <c r="FQ305" s="167"/>
      <c r="FR305" s="167"/>
      <c r="FS305" s="167"/>
      <c r="FT305" s="167"/>
      <c r="FU305" s="167"/>
      <c r="FV305" s="167"/>
      <c r="GM305" s="167"/>
      <c r="GN305" s="167"/>
      <c r="GO305" s="167"/>
      <c r="GP305" s="167"/>
      <c r="GQ305" s="167"/>
      <c r="GR305" s="167"/>
      <c r="GS305" s="167"/>
      <c r="GT305" s="167"/>
      <c r="HK305" s="167"/>
      <c r="HL305" s="167"/>
      <c r="HM305" s="167"/>
      <c r="HN305" s="167"/>
      <c r="HO305" s="167"/>
      <c r="HP305" s="167"/>
      <c r="HQ305" s="167"/>
      <c r="HR305" s="167"/>
      <c r="II305" s="167"/>
      <c r="IJ305" s="167"/>
      <c r="IK305" s="167"/>
      <c r="IL305" s="167"/>
      <c r="IM305" s="167"/>
      <c r="IN305" s="167"/>
      <c r="IO305" s="167"/>
      <c r="IP305" s="167"/>
    </row>
    <row r="306" spans="1:256" s="125" customFormat="1">
      <c r="A306" s="16">
        <v>90</v>
      </c>
      <c r="B306" s="17">
        <v>43094</v>
      </c>
      <c r="C306" s="18"/>
      <c r="D306" s="19" t="s">
        <v>412</v>
      </c>
      <c r="E306" s="20" t="s">
        <v>413</v>
      </c>
      <c r="F306" s="168" t="s">
        <v>418</v>
      </c>
      <c r="G306" s="63">
        <v>1709</v>
      </c>
      <c r="H306" s="121">
        <v>2010000</v>
      </c>
      <c r="I306" s="24"/>
      <c r="J306" s="24">
        <f>SUM(H306)/1.05</f>
        <v>1914285.7142857143</v>
      </c>
      <c r="K306" s="24">
        <f t="shared" si="26"/>
        <v>1914285.7142857143</v>
      </c>
      <c r="L306" s="123"/>
      <c r="M306" s="24">
        <f t="shared" si="27"/>
        <v>0</v>
      </c>
      <c r="N306" s="124">
        <f t="shared" si="28"/>
        <v>1914285.7142857143</v>
      </c>
      <c r="O306" s="108"/>
      <c r="P306" s="3"/>
      <c r="Q306" s="140"/>
      <c r="R306" s="3"/>
      <c r="S306" s="3"/>
      <c r="T306" s="3"/>
      <c r="U306" s="3"/>
      <c r="V306" s="3"/>
      <c r="W306" s="3"/>
      <c r="X306" s="3"/>
      <c r="Y306" s="3"/>
      <c r="Z306" s="3"/>
      <c r="AA306" s="130"/>
      <c r="AB306" s="130"/>
      <c r="AC306" s="130"/>
      <c r="AD306" s="130"/>
      <c r="AE306" s="130"/>
      <c r="AF306" s="167"/>
      <c r="AG306" s="167"/>
      <c r="AH306" s="167"/>
      <c r="AY306" s="167"/>
      <c r="AZ306" s="167"/>
      <c r="BA306" s="167"/>
      <c r="BB306" s="167"/>
      <c r="BC306" s="167"/>
      <c r="BD306" s="167"/>
      <c r="BE306" s="167"/>
      <c r="BF306" s="167"/>
      <c r="BW306" s="167"/>
      <c r="BX306" s="167"/>
      <c r="BY306" s="167"/>
      <c r="BZ306" s="167"/>
      <c r="CA306" s="167"/>
      <c r="CB306" s="167"/>
      <c r="CC306" s="167"/>
      <c r="CD306" s="167"/>
      <c r="CU306" s="167"/>
      <c r="CV306" s="167"/>
      <c r="CW306" s="167"/>
      <c r="CX306" s="167"/>
      <c r="CY306" s="167"/>
      <c r="CZ306" s="167"/>
      <c r="DA306" s="167"/>
      <c r="DB306" s="167"/>
      <c r="DS306" s="167"/>
      <c r="DT306" s="167"/>
      <c r="DU306" s="167"/>
      <c r="DV306" s="167"/>
      <c r="DW306" s="167"/>
      <c r="DX306" s="167"/>
      <c r="DY306" s="167"/>
      <c r="DZ306" s="167"/>
      <c r="EQ306" s="167"/>
      <c r="ER306" s="167"/>
      <c r="ES306" s="167"/>
      <c r="ET306" s="167"/>
      <c r="EU306" s="167"/>
      <c r="EV306" s="167"/>
      <c r="EW306" s="167"/>
      <c r="EX306" s="167"/>
      <c r="FO306" s="167"/>
      <c r="FP306" s="167"/>
      <c r="FQ306" s="167"/>
      <c r="FR306" s="167"/>
      <c r="FS306" s="167"/>
      <c r="FT306" s="167"/>
      <c r="FU306" s="167"/>
      <c r="FV306" s="167"/>
      <c r="GM306" s="167"/>
      <c r="GN306" s="167"/>
      <c r="GO306" s="167"/>
      <c r="GP306" s="167"/>
      <c r="GQ306" s="167"/>
      <c r="GR306" s="167"/>
      <c r="GS306" s="167"/>
      <c r="GT306" s="167"/>
      <c r="HK306" s="167"/>
      <c r="HL306" s="167"/>
      <c r="HM306" s="167"/>
      <c r="HN306" s="167"/>
      <c r="HO306" s="167"/>
      <c r="HP306" s="167"/>
      <c r="HQ306" s="167"/>
      <c r="HR306" s="167"/>
      <c r="II306" s="167"/>
      <c r="IJ306" s="167"/>
      <c r="IK306" s="167"/>
      <c r="IL306" s="167"/>
      <c r="IM306" s="167"/>
      <c r="IN306" s="167"/>
      <c r="IO306" s="167"/>
      <c r="IP306" s="167"/>
    </row>
    <row r="307" spans="1:256" s="125" customFormat="1">
      <c r="A307" s="16">
        <v>91</v>
      </c>
      <c r="B307" s="17">
        <v>43066</v>
      </c>
      <c r="C307" s="18"/>
      <c r="D307" s="19" t="s">
        <v>419</v>
      </c>
      <c r="E307" s="20" t="s">
        <v>420</v>
      </c>
      <c r="F307" s="168" t="s">
        <v>421</v>
      </c>
      <c r="G307" s="63">
        <v>1704</v>
      </c>
      <c r="H307" s="121">
        <v>3630000</v>
      </c>
      <c r="I307" s="24">
        <v>3457143</v>
      </c>
      <c r="J307" s="24"/>
      <c r="K307" s="24">
        <f t="shared" si="26"/>
        <v>3457143</v>
      </c>
      <c r="L307" s="123"/>
      <c r="M307" s="24">
        <f t="shared" si="27"/>
        <v>0</v>
      </c>
      <c r="N307" s="124">
        <f t="shared" si="28"/>
        <v>3457143</v>
      </c>
      <c r="O307" s="85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130"/>
      <c r="AB307" s="130"/>
      <c r="AC307" s="130"/>
      <c r="AD307" s="130"/>
      <c r="AE307" s="130"/>
      <c r="AF307" s="130"/>
      <c r="AG307" s="130"/>
      <c r="AH307" s="130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130"/>
      <c r="AZ307" s="130"/>
      <c r="BA307" s="130"/>
      <c r="BB307" s="130"/>
      <c r="BC307" s="130"/>
      <c r="BD307" s="130"/>
      <c r="BE307" s="130"/>
      <c r="BF307" s="130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130"/>
      <c r="BX307" s="130"/>
      <c r="BY307" s="130"/>
      <c r="BZ307" s="130"/>
      <c r="CA307" s="130"/>
      <c r="CB307" s="130"/>
      <c r="CC307" s="130"/>
      <c r="CD307" s="130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130"/>
      <c r="CV307" s="130"/>
      <c r="CW307" s="130"/>
      <c r="CX307" s="130"/>
      <c r="CY307" s="130"/>
      <c r="CZ307" s="130"/>
      <c r="DA307" s="130"/>
      <c r="DB307" s="130"/>
      <c r="DC307" s="3"/>
      <c r="DD307" s="3"/>
      <c r="DE307" s="3"/>
      <c r="DF307" s="3"/>
      <c r="DG307" s="3"/>
      <c r="DH307" s="3"/>
      <c r="DI307" s="3"/>
      <c r="DJ307" s="3"/>
      <c r="DK307" s="3"/>
      <c r="DL307" s="3"/>
      <c r="DM307" s="3"/>
      <c r="DN307" s="3"/>
      <c r="DO307" s="3"/>
      <c r="DP307" s="3"/>
      <c r="DQ307" s="3"/>
      <c r="DR307" s="3"/>
      <c r="DS307" s="130"/>
      <c r="DT307" s="130"/>
      <c r="DU307" s="130"/>
      <c r="DV307" s="130"/>
      <c r="DW307" s="130"/>
      <c r="DX307" s="130"/>
      <c r="DY307" s="130"/>
      <c r="DZ307" s="130"/>
      <c r="EA307" s="3"/>
      <c r="EB307" s="3"/>
      <c r="EC307" s="3"/>
      <c r="ED307" s="3"/>
      <c r="EE307" s="3"/>
      <c r="EF307" s="3"/>
      <c r="EG307" s="3"/>
      <c r="EH307" s="3"/>
      <c r="EI307" s="3"/>
      <c r="EJ307" s="3"/>
      <c r="EK307" s="3"/>
      <c r="EL307" s="3"/>
      <c r="EM307" s="3"/>
      <c r="EN307" s="3"/>
      <c r="EO307" s="3"/>
      <c r="EP307" s="3"/>
      <c r="EQ307" s="130"/>
      <c r="ER307" s="130"/>
      <c r="ES307" s="130"/>
      <c r="ET307" s="130"/>
      <c r="EU307" s="130"/>
      <c r="EV307" s="130"/>
      <c r="EW307" s="130"/>
      <c r="EX307" s="130"/>
      <c r="EY307" s="3"/>
      <c r="EZ307" s="3"/>
      <c r="FA307" s="3"/>
      <c r="FB307" s="3"/>
      <c r="FC307" s="3"/>
      <c r="FD307" s="3"/>
      <c r="FE307" s="3"/>
      <c r="FF307" s="3"/>
      <c r="FG307" s="3"/>
      <c r="FH307" s="3"/>
      <c r="FI307" s="3"/>
      <c r="FJ307" s="3"/>
      <c r="FK307" s="3"/>
      <c r="FL307" s="3"/>
      <c r="FM307" s="3"/>
      <c r="FN307" s="3"/>
      <c r="FO307" s="130"/>
      <c r="FP307" s="130"/>
      <c r="FQ307" s="130"/>
      <c r="FR307" s="130"/>
      <c r="FS307" s="130"/>
      <c r="FT307" s="130"/>
      <c r="FU307" s="130"/>
      <c r="FV307" s="130"/>
      <c r="FW307" s="3"/>
      <c r="FX307" s="3"/>
      <c r="FY307" s="3"/>
      <c r="FZ307" s="3"/>
      <c r="GA307" s="3"/>
      <c r="GB307" s="3"/>
      <c r="GC307" s="3"/>
      <c r="GD307" s="3"/>
      <c r="GE307" s="3"/>
      <c r="GF307" s="3"/>
      <c r="GG307" s="3"/>
      <c r="GH307" s="3"/>
      <c r="GI307" s="3"/>
      <c r="GJ307" s="3"/>
      <c r="GK307" s="3"/>
      <c r="GL307" s="3"/>
      <c r="GM307" s="130"/>
      <c r="GN307" s="130"/>
      <c r="GO307" s="130"/>
      <c r="GP307" s="130"/>
      <c r="GQ307" s="130"/>
      <c r="GR307" s="130"/>
      <c r="GS307" s="130"/>
      <c r="GT307" s="130"/>
      <c r="GU307" s="3"/>
      <c r="GV307" s="3"/>
      <c r="GW307" s="3"/>
      <c r="GX307" s="3"/>
      <c r="GY307" s="3"/>
      <c r="GZ307" s="3"/>
      <c r="HA307" s="3"/>
      <c r="HB307" s="3"/>
      <c r="HC307" s="3"/>
      <c r="HD307" s="3"/>
      <c r="HE307" s="3"/>
      <c r="HF307" s="3"/>
      <c r="HG307" s="3"/>
      <c r="HH307" s="3"/>
      <c r="HI307" s="3"/>
      <c r="HJ307" s="3"/>
      <c r="HK307" s="130"/>
      <c r="HL307" s="130"/>
      <c r="HM307" s="130"/>
      <c r="HN307" s="130"/>
      <c r="HO307" s="130"/>
      <c r="HP307" s="130"/>
      <c r="HQ307" s="130"/>
      <c r="HR307" s="130"/>
      <c r="HS307" s="3"/>
      <c r="HT307" s="3"/>
      <c r="HU307" s="3"/>
      <c r="HV307" s="3"/>
      <c r="HW307" s="3"/>
      <c r="HX307" s="3"/>
      <c r="HY307" s="3"/>
      <c r="HZ307" s="3"/>
      <c r="IA307" s="3"/>
      <c r="IB307" s="3"/>
      <c r="IC307" s="3"/>
      <c r="ID307" s="3"/>
      <c r="IE307" s="3"/>
      <c r="IF307" s="3"/>
      <c r="IG307" s="3"/>
      <c r="IH307" s="3"/>
      <c r="II307" s="130"/>
      <c r="IJ307" s="130"/>
      <c r="IK307" s="130"/>
      <c r="IL307" s="130"/>
      <c r="IM307" s="130"/>
      <c r="IN307" s="130"/>
      <c r="IO307" s="130"/>
      <c r="IP307" s="130"/>
      <c r="IQ307" s="3"/>
      <c r="IR307" s="3"/>
      <c r="IS307" s="3"/>
      <c r="IT307" s="3"/>
      <c r="IU307" s="3"/>
      <c r="IV307" s="3"/>
    </row>
    <row r="308" spans="1:256" s="125" customFormat="1">
      <c r="A308" s="16">
        <v>92</v>
      </c>
      <c r="B308" s="29">
        <v>43062</v>
      </c>
      <c r="C308" s="18"/>
      <c r="D308" s="19" t="s">
        <v>419</v>
      </c>
      <c r="E308" s="20" t="s">
        <v>420</v>
      </c>
      <c r="F308" s="168" t="s">
        <v>422</v>
      </c>
      <c r="G308" s="63">
        <v>1707</v>
      </c>
      <c r="H308" s="121">
        <v>3743000</v>
      </c>
      <c r="I308" s="24">
        <v>3564762</v>
      </c>
      <c r="J308" s="24"/>
      <c r="K308" s="24">
        <f t="shared" si="26"/>
        <v>3564762</v>
      </c>
      <c r="L308" s="123"/>
      <c r="M308" s="24">
        <f t="shared" si="27"/>
        <v>0</v>
      </c>
      <c r="N308" s="124">
        <f t="shared" si="28"/>
        <v>3564762</v>
      </c>
      <c r="O308" s="85"/>
      <c r="P308" s="3"/>
      <c r="Q308" s="140"/>
      <c r="R308" s="3"/>
      <c r="S308" s="3"/>
      <c r="T308" s="3"/>
      <c r="U308" s="3"/>
      <c r="V308" s="3"/>
      <c r="W308" s="3"/>
      <c r="X308" s="3"/>
      <c r="Y308" s="3"/>
      <c r="Z308" s="3"/>
      <c r="AA308" s="130"/>
      <c r="AB308" s="130"/>
      <c r="AC308" s="130"/>
      <c r="AD308" s="130"/>
      <c r="AE308" s="130"/>
      <c r="AF308" s="130"/>
      <c r="AG308" s="130"/>
      <c r="AH308" s="130"/>
      <c r="AI308" s="3"/>
      <c r="AJ308" s="3"/>
      <c r="AK308" s="3"/>
      <c r="AY308" s="167"/>
      <c r="AZ308" s="167"/>
      <c r="BA308" s="167"/>
      <c r="BB308" s="167"/>
      <c r="BC308" s="167"/>
      <c r="BD308" s="167"/>
      <c r="BE308" s="167"/>
      <c r="BF308" s="167"/>
      <c r="BW308" s="167"/>
      <c r="BX308" s="167"/>
      <c r="BY308" s="167"/>
      <c r="BZ308" s="167"/>
      <c r="CA308" s="167"/>
      <c r="CB308" s="167"/>
      <c r="CC308" s="167"/>
      <c r="CD308" s="167"/>
      <c r="CU308" s="167"/>
      <c r="CV308" s="167"/>
      <c r="CW308" s="167"/>
      <c r="CX308" s="167"/>
      <c r="CY308" s="167"/>
      <c r="CZ308" s="167"/>
      <c r="DA308" s="167"/>
      <c r="DB308" s="167"/>
      <c r="DS308" s="167"/>
      <c r="DT308" s="167"/>
      <c r="DU308" s="167"/>
      <c r="DV308" s="167"/>
      <c r="DW308" s="167"/>
      <c r="DX308" s="167"/>
      <c r="DY308" s="167"/>
      <c r="DZ308" s="167"/>
      <c r="EQ308" s="167"/>
      <c r="ER308" s="167"/>
      <c r="ES308" s="167"/>
      <c r="ET308" s="167"/>
      <c r="EU308" s="167"/>
      <c r="EV308" s="167"/>
      <c r="EW308" s="167"/>
      <c r="EX308" s="167"/>
      <c r="FO308" s="167"/>
      <c r="FP308" s="167"/>
      <c r="FQ308" s="167"/>
      <c r="FR308" s="167"/>
      <c r="FS308" s="167"/>
      <c r="FT308" s="167"/>
      <c r="FU308" s="167"/>
      <c r="FV308" s="167"/>
      <c r="GM308" s="167"/>
      <c r="GN308" s="167"/>
      <c r="GO308" s="167"/>
      <c r="GP308" s="167"/>
      <c r="GQ308" s="167"/>
      <c r="GR308" s="167"/>
      <c r="GS308" s="167"/>
      <c r="GT308" s="167"/>
      <c r="HK308" s="167"/>
      <c r="HL308" s="167"/>
      <c r="HM308" s="167"/>
      <c r="HN308" s="167"/>
      <c r="HO308" s="167"/>
      <c r="HP308" s="167"/>
      <c r="HQ308" s="167"/>
      <c r="HR308" s="167"/>
      <c r="II308" s="167"/>
      <c r="IJ308" s="167"/>
      <c r="IK308" s="167"/>
      <c r="IL308" s="167"/>
      <c r="IM308" s="167"/>
      <c r="IN308" s="167"/>
      <c r="IO308" s="167"/>
      <c r="IP308" s="167"/>
    </row>
    <row r="309" spans="1:256" s="125" customFormat="1">
      <c r="A309" s="16">
        <v>93</v>
      </c>
      <c r="B309" s="29">
        <v>43067</v>
      </c>
      <c r="C309" s="18"/>
      <c r="D309" s="19" t="s">
        <v>423</v>
      </c>
      <c r="E309" s="20" t="s">
        <v>424</v>
      </c>
      <c r="F309" s="82" t="s">
        <v>425</v>
      </c>
      <c r="G309" s="58">
        <v>1709</v>
      </c>
      <c r="H309" s="121">
        <v>3310800</v>
      </c>
      <c r="I309" s="24">
        <v>3153143</v>
      </c>
      <c r="J309" s="24"/>
      <c r="K309" s="24">
        <f t="shared" si="26"/>
        <v>3153143</v>
      </c>
      <c r="L309" s="123"/>
      <c r="M309" s="24">
        <f t="shared" si="27"/>
        <v>0</v>
      </c>
      <c r="N309" s="124">
        <f t="shared" si="28"/>
        <v>3153143</v>
      </c>
      <c r="O309" s="126"/>
      <c r="P309" s="3"/>
      <c r="Q309" s="140"/>
      <c r="R309" s="3"/>
      <c r="S309" s="3"/>
      <c r="T309" s="3"/>
      <c r="U309" s="3"/>
      <c r="V309" s="3"/>
      <c r="W309" s="3"/>
      <c r="X309" s="3"/>
      <c r="Y309" s="3"/>
      <c r="Z309" s="3"/>
      <c r="AA309" s="130"/>
      <c r="AB309" s="130"/>
      <c r="AC309" s="130"/>
      <c r="AD309" s="130"/>
      <c r="AE309" s="130"/>
      <c r="AF309" s="130"/>
      <c r="AG309" s="130"/>
      <c r="AH309" s="130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130"/>
      <c r="AZ309" s="130"/>
      <c r="BA309" s="130"/>
      <c r="BB309" s="130"/>
      <c r="BC309" s="130"/>
      <c r="BD309" s="130"/>
      <c r="BE309" s="130"/>
      <c r="BF309" s="130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130"/>
      <c r="BX309" s="130"/>
      <c r="BY309" s="130"/>
      <c r="BZ309" s="130"/>
      <c r="CA309" s="130"/>
      <c r="CB309" s="130"/>
      <c r="CC309" s="130"/>
      <c r="CD309" s="130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130"/>
      <c r="CV309" s="130"/>
      <c r="CW309" s="130"/>
      <c r="CX309" s="130"/>
      <c r="CY309" s="130"/>
      <c r="CZ309" s="130"/>
      <c r="DA309" s="130"/>
      <c r="DB309" s="130"/>
      <c r="DC309" s="3"/>
      <c r="DD309" s="3"/>
      <c r="DE309" s="3"/>
      <c r="DF309" s="3"/>
      <c r="DG309" s="3"/>
      <c r="DH309" s="3"/>
      <c r="DI309" s="3"/>
      <c r="DJ309" s="3"/>
      <c r="DK309" s="3"/>
      <c r="DL309" s="3"/>
      <c r="DM309" s="3"/>
      <c r="DN309" s="3"/>
      <c r="DO309" s="3"/>
      <c r="DP309" s="3"/>
      <c r="DQ309" s="3"/>
      <c r="DR309" s="3"/>
      <c r="DS309" s="130"/>
      <c r="DT309" s="130"/>
      <c r="DU309" s="130"/>
      <c r="DV309" s="130"/>
      <c r="DW309" s="130"/>
      <c r="DX309" s="130"/>
      <c r="DY309" s="130"/>
      <c r="DZ309" s="130"/>
      <c r="EA309" s="3"/>
      <c r="EB309" s="3"/>
      <c r="EC309" s="3"/>
      <c r="ED309" s="3"/>
      <c r="EE309" s="3"/>
      <c r="EF309" s="3"/>
      <c r="EG309" s="3"/>
      <c r="EH309" s="3"/>
      <c r="EI309" s="3"/>
      <c r="EJ309" s="3"/>
      <c r="EK309" s="3"/>
      <c r="EL309" s="3"/>
      <c r="EM309" s="3"/>
      <c r="EN309" s="3"/>
      <c r="EO309" s="3"/>
      <c r="EP309" s="3"/>
      <c r="EQ309" s="130"/>
      <c r="ER309" s="130"/>
      <c r="ES309" s="130"/>
      <c r="ET309" s="130"/>
      <c r="EU309" s="130"/>
      <c r="EV309" s="130"/>
      <c r="EW309" s="130"/>
      <c r="EX309" s="130"/>
      <c r="EY309" s="3"/>
      <c r="EZ309" s="3"/>
      <c r="FA309" s="3"/>
      <c r="FB309" s="3"/>
      <c r="FC309" s="3"/>
      <c r="FD309" s="3"/>
      <c r="FE309" s="3"/>
      <c r="FF309" s="3"/>
      <c r="FG309" s="3"/>
      <c r="FH309" s="3"/>
      <c r="FI309" s="3"/>
      <c r="FJ309" s="3"/>
      <c r="FK309" s="3"/>
      <c r="FL309" s="3"/>
      <c r="FM309" s="3"/>
      <c r="FN309" s="3"/>
      <c r="FO309" s="130"/>
      <c r="FP309" s="130"/>
      <c r="FQ309" s="130"/>
      <c r="FR309" s="130"/>
      <c r="FS309" s="130"/>
      <c r="FT309" s="130"/>
      <c r="FU309" s="130"/>
      <c r="FV309" s="130"/>
      <c r="FW309" s="3"/>
      <c r="FX309" s="3"/>
      <c r="FY309" s="3"/>
      <c r="FZ309" s="3"/>
      <c r="GA309" s="3"/>
      <c r="GB309" s="3"/>
      <c r="GC309" s="3"/>
      <c r="GD309" s="3"/>
      <c r="GE309" s="3"/>
      <c r="GF309" s="3"/>
      <c r="GG309" s="3"/>
      <c r="GH309" s="3"/>
      <c r="GI309" s="3"/>
      <c r="GJ309" s="3"/>
      <c r="GK309" s="3"/>
      <c r="GL309" s="3"/>
      <c r="GM309" s="130"/>
      <c r="GN309" s="130"/>
      <c r="GO309" s="130"/>
      <c r="GP309" s="130"/>
      <c r="GQ309" s="130"/>
      <c r="GR309" s="130"/>
      <c r="GS309" s="130"/>
      <c r="GT309" s="130"/>
      <c r="GU309" s="3"/>
      <c r="GV309" s="3"/>
      <c r="GW309" s="3"/>
      <c r="GX309" s="3"/>
      <c r="GY309" s="3"/>
      <c r="GZ309" s="3"/>
      <c r="HA309" s="3"/>
      <c r="HB309" s="3"/>
      <c r="HC309" s="3"/>
      <c r="HD309" s="3"/>
      <c r="HE309" s="3"/>
      <c r="HF309" s="3"/>
      <c r="HG309" s="3"/>
      <c r="HH309" s="3"/>
      <c r="HI309" s="3"/>
      <c r="HJ309" s="3"/>
      <c r="HK309" s="130"/>
      <c r="HL309" s="130"/>
      <c r="HM309" s="130"/>
      <c r="HN309" s="130"/>
      <c r="HO309" s="130"/>
      <c r="HP309" s="130"/>
      <c r="HQ309" s="130"/>
      <c r="HR309" s="130"/>
      <c r="HS309" s="3"/>
      <c r="HT309" s="3"/>
      <c r="HU309" s="3"/>
      <c r="HV309" s="3"/>
      <c r="HW309" s="3"/>
      <c r="HX309" s="3"/>
      <c r="HY309" s="3"/>
      <c r="HZ309" s="3"/>
      <c r="IA309" s="3"/>
      <c r="IB309" s="3"/>
      <c r="IC309" s="3"/>
      <c r="ID309" s="3"/>
      <c r="IE309" s="3"/>
      <c r="IF309" s="3"/>
      <c r="IG309" s="3"/>
      <c r="IH309" s="3"/>
      <c r="II309" s="130"/>
      <c r="IJ309" s="130"/>
      <c r="IK309" s="130"/>
      <c r="IL309" s="130"/>
      <c r="IM309" s="130"/>
      <c r="IN309" s="130"/>
      <c r="IO309" s="130"/>
      <c r="IP309" s="130"/>
      <c r="IQ309" s="3"/>
      <c r="IR309" s="3"/>
      <c r="IS309" s="3"/>
      <c r="IT309" s="3"/>
      <c r="IU309" s="3"/>
      <c r="IV309" s="3"/>
    </row>
    <row r="310" spans="1:256" s="125" customFormat="1">
      <c r="A310" s="16">
        <v>94</v>
      </c>
      <c r="B310" s="17">
        <v>43094</v>
      </c>
      <c r="C310" s="18"/>
      <c r="D310" s="19" t="s">
        <v>423</v>
      </c>
      <c r="E310" s="20" t="s">
        <v>424</v>
      </c>
      <c r="F310" s="168" t="s">
        <v>426</v>
      </c>
      <c r="G310" s="63">
        <v>1710</v>
      </c>
      <c r="H310" s="121">
        <v>3310800</v>
      </c>
      <c r="I310" s="24"/>
      <c r="J310" s="24">
        <f>SUM(H310)/1.05</f>
        <v>3153142.8571428568</v>
      </c>
      <c r="K310" s="24">
        <f t="shared" si="26"/>
        <v>3153142.8571428568</v>
      </c>
      <c r="L310" s="123"/>
      <c r="M310" s="24">
        <f t="shared" si="27"/>
        <v>0</v>
      </c>
      <c r="N310" s="124">
        <f t="shared" si="28"/>
        <v>3153142.8571428568</v>
      </c>
      <c r="O310" s="108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130"/>
      <c r="AB310" s="130"/>
      <c r="AC310" s="130"/>
      <c r="AD310" s="130"/>
      <c r="AE310" s="130"/>
      <c r="AF310" s="130"/>
      <c r="AG310" s="130"/>
      <c r="AH310" s="130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130"/>
      <c r="AZ310" s="130"/>
      <c r="BA310" s="130"/>
      <c r="BB310" s="130"/>
      <c r="BC310" s="130"/>
      <c r="BD310" s="130"/>
      <c r="BE310" s="130"/>
      <c r="BF310" s="130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130"/>
      <c r="BX310" s="130"/>
      <c r="BY310" s="130"/>
      <c r="BZ310" s="130"/>
      <c r="CA310" s="130"/>
      <c r="CB310" s="130"/>
      <c r="CC310" s="130"/>
      <c r="CD310" s="130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130"/>
      <c r="CV310" s="130"/>
      <c r="CW310" s="130"/>
      <c r="CX310" s="130"/>
      <c r="CY310" s="130"/>
      <c r="CZ310" s="130"/>
      <c r="DA310" s="130"/>
      <c r="DB310" s="130"/>
      <c r="DC310" s="3"/>
      <c r="DD310" s="3"/>
      <c r="DE310" s="3"/>
      <c r="DF310" s="3"/>
      <c r="DG310" s="3"/>
      <c r="DH310" s="3"/>
      <c r="DI310" s="3"/>
      <c r="DJ310" s="3"/>
      <c r="DK310" s="3"/>
      <c r="DL310" s="3"/>
      <c r="DM310" s="3"/>
      <c r="DN310" s="3"/>
      <c r="DO310" s="3"/>
      <c r="DP310" s="3"/>
      <c r="DQ310" s="3"/>
      <c r="DR310" s="3"/>
      <c r="DS310" s="130"/>
      <c r="DT310" s="130"/>
      <c r="DU310" s="130"/>
      <c r="DV310" s="130"/>
      <c r="DW310" s="130"/>
      <c r="DX310" s="130"/>
      <c r="DY310" s="130"/>
      <c r="DZ310" s="130"/>
      <c r="EA310" s="3"/>
      <c r="EB310" s="3"/>
      <c r="EC310" s="3"/>
      <c r="ED310" s="3"/>
      <c r="EE310" s="3"/>
      <c r="EF310" s="3"/>
      <c r="EG310" s="3"/>
      <c r="EH310" s="3"/>
      <c r="EI310" s="3"/>
      <c r="EJ310" s="3"/>
      <c r="EK310" s="3"/>
      <c r="EL310" s="3"/>
      <c r="EM310" s="3"/>
      <c r="EN310" s="3"/>
      <c r="EO310" s="3"/>
      <c r="EP310" s="3"/>
      <c r="EQ310" s="130"/>
      <c r="ER310" s="130"/>
      <c r="ES310" s="130"/>
      <c r="ET310" s="130"/>
      <c r="EU310" s="130"/>
      <c r="EV310" s="130"/>
      <c r="EW310" s="130"/>
      <c r="EX310" s="130"/>
      <c r="EY310" s="3"/>
      <c r="EZ310" s="3"/>
      <c r="FA310" s="3"/>
      <c r="FB310" s="3"/>
      <c r="FC310" s="3"/>
      <c r="FD310" s="3"/>
      <c r="FE310" s="3"/>
      <c r="FF310" s="3"/>
      <c r="FG310" s="3"/>
      <c r="FH310" s="3"/>
      <c r="FI310" s="3"/>
      <c r="FJ310" s="3"/>
      <c r="FK310" s="3"/>
      <c r="FL310" s="3"/>
      <c r="FM310" s="3"/>
      <c r="FN310" s="3"/>
      <c r="FO310" s="130"/>
      <c r="FP310" s="130"/>
      <c r="FQ310" s="130"/>
      <c r="FR310" s="130"/>
      <c r="FS310" s="130"/>
      <c r="FT310" s="130"/>
      <c r="FU310" s="130"/>
      <c r="FV310" s="130"/>
      <c r="FW310" s="3"/>
      <c r="FX310" s="3"/>
      <c r="FY310" s="3"/>
      <c r="FZ310" s="3"/>
      <c r="GA310" s="3"/>
      <c r="GB310" s="3"/>
      <c r="GC310" s="3"/>
      <c r="GD310" s="3"/>
      <c r="GE310" s="3"/>
      <c r="GF310" s="3"/>
      <c r="GG310" s="3"/>
      <c r="GH310" s="3"/>
      <c r="GI310" s="3"/>
      <c r="GJ310" s="3"/>
      <c r="GK310" s="3"/>
      <c r="GL310" s="3"/>
      <c r="GM310" s="130"/>
      <c r="GN310" s="130"/>
      <c r="GO310" s="130"/>
      <c r="GP310" s="130"/>
      <c r="GQ310" s="130"/>
      <c r="GR310" s="130"/>
      <c r="GS310" s="130"/>
      <c r="GT310" s="130"/>
      <c r="GU310" s="3"/>
      <c r="GV310" s="3"/>
      <c r="GW310" s="3"/>
      <c r="GX310" s="3"/>
      <c r="GY310" s="3"/>
      <c r="GZ310" s="3"/>
      <c r="HA310" s="3"/>
      <c r="HB310" s="3"/>
      <c r="HC310" s="3"/>
      <c r="HD310" s="3"/>
      <c r="HE310" s="3"/>
      <c r="HF310" s="3"/>
      <c r="HG310" s="3"/>
      <c r="HH310" s="3"/>
      <c r="HI310" s="3"/>
      <c r="HJ310" s="3"/>
      <c r="HK310" s="130"/>
      <c r="HL310" s="130"/>
      <c r="HM310" s="130"/>
      <c r="HN310" s="130"/>
      <c r="HO310" s="130"/>
      <c r="HP310" s="130"/>
      <c r="HQ310" s="130"/>
      <c r="HR310" s="130"/>
      <c r="HS310" s="3"/>
      <c r="HT310" s="3"/>
      <c r="HU310" s="3"/>
      <c r="HV310" s="3"/>
      <c r="HW310" s="3"/>
      <c r="HX310" s="3"/>
      <c r="HY310" s="3"/>
      <c r="HZ310" s="3"/>
      <c r="IA310" s="3"/>
      <c r="IB310" s="3"/>
      <c r="IC310" s="3"/>
      <c r="ID310" s="3"/>
      <c r="IE310" s="3"/>
      <c r="IF310" s="3"/>
      <c r="IG310" s="3"/>
      <c r="IH310" s="3"/>
      <c r="II310" s="130"/>
      <c r="IJ310" s="130"/>
      <c r="IK310" s="130"/>
      <c r="IL310" s="130"/>
      <c r="IM310" s="130"/>
      <c r="IN310" s="130"/>
      <c r="IO310" s="130"/>
      <c r="IP310" s="130"/>
      <c r="IQ310" s="3"/>
      <c r="IR310" s="3"/>
      <c r="IS310" s="3"/>
      <c r="IT310" s="3"/>
      <c r="IU310" s="3"/>
      <c r="IV310" s="3"/>
    </row>
    <row r="311" spans="1:256" s="125" customFormat="1">
      <c r="A311" s="16">
        <v>95</v>
      </c>
      <c r="B311" s="17">
        <v>42982</v>
      </c>
      <c r="C311" s="18"/>
      <c r="D311" s="19" t="s">
        <v>427</v>
      </c>
      <c r="E311" s="20" t="s">
        <v>428</v>
      </c>
      <c r="F311" s="120" t="s">
        <v>429</v>
      </c>
      <c r="G311" s="63">
        <v>1707</v>
      </c>
      <c r="H311" s="121">
        <v>3152700</v>
      </c>
      <c r="I311" s="24">
        <v>3002571</v>
      </c>
      <c r="J311" s="24"/>
      <c r="K311" s="24">
        <f t="shared" si="26"/>
        <v>3002571</v>
      </c>
      <c r="L311" s="26"/>
      <c r="M311" s="24">
        <f t="shared" si="27"/>
        <v>0</v>
      </c>
      <c r="N311" s="124">
        <f t="shared" si="28"/>
        <v>3002571</v>
      </c>
      <c r="O311" s="108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130"/>
      <c r="AB311" s="130"/>
      <c r="AC311" s="130"/>
      <c r="AD311" s="130"/>
      <c r="AE311" s="130"/>
      <c r="AF311" s="130"/>
      <c r="AG311" s="130"/>
      <c r="AH311" s="130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130"/>
      <c r="AZ311" s="130"/>
      <c r="BA311" s="130"/>
      <c r="BB311" s="130"/>
      <c r="BC311" s="130"/>
      <c r="BD311" s="130"/>
      <c r="BE311" s="130"/>
      <c r="BF311" s="130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130"/>
      <c r="BX311" s="130"/>
      <c r="BY311" s="130"/>
      <c r="BZ311" s="130"/>
      <c r="CA311" s="130"/>
      <c r="CB311" s="130"/>
      <c r="CC311" s="130"/>
      <c r="CD311" s="130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130"/>
      <c r="CV311" s="130"/>
      <c r="CW311" s="130"/>
      <c r="CX311" s="130"/>
      <c r="CY311" s="130"/>
      <c r="CZ311" s="130"/>
      <c r="DA311" s="130"/>
      <c r="DB311" s="130"/>
      <c r="DC311" s="3"/>
      <c r="DD311" s="3"/>
      <c r="DE311" s="3"/>
      <c r="DF311" s="3"/>
      <c r="DG311" s="3"/>
      <c r="DH311" s="3"/>
      <c r="DI311" s="3"/>
      <c r="DJ311" s="3"/>
      <c r="DK311" s="3"/>
      <c r="DL311" s="3"/>
      <c r="DM311" s="3"/>
      <c r="DN311" s="3"/>
      <c r="DO311" s="3"/>
      <c r="DP311" s="3"/>
      <c r="DQ311" s="3"/>
      <c r="DR311" s="3"/>
      <c r="DS311" s="130"/>
      <c r="DT311" s="130"/>
      <c r="DU311" s="130"/>
      <c r="DV311" s="130"/>
      <c r="DW311" s="130"/>
      <c r="DX311" s="130"/>
      <c r="DY311" s="130"/>
      <c r="DZ311" s="130"/>
      <c r="EA311" s="3"/>
      <c r="EB311" s="3"/>
      <c r="EC311" s="3"/>
      <c r="ED311" s="3"/>
      <c r="EE311" s="3"/>
      <c r="EF311" s="3"/>
      <c r="EG311" s="3"/>
      <c r="EH311" s="3"/>
      <c r="EI311" s="3"/>
      <c r="EJ311" s="3"/>
      <c r="EK311" s="3"/>
      <c r="EL311" s="3"/>
      <c r="EM311" s="3"/>
      <c r="EN311" s="3"/>
      <c r="EO311" s="3"/>
      <c r="EP311" s="3"/>
      <c r="EQ311" s="130"/>
      <c r="ER311" s="130"/>
      <c r="ES311" s="130"/>
      <c r="ET311" s="130"/>
      <c r="EU311" s="130"/>
      <c r="EV311" s="130"/>
      <c r="EW311" s="130"/>
      <c r="EX311" s="130"/>
      <c r="EY311" s="3"/>
      <c r="EZ311" s="3"/>
      <c r="FA311" s="3"/>
      <c r="FB311" s="3"/>
      <c r="FC311" s="3"/>
      <c r="FD311" s="3"/>
      <c r="FE311" s="3"/>
      <c r="FF311" s="3"/>
      <c r="FG311" s="3"/>
      <c r="FH311" s="3"/>
      <c r="FI311" s="3"/>
      <c r="FJ311" s="3"/>
      <c r="FK311" s="3"/>
      <c r="FL311" s="3"/>
      <c r="FM311" s="3"/>
      <c r="FN311" s="3"/>
      <c r="FO311" s="130"/>
      <c r="FP311" s="130"/>
      <c r="FQ311" s="130"/>
      <c r="FR311" s="130"/>
      <c r="FS311" s="130"/>
      <c r="FT311" s="130"/>
      <c r="FU311" s="130"/>
      <c r="FV311" s="130"/>
      <c r="FW311" s="3"/>
      <c r="FX311" s="3"/>
      <c r="FY311" s="3"/>
      <c r="FZ311" s="3"/>
      <c r="GA311" s="3"/>
      <c r="GB311" s="3"/>
      <c r="GC311" s="3"/>
      <c r="GD311" s="3"/>
      <c r="GE311" s="3"/>
      <c r="GF311" s="3"/>
      <c r="GG311" s="3"/>
      <c r="GH311" s="3"/>
      <c r="GI311" s="3"/>
      <c r="GJ311" s="3"/>
      <c r="GK311" s="3"/>
      <c r="GL311" s="3"/>
      <c r="GM311" s="130"/>
      <c r="GN311" s="130"/>
      <c r="GO311" s="130"/>
      <c r="GP311" s="130"/>
      <c r="GQ311" s="130"/>
      <c r="GR311" s="130"/>
      <c r="GS311" s="130"/>
      <c r="GT311" s="130"/>
      <c r="GU311" s="3"/>
      <c r="GV311" s="3"/>
      <c r="GW311" s="3"/>
      <c r="GX311" s="3"/>
      <c r="GY311" s="3"/>
      <c r="GZ311" s="3"/>
      <c r="HA311" s="3"/>
      <c r="HB311" s="3"/>
      <c r="HC311" s="3"/>
      <c r="HD311" s="3"/>
      <c r="HE311" s="3"/>
      <c r="HF311" s="3"/>
      <c r="HG311" s="3"/>
      <c r="HH311" s="3"/>
      <c r="HI311" s="3"/>
      <c r="HJ311" s="3"/>
      <c r="HK311" s="130"/>
      <c r="HL311" s="130"/>
      <c r="HM311" s="130"/>
      <c r="HN311" s="130"/>
      <c r="HO311" s="130"/>
      <c r="HP311" s="130"/>
      <c r="HQ311" s="130"/>
      <c r="HR311" s="130"/>
      <c r="HS311" s="3"/>
      <c r="HT311" s="3"/>
      <c r="HU311" s="3"/>
      <c r="HV311" s="3"/>
      <c r="HW311" s="3"/>
      <c r="HX311" s="3"/>
      <c r="HY311" s="3"/>
      <c r="HZ311" s="3"/>
      <c r="IA311" s="3"/>
      <c r="IB311" s="3"/>
      <c r="IC311" s="3"/>
      <c r="ID311" s="3"/>
      <c r="IE311" s="3"/>
      <c r="IF311" s="3"/>
      <c r="IG311" s="3"/>
      <c r="IH311" s="3"/>
      <c r="II311" s="130"/>
      <c r="IJ311" s="130"/>
      <c r="IK311" s="130"/>
      <c r="IL311" s="130"/>
      <c r="IM311" s="130"/>
      <c r="IN311" s="130"/>
      <c r="IO311" s="130"/>
      <c r="IP311" s="130"/>
      <c r="IQ311" s="3"/>
      <c r="IR311" s="3"/>
      <c r="IS311" s="3"/>
      <c r="IT311" s="3"/>
      <c r="IU311" s="3"/>
      <c r="IV311" s="3"/>
    </row>
    <row r="312" spans="1:256" s="125" customFormat="1">
      <c r="A312" s="16">
        <v>96</v>
      </c>
      <c r="B312" s="17">
        <v>43048</v>
      </c>
      <c r="C312" s="18"/>
      <c r="D312" s="19" t="s">
        <v>427</v>
      </c>
      <c r="E312" s="20" t="s">
        <v>428</v>
      </c>
      <c r="F312" s="62" t="s">
        <v>430</v>
      </c>
      <c r="G312" s="63">
        <v>1708</v>
      </c>
      <c r="H312" s="121">
        <v>3115500</v>
      </c>
      <c r="I312" s="24">
        <v>2967143</v>
      </c>
      <c r="J312" s="24"/>
      <c r="K312" s="24">
        <f t="shared" si="26"/>
        <v>2967143</v>
      </c>
      <c r="L312" s="123"/>
      <c r="M312" s="24">
        <f t="shared" si="27"/>
        <v>0</v>
      </c>
      <c r="N312" s="124">
        <f t="shared" si="28"/>
        <v>2967143</v>
      </c>
      <c r="O312" s="107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130"/>
      <c r="AB312" s="130"/>
      <c r="AC312" s="130"/>
      <c r="AD312" s="130"/>
      <c r="AE312" s="130"/>
      <c r="AF312" s="130"/>
      <c r="AG312" s="130"/>
      <c r="AH312" s="130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130"/>
      <c r="AZ312" s="130"/>
      <c r="BA312" s="130"/>
      <c r="BB312" s="130"/>
      <c r="BC312" s="130"/>
      <c r="BD312" s="130"/>
      <c r="BE312" s="130"/>
      <c r="BF312" s="130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130"/>
      <c r="BX312" s="130"/>
      <c r="BY312" s="130"/>
      <c r="BZ312" s="130"/>
      <c r="CA312" s="130"/>
      <c r="CB312" s="130"/>
      <c r="CC312" s="130"/>
      <c r="CD312" s="130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130"/>
      <c r="CV312" s="130"/>
      <c r="CW312" s="130"/>
      <c r="CX312" s="130"/>
      <c r="CY312" s="130"/>
      <c r="CZ312" s="130"/>
      <c r="DA312" s="130"/>
      <c r="DB312" s="130"/>
      <c r="DC312" s="3"/>
      <c r="DD312" s="3"/>
      <c r="DE312" s="3"/>
      <c r="DF312" s="3"/>
      <c r="DG312" s="3"/>
      <c r="DH312" s="3"/>
      <c r="DI312" s="3"/>
      <c r="DJ312" s="3"/>
      <c r="DK312" s="3"/>
      <c r="DL312" s="3"/>
      <c r="DM312" s="3"/>
      <c r="DN312" s="3"/>
      <c r="DO312" s="3"/>
      <c r="DP312" s="3"/>
      <c r="DQ312" s="3"/>
      <c r="DR312" s="3"/>
      <c r="DS312" s="130"/>
      <c r="DT312" s="130"/>
      <c r="DU312" s="130"/>
      <c r="DV312" s="130"/>
      <c r="DW312" s="130"/>
      <c r="DX312" s="130"/>
      <c r="DY312" s="130"/>
      <c r="DZ312" s="130"/>
      <c r="EA312" s="3"/>
      <c r="EB312" s="3"/>
      <c r="EC312" s="3"/>
      <c r="ED312" s="3"/>
      <c r="EE312" s="3"/>
      <c r="EF312" s="3"/>
      <c r="EG312" s="3"/>
      <c r="EH312" s="3"/>
      <c r="EI312" s="3"/>
      <c r="EJ312" s="3"/>
      <c r="EK312" s="3"/>
      <c r="EL312" s="3"/>
      <c r="EM312" s="3"/>
      <c r="EN312" s="3"/>
      <c r="EO312" s="3"/>
      <c r="EP312" s="3"/>
      <c r="EQ312" s="130"/>
      <c r="ER312" s="130"/>
      <c r="ES312" s="130"/>
      <c r="ET312" s="130"/>
      <c r="EU312" s="130"/>
      <c r="EV312" s="130"/>
      <c r="EW312" s="130"/>
      <c r="EX312" s="130"/>
      <c r="EY312" s="3"/>
      <c r="EZ312" s="3"/>
      <c r="FA312" s="3"/>
      <c r="FB312" s="3"/>
      <c r="FC312" s="3"/>
      <c r="FD312" s="3"/>
      <c r="FE312" s="3"/>
      <c r="FF312" s="3"/>
      <c r="FG312" s="3"/>
      <c r="FH312" s="3"/>
      <c r="FI312" s="3"/>
      <c r="FJ312" s="3"/>
      <c r="FK312" s="3"/>
      <c r="FL312" s="3"/>
      <c r="FM312" s="3"/>
      <c r="FN312" s="3"/>
      <c r="FO312" s="130"/>
      <c r="FP312" s="130"/>
      <c r="FQ312" s="130"/>
      <c r="FR312" s="130"/>
      <c r="FS312" s="130"/>
      <c r="FT312" s="130"/>
      <c r="FU312" s="130"/>
      <c r="FV312" s="130"/>
      <c r="FW312" s="3"/>
      <c r="FX312" s="3"/>
      <c r="FY312" s="3"/>
      <c r="FZ312" s="3"/>
      <c r="GA312" s="3"/>
      <c r="GB312" s="3"/>
      <c r="GC312" s="3"/>
      <c r="GD312" s="3"/>
      <c r="GE312" s="3"/>
      <c r="GF312" s="3"/>
      <c r="GG312" s="3"/>
      <c r="GH312" s="3"/>
      <c r="GI312" s="3"/>
      <c r="GJ312" s="3"/>
      <c r="GK312" s="3"/>
      <c r="GL312" s="3"/>
      <c r="GM312" s="130"/>
      <c r="GN312" s="130"/>
      <c r="GO312" s="130"/>
      <c r="GP312" s="130"/>
      <c r="GQ312" s="130"/>
      <c r="GR312" s="130"/>
      <c r="GS312" s="130"/>
      <c r="GT312" s="130"/>
      <c r="GU312" s="3"/>
      <c r="GV312" s="3"/>
      <c r="GW312" s="3"/>
      <c r="GX312" s="3"/>
      <c r="GY312" s="3"/>
      <c r="GZ312" s="3"/>
      <c r="HA312" s="3"/>
      <c r="HB312" s="3"/>
      <c r="HC312" s="3"/>
      <c r="HD312" s="3"/>
      <c r="HE312" s="3"/>
      <c r="HF312" s="3"/>
      <c r="HG312" s="3"/>
      <c r="HH312" s="3"/>
      <c r="HI312" s="3"/>
      <c r="HJ312" s="3"/>
      <c r="HK312" s="130"/>
      <c r="HL312" s="130"/>
      <c r="HM312" s="130"/>
      <c r="HN312" s="130"/>
      <c r="HO312" s="130"/>
      <c r="HP312" s="130"/>
      <c r="HQ312" s="130"/>
      <c r="HR312" s="130"/>
      <c r="HS312" s="3"/>
      <c r="HT312" s="3"/>
      <c r="HU312" s="3"/>
      <c r="HV312" s="3"/>
      <c r="HW312" s="3"/>
      <c r="HX312" s="3"/>
      <c r="HY312" s="3"/>
      <c r="HZ312" s="3"/>
      <c r="IA312" s="3"/>
      <c r="IB312" s="3"/>
      <c r="IC312" s="3"/>
      <c r="ID312" s="3"/>
      <c r="IE312" s="3"/>
      <c r="IF312" s="3"/>
      <c r="IG312" s="3"/>
      <c r="IH312" s="3"/>
      <c r="II312" s="130"/>
      <c r="IJ312" s="130"/>
      <c r="IK312" s="130"/>
      <c r="IL312" s="130"/>
      <c r="IM312" s="130"/>
      <c r="IN312" s="130"/>
      <c r="IO312" s="130"/>
      <c r="IP312" s="130"/>
      <c r="IQ312" s="3"/>
      <c r="IR312" s="3"/>
      <c r="IS312" s="3"/>
      <c r="IT312" s="3"/>
      <c r="IU312" s="3"/>
      <c r="IV312" s="3"/>
    </row>
    <row r="313" spans="1:256" s="125" customFormat="1">
      <c r="A313" s="16">
        <v>97</v>
      </c>
      <c r="B313" s="17">
        <v>43055</v>
      </c>
      <c r="C313" s="18"/>
      <c r="D313" s="19" t="s">
        <v>427</v>
      </c>
      <c r="E313" s="20" t="s">
        <v>428</v>
      </c>
      <c r="F313" s="168" t="s">
        <v>431</v>
      </c>
      <c r="G313" s="63">
        <v>1708</v>
      </c>
      <c r="H313" s="121">
        <v>3115500</v>
      </c>
      <c r="I313" s="24">
        <v>2967143</v>
      </c>
      <c r="J313" s="24"/>
      <c r="K313" s="24">
        <f t="shared" si="26"/>
        <v>2967143</v>
      </c>
      <c r="L313" s="123"/>
      <c r="M313" s="24">
        <f t="shared" si="27"/>
        <v>0</v>
      </c>
      <c r="N313" s="124">
        <f t="shared" si="28"/>
        <v>2967143</v>
      </c>
      <c r="O313" s="107"/>
      <c r="P313" s="3"/>
      <c r="Q313" s="140"/>
      <c r="R313" s="3"/>
      <c r="S313" s="3"/>
      <c r="T313" s="3"/>
      <c r="U313" s="3"/>
      <c r="V313" s="3"/>
      <c r="W313" s="3"/>
      <c r="X313" s="3"/>
      <c r="Y313" s="3"/>
      <c r="Z313" s="3"/>
      <c r="AA313" s="130"/>
      <c r="AB313" s="130"/>
      <c r="AC313" s="130"/>
      <c r="AD313" s="130"/>
      <c r="AE313" s="130"/>
      <c r="AF313" s="130"/>
      <c r="AG313" s="130"/>
      <c r="AH313" s="130"/>
      <c r="AI313" s="3"/>
      <c r="AJ313" s="3"/>
      <c r="AK313" s="3"/>
      <c r="AY313" s="167"/>
      <c r="AZ313" s="167"/>
      <c r="BA313" s="167"/>
      <c r="BB313" s="167"/>
      <c r="BC313" s="167"/>
      <c r="BD313" s="167"/>
      <c r="BE313" s="167"/>
      <c r="BF313" s="167"/>
      <c r="BW313" s="167"/>
      <c r="BX313" s="167"/>
      <c r="BY313" s="167"/>
      <c r="BZ313" s="167"/>
      <c r="CA313" s="167"/>
      <c r="CB313" s="167"/>
      <c r="CC313" s="167"/>
      <c r="CD313" s="167"/>
      <c r="CU313" s="167"/>
      <c r="CV313" s="167"/>
      <c r="CW313" s="167"/>
      <c r="CX313" s="167"/>
      <c r="CY313" s="167"/>
      <c r="CZ313" s="167"/>
      <c r="DA313" s="167"/>
      <c r="DB313" s="167"/>
      <c r="DS313" s="167"/>
      <c r="DT313" s="167"/>
      <c r="DU313" s="167"/>
      <c r="DV313" s="167"/>
      <c r="DW313" s="167"/>
      <c r="DX313" s="167"/>
      <c r="DY313" s="167"/>
      <c r="DZ313" s="167"/>
      <c r="EQ313" s="167"/>
      <c r="ER313" s="167"/>
      <c r="ES313" s="167"/>
      <c r="ET313" s="167"/>
      <c r="EU313" s="167"/>
      <c r="EV313" s="167"/>
      <c r="EW313" s="167"/>
      <c r="EX313" s="167"/>
      <c r="FO313" s="167"/>
      <c r="FP313" s="167"/>
      <c r="FQ313" s="167"/>
      <c r="FR313" s="167"/>
      <c r="FS313" s="167"/>
      <c r="FT313" s="167"/>
      <c r="FU313" s="167"/>
      <c r="FV313" s="167"/>
      <c r="GM313" s="167"/>
      <c r="GN313" s="167"/>
      <c r="GO313" s="167"/>
      <c r="GP313" s="167"/>
      <c r="GQ313" s="167"/>
      <c r="GR313" s="167"/>
      <c r="GS313" s="167"/>
      <c r="GT313" s="167"/>
      <c r="HK313" s="167"/>
      <c r="HL313" s="167"/>
      <c r="HM313" s="167"/>
      <c r="HN313" s="167"/>
      <c r="HO313" s="167"/>
      <c r="HP313" s="167"/>
      <c r="HQ313" s="167"/>
      <c r="HR313" s="167"/>
      <c r="II313" s="167"/>
      <c r="IJ313" s="167"/>
      <c r="IK313" s="167"/>
      <c r="IL313" s="167"/>
      <c r="IM313" s="167"/>
      <c r="IN313" s="167"/>
      <c r="IO313" s="167"/>
      <c r="IP313" s="167"/>
    </row>
    <row r="314" spans="1:256" s="125" customFormat="1">
      <c r="A314" s="16">
        <v>98</v>
      </c>
      <c r="B314" s="29">
        <v>43077</v>
      </c>
      <c r="C314" s="18"/>
      <c r="D314" s="19" t="s">
        <v>427</v>
      </c>
      <c r="E314" s="20" t="s">
        <v>428</v>
      </c>
      <c r="F314" s="120" t="s">
        <v>432</v>
      </c>
      <c r="G314" s="63">
        <v>1709</v>
      </c>
      <c r="H314" s="121">
        <v>3111400</v>
      </c>
      <c r="I314" s="24"/>
      <c r="J314" s="24">
        <f>SUM(H314)/1.05</f>
        <v>2963238.0952380951</v>
      </c>
      <c r="K314" s="24">
        <f t="shared" si="26"/>
        <v>2963238.0952380951</v>
      </c>
      <c r="L314" s="123"/>
      <c r="M314" s="24">
        <f t="shared" si="27"/>
        <v>0</v>
      </c>
      <c r="N314" s="124">
        <f t="shared" si="28"/>
        <v>2963238.0952380951</v>
      </c>
      <c r="O314" s="107"/>
      <c r="P314" s="3"/>
      <c r="Q314" s="140"/>
      <c r="R314" s="3"/>
      <c r="S314" s="3"/>
      <c r="T314" s="3"/>
      <c r="U314" s="3"/>
      <c r="V314" s="3"/>
      <c r="W314" s="3"/>
      <c r="X314" s="3"/>
      <c r="Y314" s="3"/>
      <c r="Z314" s="3"/>
      <c r="AA314" s="130"/>
      <c r="AB314" s="130"/>
      <c r="AC314" s="130"/>
      <c r="AD314" s="130"/>
      <c r="AE314" s="130"/>
      <c r="AF314" s="130"/>
      <c r="AG314" s="130"/>
      <c r="AH314" s="130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130"/>
      <c r="AZ314" s="130"/>
      <c r="BA314" s="130"/>
      <c r="BB314" s="130"/>
      <c r="BC314" s="130"/>
      <c r="BD314" s="130"/>
      <c r="BE314" s="130"/>
      <c r="BF314" s="130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130"/>
      <c r="BX314" s="130"/>
      <c r="BY314" s="130"/>
      <c r="BZ314" s="130"/>
      <c r="CA314" s="130"/>
      <c r="CB314" s="130"/>
      <c r="CC314" s="130"/>
      <c r="CD314" s="130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130"/>
      <c r="CV314" s="130"/>
      <c r="CW314" s="130"/>
      <c r="CX314" s="130"/>
      <c r="CY314" s="130"/>
      <c r="CZ314" s="130"/>
      <c r="DA314" s="130"/>
      <c r="DB314" s="130"/>
      <c r="DC314" s="3"/>
      <c r="DD314" s="3"/>
      <c r="DE314" s="3"/>
      <c r="DF314" s="3"/>
      <c r="DG314" s="3"/>
      <c r="DH314" s="3"/>
      <c r="DI314" s="3"/>
      <c r="DJ314" s="3"/>
      <c r="DK314" s="3"/>
      <c r="DL314" s="3"/>
      <c r="DM314" s="3"/>
      <c r="DN314" s="3"/>
      <c r="DO314" s="3"/>
      <c r="DP314" s="3"/>
      <c r="DQ314" s="3"/>
      <c r="DR314" s="3"/>
      <c r="DS314" s="130"/>
      <c r="DT314" s="130"/>
      <c r="DU314" s="130"/>
      <c r="DV314" s="130"/>
      <c r="DW314" s="130"/>
      <c r="DX314" s="130"/>
      <c r="DY314" s="130"/>
      <c r="DZ314" s="130"/>
      <c r="EA314" s="3"/>
      <c r="EB314" s="3"/>
      <c r="EC314" s="3"/>
      <c r="ED314" s="3"/>
      <c r="EE314" s="3"/>
      <c r="EF314" s="3"/>
      <c r="EG314" s="3"/>
      <c r="EH314" s="3"/>
      <c r="EI314" s="3"/>
      <c r="EJ314" s="3"/>
      <c r="EK314" s="3"/>
      <c r="EL314" s="3"/>
      <c r="EM314" s="3"/>
      <c r="EN314" s="3"/>
      <c r="EO314" s="3"/>
      <c r="EP314" s="3"/>
      <c r="EQ314" s="130"/>
      <c r="ER314" s="130"/>
      <c r="ES314" s="130"/>
      <c r="ET314" s="130"/>
      <c r="EU314" s="130"/>
      <c r="EV314" s="130"/>
      <c r="EW314" s="130"/>
      <c r="EX314" s="130"/>
      <c r="EY314" s="3"/>
      <c r="EZ314" s="3"/>
      <c r="FA314" s="3"/>
      <c r="FB314" s="3"/>
      <c r="FC314" s="3"/>
      <c r="FD314" s="3"/>
      <c r="FE314" s="3"/>
      <c r="FF314" s="3"/>
      <c r="FG314" s="3"/>
      <c r="FH314" s="3"/>
      <c r="FI314" s="3"/>
      <c r="FJ314" s="3"/>
      <c r="FK314" s="3"/>
      <c r="FL314" s="3"/>
      <c r="FM314" s="3"/>
      <c r="FN314" s="3"/>
      <c r="FO314" s="130"/>
      <c r="FP314" s="130"/>
      <c r="FQ314" s="130"/>
      <c r="FR314" s="130"/>
      <c r="FS314" s="130"/>
      <c r="FT314" s="130"/>
      <c r="FU314" s="130"/>
      <c r="FV314" s="130"/>
      <c r="FW314" s="3"/>
      <c r="FX314" s="3"/>
      <c r="FY314" s="3"/>
      <c r="FZ314" s="3"/>
      <c r="GA314" s="3"/>
      <c r="GB314" s="3"/>
      <c r="GC314" s="3"/>
      <c r="GD314" s="3"/>
      <c r="GE314" s="3"/>
      <c r="GF314" s="3"/>
      <c r="GG314" s="3"/>
      <c r="GH314" s="3"/>
      <c r="GI314" s="3"/>
      <c r="GJ314" s="3"/>
      <c r="GK314" s="3"/>
      <c r="GL314" s="3"/>
      <c r="GM314" s="130"/>
      <c r="GN314" s="130"/>
      <c r="GO314" s="130"/>
      <c r="GP314" s="130"/>
      <c r="GQ314" s="130"/>
      <c r="GR314" s="130"/>
      <c r="GS314" s="130"/>
      <c r="GT314" s="130"/>
      <c r="GU314" s="3"/>
      <c r="GV314" s="3"/>
      <c r="GW314" s="3"/>
      <c r="GX314" s="3"/>
      <c r="GY314" s="3"/>
      <c r="GZ314" s="3"/>
      <c r="HA314" s="3"/>
      <c r="HB314" s="3"/>
      <c r="HC314" s="3"/>
      <c r="HD314" s="3"/>
      <c r="HE314" s="3"/>
      <c r="HF314" s="3"/>
      <c r="HG314" s="3"/>
      <c r="HH314" s="3"/>
      <c r="HI314" s="3"/>
      <c r="HJ314" s="3"/>
      <c r="HK314" s="130"/>
      <c r="HL314" s="130"/>
      <c r="HM314" s="130"/>
      <c r="HN314" s="130"/>
      <c r="HO314" s="130"/>
      <c r="HP314" s="130"/>
      <c r="HQ314" s="130"/>
      <c r="HR314" s="130"/>
      <c r="HS314" s="3"/>
      <c r="HT314" s="3"/>
      <c r="HU314" s="3"/>
      <c r="HV314" s="3"/>
      <c r="HW314" s="3"/>
      <c r="HX314" s="3"/>
      <c r="HY314" s="3"/>
      <c r="HZ314" s="3"/>
      <c r="IA314" s="3"/>
      <c r="IB314" s="3"/>
      <c r="IC314" s="3"/>
      <c r="ID314" s="3"/>
      <c r="IE314" s="3"/>
      <c r="IF314" s="3"/>
      <c r="IG314" s="3"/>
      <c r="IH314" s="3"/>
      <c r="II314" s="130"/>
      <c r="IJ314" s="130"/>
      <c r="IK314" s="130"/>
      <c r="IL314" s="130"/>
      <c r="IM314" s="130"/>
      <c r="IN314" s="130"/>
      <c r="IO314" s="130"/>
      <c r="IP314" s="130"/>
      <c r="IQ314" s="3"/>
      <c r="IR314" s="3"/>
      <c r="IS314" s="3"/>
      <c r="IT314" s="3"/>
      <c r="IU314" s="3"/>
      <c r="IV314" s="3"/>
    </row>
    <row r="315" spans="1:256" s="125" customFormat="1">
      <c r="A315" s="16">
        <v>99</v>
      </c>
      <c r="B315" s="29">
        <v>43074</v>
      </c>
      <c r="C315" s="18"/>
      <c r="D315" s="19" t="s">
        <v>427</v>
      </c>
      <c r="E315" s="20" t="s">
        <v>428</v>
      </c>
      <c r="F315" s="82" t="s">
        <v>433</v>
      </c>
      <c r="G315" s="63">
        <v>1709</v>
      </c>
      <c r="H315" s="121">
        <v>3115500</v>
      </c>
      <c r="I315" s="24"/>
      <c r="J315" s="24">
        <f>SUM(H315)/1.05</f>
        <v>2967142.8571428568</v>
      </c>
      <c r="K315" s="24">
        <f t="shared" si="26"/>
        <v>2967142.8571428568</v>
      </c>
      <c r="L315" s="123"/>
      <c r="M315" s="24">
        <f t="shared" si="27"/>
        <v>0</v>
      </c>
      <c r="N315" s="124">
        <f t="shared" si="28"/>
        <v>2967142.8571428568</v>
      </c>
      <c r="O315" s="107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130"/>
      <c r="AB315" s="130"/>
      <c r="AC315" s="130"/>
      <c r="AD315" s="130"/>
      <c r="AE315" s="130"/>
      <c r="AF315" s="167"/>
      <c r="AG315" s="167"/>
      <c r="AH315" s="167"/>
      <c r="AY315" s="167"/>
      <c r="AZ315" s="167"/>
      <c r="BA315" s="167"/>
      <c r="BB315" s="167"/>
      <c r="BC315" s="167"/>
      <c r="BD315" s="167"/>
      <c r="BE315" s="167"/>
      <c r="BF315" s="167"/>
      <c r="BW315" s="167"/>
      <c r="BX315" s="167"/>
      <c r="BY315" s="167"/>
      <c r="BZ315" s="167"/>
      <c r="CA315" s="167"/>
      <c r="CB315" s="167"/>
      <c r="CC315" s="167"/>
      <c r="CD315" s="167"/>
      <c r="CU315" s="167"/>
      <c r="CV315" s="167"/>
      <c r="CW315" s="167"/>
      <c r="CX315" s="167"/>
      <c r="CY315" s="167"/>
      <c r="CZ315" s="167"/>
      <c r="DA315" s="167"/>
      <c r="DB315" s="167"/>
      <c r="DS315" s="167"/>
      <c r="DT315" s="167"/>
      <c r="DU315" s="167"/>
      <c r="DV315" s="167"/>
      <c r="DW315" s="167"/>
      <c r="DX315" s="167"/>
      <c r="DY315" s="167"/>
      <c r="DZ315" s="167"/>
      <c r="EQ315" s="167"/>
      <c r="ER315" s="167"/>
      <c r="ES315" s="167"/>
      <c r="ET315" s="167"/>
      <c r="EU315" s="167"/>
      <c r="EV315" s="167"/>
      <c r="EW315" s="167"/>
      <c r="EX315" s="167"/>
      <c r="FO315" s="167"/>
      <c r="FP315" s="167"/>
      <c r="FQ315" s="167"/>
      <c r="FR315" s="167"/>
      <c r="FS315" s="167"/>
      <c r="FT315" s="167"/>
      <c r="FU315" s="167"/>
      <c r="FV315" s="167"/>
      <c r="GM315" s="167"/>
      <c r="GN315" s="167"/>
      <c r="GO315" s="167"/>
      <c r="GP315" s="167"/>
      <c r="GQ315" s="167"/>
      <c r="GR315" s="167"/>
      <c r="GS315" s="167"/>
      <c r="GT315" s="167"/>
      <c r="HK315" s="167"/>
      <c r="HL315" s="167"/>
      <c r="HM315" s="167"/>
      <c r="HN315" s="167"/>
      <c r="HO315" s="167"/>
      <c r="HP315" s="167"/>
      <c r="HQ315" s="167"/>
      <c r="HR315" s="167"/>
      <c r="II315" s="167"/>
      <c r="IJ315" s="167"/>
      <c r="IK315" s="167"/>
      <c r="IL315" s="167"/>
      <c r="IM315" s="167"/>
      <c r="IN315" s="167"/>
      <c r="IO315" s="167"/>
      <c r="IP315" s="167"/>
    </row>
    <row r="316" spans="1:256" s="125" customFormat="1">
      <c r="A316" s="16">
        <v>100</v>
      </c>
      <c r="B316" s="29">
        <v>43075</v>
      </c>
      <c r="C316" s="18"/>
      <c r="D316" s="19" t="s">
        <v>427</v>
      </c>
      <c r="E316" s="20" t="s">
        <v>428</v>
      </c>
      <c r="F316" s="82" t="s">
        <v>434</v>
      </c>
      <c r="G316" s="58">
        <v>1709</v>
      </c>
      <c r="H316" s="121">
        <v>3111400</v>
      </c>
      <c r="I316" s="24"/>
      <c r="J316" s="24">
        <f>SUM(H316)/1.05</f>
        <v>2963238.0952380951</v>
      </c>
      <c r="K316" s="24">
        <f t="shared" si="26"/>
        <v>2963238.0952380951</v>
      </c>
      <c r="L316" s="123"/>
      <c r="M316" s="24">
        <f t="shared" si="27"/>
        <v>0</v>
      </c>
      <c r="N316" s="124">
        <f t="shared" si="28"/>
        <v>2963238.0952380951</v>
      </c>
      <c r="O316" s="107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130"/>
      <c r="AB316" s="130"/>
      <c r="AC316" s="130"/>
      <c r="AD316" s="130"/>
      <c r="AE316" s="130"/>
      <c r="AF316" s="130"/>
      <c r="AG316" s="130"/>
      <c r="AH316" s="130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130"/>
      <c r="AZ316" s="130"/>
      <c r="BA316" s="130"/>
      <c r="BB316" s="130"/>
      <c r="BC316" s="130"/>
      <c r="BD316" s="130"/>
      <c r="BE316" s="130"/>
      <c r="BF316" s="130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130"/>
      <c r="BX316" s="130"/>
      <c r="BY316" s="130"/>
      <c r="BZ316" s="130"/>
      <c r="CA316" s="130"/>
      <c r="CB316" s="130"/>
      <c r="CC316" s="130"/>
      <c r="CD316" s="130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130"/>
      <c r="CV316" s="130"/>
      <c r="CW316" s="130"/>
      <c r="CX316" s="130"/>
      <c r="CY316" s="130"/>
      <c r="CZ316" s="130"/>
      <c r="DA316" s="130"/>
      <c r="DB316" s="130"/>
      <c r="DC316" s="3"/>
      <c r="DD316" s="3"/>
      <c r="DE316" s="3"/>
      <c r="DF316" s="3"/>
      <c r="DG316" s="3"/>
      <c r="DH316" s="3"/>
      <c r="DI316" s="3"/>
      <c r="DJ316" s="3"/>
      <c r="DK316" s="3"/>
      <c r="DL316" s="3"/>
      <c r="DM316" s="3"/>
      <c r="DN316" s="3"/>
      <c r="DO316" s="3"/>
      <c r="DP316" s="3"/>
      <c r="DQ316" s="3"/>
      <c r="DR316" s="3"/>
      <c r="DS316" s="130"/>
      <c r="DT316" s="130"/>
      <c r="DU316" s="130"/>
      <c r="DV316" s="130"/>
      <c r="DW316" s="130"/>
      <c r="DX316" s="130"/>
      <c r="DY316" s="130"/>
      <c r="DZ316" s="130"/>
      <c r="EA316" s="3"/>
      <c r="EB316" s="3"/>
      <c r="EC316" s="3"/>
      <c r="ED316" s="3"/>
      <c r="EE316" s="3"/>
      <c r="EF316" s="3"/>
      <c r="EG316" s="3"/>
      <c r="EH316" s="3"/>
      <c r="EI316" s="3"/>
      <c r="EJ316" s="3"/>
      <c r="EK316" s="3"/>
      <c r="EL316" s="3"/>
      <c r="EM316" s="3"/>
      <c r="EN316" s="3"/>
      <c r="EO316" s="3"/>
      <c r="EP316" s="3"/>
      <c r="EQ316" s="130"/>
      <c r="ER316" s="130"/>
      <c r="ES316" s="130"/>
      <c r="ET316" s="130"/>
      <c r="EU316" s="130"/>
      <c r="EV316" s="130"/>
      <c r="EW316" s="130"/>
      <c r="EX316" s="130"/>
      <c r="EY316" s="3"/>
      <c r="EZ316" s="3"/>
      <c r="FA316" s="3"/>
      <c r="FB316" s="3"/>
      <c r="FC316" s="3"/>
      <c r="FD316" s="3"/>
      <c r="FE316" s="3"/>
      <c r="FF316" s="3"/>
      <c r="FG316" s="3"/>
      <c r="FH316" s="3"/>
      <c r="FI316" s="3"/>
      <c r="FJ316" s="3"/>
      <c r="FK316" s="3"/>
      <c r="FL316" s="3"/>
      <c r="FM316" s="3"/>
      <c r="FN316" s="3"/>
      <c r="FO316" s="130"/>
      <c r="FP316" s="130"/>
      <c r="FQ316" s="130"/>
      <c r="FR316" s="130"/>
      <c r="FS316" s="130"/>
      <c r="FT316" s="130"/>
      <c r="FU316" s="130"/>
      <c r="FV316" s="130"/>
      <c r="FW316" s="3"/>
      <c r="FX316" s="3"/>
      <c r="FY316" s="3"/>
      <c r="FZ316" s="3"/>
      <c r="GA316" s="3"/>
      <c r="GB316" s="3"/>
      <c r="GC316" s="3"/>
      <c r="GD316" s="3"/>
      <c r="GE316" s="3"/>
      <c r="GF316" s="3"/>
      <c r="GG316" s="3"/>
      <c r="GH316" s="3"/>
      <c r="GI316" s="3"/>
      <c r="GJ316" s="3"/>
      <c r="GK316" s="3"/>
      <c r="GL316" s="3"/>
      <c r="GM316" s="130"/>
      <c r="GN316" s="130"/>
      <c r="GO316" s="130"/>
      <c r="GP316" s="130"/>
      <c r="GQ316" s="130"/>
      <c r="GR316" s="130"/>
      <c r="GS316" s="130"/>
      <c r="GT316" s="130"/>
      <c r="GU316" s="3"/>
      <c r="GV316" s="3"/>
      <c r="GW316" s="3"/>
      <c r="GX316" s="3"/>
      <c r="GY316" s="3"/>
      <c r="GZ316" s="3"/>
      <c r="HA316" s="3"/>
      <c r="HB316" s="3"/>
      <c r="HC316" s="3"/>
      <c r="HD316" s="3"/>
      <c r="HE316" s="3"/>
      <c r="HF316" s="3"/>
      <c r="HG316" s="3"/>
      <c r="HH316" s="3"/>
      <c r="HI316" s="3"/>
      <c r="HJ316" s="3"/>
      <c r="HK316" s="130"/>
      <c r="HL316" s="130"/>
      <c r="HM316" s="130"/>
      <c r="HN316" s="130"/>
      <c r="HO316" s="130"/>
      <c r="HP316" s="130"/>
      <c r="HQ316" s="130"/>
      <c r="HR316" s="130"/>
      <c r="HS316" s="3"/>
      <c r="HT316" s="3"/>
      <c r="HU316" s="3"/>
      <c r="HV316" s="3"/>
      <c r="HW316" s="3"/>
      <c r="HX316" s="3"/>
      <c r="HY316" s="3"/>
      <c r="HZ316" s="3"/>
      <c r="IA316" s="3"/>
      <c r="IB316" s="3"/>
      <c r="IC316" s="3"/>
      <c r="ID316" s="3"/>
      <c r="IE316" s="3"/>
      <c r="IF316" s="3"/>
      <c r="IG316" s="3"/>
      <c r="IH316" s="3"/>
      <c r="II316" s="130"/>
      <c r="IJ316" s="130"/>
      <c r="IK316" s="130"/>
      <c r="IL316" s="130"/>
      <c r="IM316" s="130"/>
      <c r="IN316" s="130"/>
      <c r="IO316" s="130"/>
      <c r="IP316" s="130"/>
      <c r="IQ316" s="3"/>
      <c r="IR316" s="3"/>
      <c r="IS316" s="3"/>
      <c r="IT316" s="3"/>
      <c r="IU316" s="3"/>
      <c r="IV316" s="3"/>
    </row>
    <row r="317" spans="1:256" s="125" customFormat="1">
      <c r="A317" s="16">
        <v>101</v>
      </c>
      <c r="B317" s="29">
        <v>43006</v>
      </c>
      <c r="C317" s="18"/>
      <c r="D317" s="19" t="s">
        <v>435</v>
      </c>
      <c r="E317" s="20" t="s">
        <v>436</v>
      </c>
      <c r="F317" s="82" t="s">
        <v>437</v>
      </c>
      <c r="G317" s="58">
        <v>1707</v>
      </c>
      <c r="H317" s="121">
        <v>2408700</v>
      </c>
      <c r="I317" s="24">
        <v>2294000</v>
      </c>
      <c r="J317" s="24"/>
      <c r="K317" s="24">
        <f t="shared" si="26"/>
        <v>2294000</v>
      </c>
      <c r="L317" s="123"/>
      <c r="M317" s="24">
        <f t="shared" si="27"/>
        <v>0</v>
      </c>
      <c r="N317" s="124">
        <f t="shared" si="28"/>
        <v>2294000</v>
      </c>
      <c r="O317" s="108"/>
      <c r="P317" s="3"/>
      <c r="Q317" s="140"/>
      <c r="R317" s="3"/>
      <c r="S317" s="3"/>
      <c r="T317" s="3"/>
      <c r="U317" s="3"/>
      <c r="V317" s="3"/>
      <c r="W317" s="3"/>
      <c r="X317" s="3"/>
      <c r="Y317" s="3"/>
      <c r="Z317" s="3"/>
      <c r="AA317" s="130"/>
      <c r="AB317" s="130"/>
      <c r="AC317" s="130"/>
      <c r="AD317" s="130"/>
      <c r="AE317" s="130"/>
      <c r="AF317" s="130"/>
      <c r="AG317" s="130"/>
      <c r="AH317" s="130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130"/>
      <c r="AZ317" s="130"/>
      <c r="BA317" s="130"/>
      <c r="BB317" s="130"/>
      <c r="BC317" s="130"/>
      <c r="BD317" s="130"/>
      <c r="BE317" s="130"/>
      <c r="BF317" s="130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130"/>
      <c r="BX317" s="130"/>
      <c r="BY317" s="130"/>
      <c r="BZ317" s="130"/>
      <c r="CA317" s="130"/>
      <c r="CB317" s="130"/>
      <c r="CC317" s="130"/>
      <c r="CD317" s="130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130"/>
      <c r="CV317" s="130"/>
      <c r="CW317" s="130"/>
      <c r="CX317" s="130"/>
      <c r="CY317" s="130"/>
      <c r="CZ317" s="130"/>
      <c r="DA317" s="130"/>
      <c r="DB317" s="130"/>
      <c r="DC317" s="3"/>
      <c r="DD317" s="3"/>
      <c r="DE317" s="3"/>
      <c r="DF317" s="3"/>
      <c r="DG317" s="3"/>
      <c r="DH317" s="3"/>
      <c r="DI317" s="3"/>
      <c r="DJ317" s="3"/>
      <c r="DK317" s="3"/>
      <c r="DL317" s="3"/>
      <c r="DM317" s="3"/>
      <c r="DN317" s="3"/>
      <c r="DO317" s="3"/>
      <c r="DP317" s="3"/>
      <c r="DQ317" s="3"/>
      <c r="DR317" s="3"/>
      <c r="DS317" s="130"/>
      <c r="DT317" s="130"/>
      <c r="DU317" s="130"/>
      <c r="DV317" s="130"/>
      <c r="DW317" s="130"/>
      <c r="DX317" s="130"/>
      <c r="DY317" s="130"/>
      <c r="DZ317" s="130"/>
      <c r="EA317" s="3"/>
      <c r="EB317" s="3"/>
      <c r="EC317" s="3"/>
      <c r="ED317" s="3"/>
      <c r="EE317" s="3"/>
      <c r="EF317" s="3"/>
      <c r="EG317" s="3"/>
      <c r="EH317" s="3"/>
      <c r="EI317" s="3"/>
      <c r="EJ317" s="3"/>
      <c r="EK317" s="3"/>
      <c r="EL317" s="3"/>
      <c r="EM317" s="3"/>
      <c r="EN317" s="3"/>
      <c r="EO317" s="3"/>
      <c r="EP317" s="3"/>
      <c r="EQ317" s="130"/>
      <c r="ER317" s="130"/>
      <c r="ES317" s="130"/>
      <c r="ET317" s="130"/>
      <c r="EU317" s="130"/>
      <c r="EV317" s="130"/>
      <c r="EW317" s="130"/>
      <c r="EX317" s="130"/>
      <c r="EY317" s="3"/>
      <c r="EZ317" s="3"/>
      <c r="FA317" s="3"/>
      <c r="FB317" s="3"/>
      <c r="FC317" s="3"/>
      <c r="FD317" s="3"/>
      <c r="FE317" s="3"/>
      <c r="FF317" s="3"/>
      <c r="FG317" s="3"/>
      <c r="FH317" s="3"/>
      <c r="FI317" s="3"/>
      <c r="FJ317" s="3"/>
      <c r="FK317" s="3"/>
      <c r="FL317" s="3"/>
      <c r="FM317" s="3"/>
      <c r="FN317" s="3"/>
      <c r="FO317" s="130"/>
      <c r="FP317" s="130"/>
      <c r="FQ317" s="130"/>
      <c r="FR317" s="130"/>
      <c r="FS317" s="130"/>
      <c r="FT317" s="130"/>
      <c r="FU317" s="130"/>
      <c r="FV317" s="130"/>
      <c r="FW317" s="3"/>
      <c r="FX317" s="3"/>
      <c r="FY317" s="3"/>
      <c r="FZ317" s="3"/>
      <c r="GA317" s="3"/>
      <c r="GB317" s="3"/>
      <c r="GC317" s="3"/>
      <c r="GD317" s="3"/>
      <c r="GE317" s="3"/>
      <c r="GF317" s="3"/>
      <c r="GG317" s="3"/>
      <c r="GH317" s="3"/>
      <c r="GI317" s="3"/>
      <c r="GJ317" s="3"/>
      <c r="GK317" s="3"/>
      <c r="GL317" s="3"/>
      <c r="GM317" s="130"/>
      <c r="GN317" s="130"/>
      <c r="GO317" s="130"/>
      <c r="GP317" s="130"/>
      <c r="GQ317" s="130"/>
      <c r="GR317" s="130"/>
      <c r="GS317" s="130"/>
      <c r="GT317" s="130"/>
      <c r="GU317" s="3"/>
      <c r="GV317" s="3"/>
      <c r="GW317" s="3"/>
      <c r="GX317" s="3"/>
      <c r="GY317" s="3"/>
      <c r="GZ317" s="3"/>
      <c r="HA317" s="3"/>
      <c r="HB317" s="3"/>
      <c r="HC317" s="3"/>
      <c r="HD317" s="3"/>
      <c r="HE317" s="3"/>
      <c r="HF317" s="3"/>
      <c r="HG317" s="3"/>
      <c r="HH317" s="3"/>
      <c r="HI317" s="3"/>
      <c r="HJ317" s="3"/>
      <c r="HK317" s="130"/>
      <c r="HL317" s="130"/>
      <c r="HM317" s="130"/>
      <c r="HN317" s="130"/>
      <c r="HO317" s="130"/>
      <c r="HP317" s="130"/>
      <c r="HQ317" s="130"/>
      <c r="HR317" s="130"/>
      <c r="HS317" s="3"/>
      <c r="HT317" s="3"/>
      <c r="HU317" s="3"/>
      <c r="HV317" s="3"/>
      <c r="HW317" s="3"/>
      <c r="HX317" s="3"/>
      <c r="HY317" s="3"/>
      <c r="HZ317" s="3"/>
      <c r="IA317" s="3"/>
      <c r="IB317" s="3"/>
      <c r="IC317" s="3"/>
      <c r="ID317" s="3"/>
      <c r="IE317" s="3"/>
      <c r="IF317" s="3"/>
      <c r="IG317" s="3"/>
      <c r="IH317" s="3"/>
      <c r="II317" s="130"/>
      <c r="IJ317" s="130"/>
      <c r="IK317" s="130"/>
      <c r="IL317" s="130"/>
      <c r="IM317" s="130"/>
      <c r="IN317" s="130"/>
      <c r="IO317" s="130"/>
      <c r="IP317" s="130"/>
      <c r="IQ317" s="3"/>
      <c r="IR317" s="3"/>
      <c r="IS317" s="3"/>
      <c r="IT317" s="3"/>
      <c r="IU317" s="3"/>
      <c r="IV317" s="3"/>
    </row>
    <row r="318" spans="1:256" s="125" customFormat="1">
      <c r="A318" s="16">
        <v>102</v>
      </c>
      <c r="B318" s="29">
        <v>43062</v>
      </c>
      <c r="C318" s="18"/>
      <c r="D318" s="19" t="s">
        <v>438</v>
      </c>
      <c r="E318" s="20" t="s">
        <v>439</v>
      </c>
      <c r="F318" s="62" t="s">
        <v>440</v>
      </c>
      <c r="G318" s="63">
        <v>1709</v>
      </c>
      <c r="H318" s="121">
        <f>22500+4756400</f>
        <v>4778900</v>
      </c>
      <c r="I318" s="24">
        <v>4551333</v>
      </c>
      <c r="J318" s="24"/>
      <c r="K318" s="24">
        <f t="shared" si="26"/>
        <v>4551333</v>
      </c>
      <c r="L318" s="123"/>
      <c r="M318" s="24">
        <f t="shared" si="27"/>
        <v>0</v>
      </c>
      <c r="N318" s="124">
        <f t="shared" si="28"/>
        <v>4551333</v>
      </c>
      <c r="O318" s="85"/>
      <c r="P318" s="3"/>
      <c r="Q318" s="140"/>
      <c r="R318" s="3"/>
      <c r="S318" s="3"/>
      <c r="T318" s="3"/>
      <c r="U318" s="3"/>
      <c r="V318" s="3"/>
      <c r="W318" s="3"/>
      <c r="X318" s="3"/>
      <c r="Y318" s="3"/>
      <c r="Z318" s="3"/>
      <c r="AA318" s="130"/>
      <c r="AB318" s="130"/>
      <c r="AC318" s="130"/>
      <c r="AD318" s="130"/>
      <c r="AE318" s="130"/>
      <c r="AF318" s="130"/>
      <c r="AG318" s="130"/>
      <c r="AH318" s="130"/>
      <c r="AI318" s="3"/>
      <c r="AJ318" s="3"/>
      <c r="AK318" s="3"/>
      <c r="AY318" s="167"/>
      <c r="AZ318" s="167"/>
      <c r="BA318" s="167"/>
      <c r="BB318" s="167"/>
      <c r="BC318" s="167"/>
      <c r="BD318" s="167"/>
      <c r="BE318" s="167"/>
      <c r="BF318" s="167"/>
      <c r="BW318" s="167"/>
      <c r="BX318" s="167"/>
      <c r="BY318" s="167"/>
      <c r="BZ318" s="167"/>
      <c r="CA318" s="167"/>
      <c r="CB318" s="167"/>
      <c r="CC318" s="167"/>
      <c r="CD318" s="167"/>
      <c r="CU318" s="167"/>
      <c r="CV318" s="167"/>
      <c r="CW318" s="167"/>
      <c r="CX318" s="167"/>
      <c r="CY318" s="167"/>
      <c r="CZ318" s="167"/>
      <c r="DA318" s="167"/>
      <c r="DB318" s="167"/>
      <c r="DS318" s="167"/>
      <c r="DT318" s="167"/>
      <c r="DU318" s="167"/>
      <c r="DV318" s="167"/>
      <c r="DW318" s="167"/>
      <c r="DX318" s="167"/>
      <c r="DY318" s="167"/>
      <c r="DZ318" s="167"/>
      <c r="EQ318" s="167"/>
      <c r="ER318" s="167"/>
      <c r="ES318" s="167"/>
      <c r="ET318" s="167"/>
      <c r="EU318" s="167"/>
      <c r="EV318" s="167"/>
      <c r="EW318" s="167"/>
      <c r="EX318" s="167"/>
      <c r="FO318" s="167"/>
      <c r="FP318" s="167"/>
      <c r="FQ318" s="167"/>
      <c r="FR318" s="167"/>
      <c r="FS318" s="167"/>
      <c r="FT318" s="167"/>
      <c r="FU318" s="167"/>
      <c r="FV318" s="167"/>
      <c r="GM318" s="167"/>
      <c r="GN318" s="167"/>
      <c r="GO318" s="167"/>
      <c r="GP318" s="167"/>
      <c r="GQ318" s="167"/>
      <c r="GR318" s="167"/>
      <c r="GS318" s="167"/>
      <c r="GT318" s="167"/>
      <c r="HK318" s="167"/>
      <c r="HL318" s="167"/>
      <c r="HM318" s="167"/>
      <c r="HN318" s="167"/>
      <c r="HO318" s="167"/>
      <c r="HP318" s="167"/>
      <c r="HQ318" s="167"/>
      <c r="HR318" s="167"/>
      <c r="II318" s="167"/>
      <c r="IJ318" s="167"/>
      <c r="IK318" s="167"/>
      <c r="IL318" s="167"/>
      <c r="IM318" s="167"/>
      <c r="IN318" s="167"/>
      <c r="IO318" s="167"/>
      <c r="IP318" s="167"/>
    </row>
    <row r="319" spans="1:256" s="125" customFormat="1">
      <c r="A319" s="16">
        <v>103</v>
      </c>
      <c r="B319" s="17">
        <v>43073</v>
      </c>
      <c r="C319" s="18"/>
      <c r="D319" s="19" t="s">
        <v>441</v>
      </c>
      <c r="E319" s="20" t="s">
        <v>442</v>
      </c>
      <c r="F319" s="120" t="s">
        <v>443</v>
      </c>
      <c r="G319" s="63">
        <v>1708</v>
      </c>
      <c r="H319" s="121">
        <v>1710800</v>
      </c>
      <c r="I319" s="24"/>
      <c r="J319" s="24">
        <f>SUM(H319)/1.05</f>
        <v>1629333.3333333333</v>
      </c>
      <c r="K319" s="24">
        <f t="shared" si="26"/>
        <v>1629333.3333333333</v>
      </c>
      <c r="L319" s="123"/>
      <c r="M319" s="24">
        <f t="shared" si="27"/>
        <v>0</v>
      </c>
      <c r="N319" s="124">
        <f t="shared" si="28"/>
        <v>1629333.3333333333</v>
      </c>
      <c r="O319" s="107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130"/>
      <c r="AB319" s="130"/>
      <c r="AC319" s="130"/>
      <c r="AD319" s="130"/>
      <c r="AE319" s="130"/>
      <c r="AF319" s="167"/>
      <c r="AG319" s="167"/>
      <c r="AH319" s="167"/>
      <c r="AY319" s="167"/>
      <c r="AZ319" s="167"/>
      <c r="BA319" s="167"/>
      <c r="BB319" s="167"/>
      <c r="BC319" s="167"/>
      <c r="BD319" s="167"/>
      <c r="BE319" s="167"/>
      <c r="BF319" s="167"/>
      <c r="BW319" s="167"/>
      <c r="BX319" s="167"/>
      <c r="BY319" s="167"/>
      <c r="BZ319" s="167"/>
      <c r="CA319" s="167"/>
      <c r="CB319" s="167"/>
      <c r="CC319" s="167"/>
      <c r="CD319" s="167"/>
      <c r="CU319" s="167"/>
      <c r="CV319" s="167"/>
      <c r="CW319" s="167"/>
      <c r="CX319" s="167"/>
      <c r="CY319" s="167"/>
      <c r="CZ319" s="167"/>
      <c r="DA319" s="167"/>
      <c r="DB319" s="167"/>
      <c r="DS319" s="167"/>
      <c r="DT319" s="167"/>
      <c r="DU319" s="167"/>
      <c r="DV319" s="167"/>
      <c r="DW319" s="167"/>
      <c r="DX319" s="167"/>
      <c r="DY319" s="167"/>
      <c r="DZ319" s="167"/>
      <c r="EQ319" s="167"/>
      <c r="ER319" s="167"/>
      <c r="ES319" s="167"/>
      <c r="ET319" s="167"/>
      <c r="EU319" s="167"/>
      <c r="EV319" s="167"/>
      <c r="EW319" s="167"/>
      <c r="EX319" s="167"/>
      <c r="FO319" s="167"/>
      <c r="FP319" s="167"/>
      <c r="FQ319" s="167"/>
      <c r="FR319" s="167"/>
      <c r="FS319" s="167"/>
      <c r="FT319" s="167"/>
      <c r="FU319" s="167"/>
      <c r="FV319" s="167"/>
      <c r="GM319" s="167"/>
      <c r="GN319" s="167"/>
      <c r="GO319" s="167"/>
      <c r="GP319" s="167"/>
      <c r="GQ319" s="167"/>
      <c r="GR319" s="167"/>
      <c r="GS319" s="167"/>
      <c r="GT319" s="167"/>
      <c r="HK319" s="167"/>
      <c r="HL319" s="167"/>
      <c r="HM319" s="167"/>
      <c r="HN319" s="167"/>
      <c r="HO319" s="167"/>
      <c r="HP319" s="167"/>
      <c r="HQ319" s="167"/>
      <c r="HR319" s="167"/>
      <c r="II319" s="167"/>
      <c r="IJ319" s="167"/>
      <c r="IK319" s="167"/>
      <c r="IL319" s="167"/>
      <c r="IM319" s="167"/>
      <c r="IN319" s="167"/>
      <c r="IO319" s="167"/>
      <c r="IP319" s="167"/>
    </row>
    <row r="320" spans="1:256" s="125" customFormat="1">
      <c r="A320" s="16">
        <v>104</v>
      </c>
      <c r="B320" s="29">
        <v>43091</v>
      </c>
      <c r="C320" s="18"/>
      <c r="D320" s="19" t="s">
        <v>441</v>
      </c>
      <c r="E320" s="20" t="s">
        <v>442</v>
      </c>
      <c r="F320" s="62" t="s">
        <v>444</v>
      </c>
      <c r="G320" s="63">
        <v>1708</v>
      </c>
      <c r="H320" s="121">
        <v>1710800</v>
      </c>
      <c r="I320" s="24"/>
      <c r="J320" s="24">
        <f>SUM(H320)/1.05</f>
        <v>1629333.3333333333</v>
      </c>
      <c r="K320" s="24">
        <f t="shared" si="26"/>
        <v>1629333.3333333333</v>
      </c>
      <c r="L320" s="123"/>
      <c r="M320" s="24">
        <f t="shared" si="27"/>
        <v>0</v>
      </c>
      <c r="N320" s="124">
        <f t="shared" si="28"/>
        <v>1629333.3333333333</v>
      </c>
      <c r="O320" s="108"/>
      <c r="P320" s="3"/>
      <c r="Q320" s="140"/>
      <c r="R320" s="3"/>
      <c r="S320" s="3"/>
      <c r="T320" s="3"/>
      <c r="U320" s="3"/>
      <c r="V320" s="3"/>
      <c r="W320" s="3"/>
      <c r="X320" s="3"/>
      <c r="Y320" s="3"/>
      <c r="Z320" s="3"/>
      <c r="AA320" s="130"/>
      <c r="AB320" s="130"/>
      <c r="AC320" s="130"/>
      <c r="AD320" s="130"/>
      <c r="AE320" s="130"/>
      <c r="AF320" s="130"/>
      <c r="AG320" s="130"/>
      <c r="AH320" s="130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130"/>
      <c r="AZ320" s="130"/>
      <c r="BA320" s="130"/>
      <c r="BB320" s="130"/>
      <c r="BC320" s="130"/>
      <c r="BD320" s="130"/>
      <c r="BE320" s="130"/>
      <c r="BF320" s="130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130"/>
      <c r="BX320" s="130"/>
      <c r="BY320" s="130"/>
      <c r="BZ320" s="130"/>
      <c r="CA320" s="130"/>
      <c r="CB320" s="130"/>
      <c r="CC320" s="130"/>
      <c r="CD320" s="130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130"/>
      <c r="CV320" s="130"/>
      <c r="CW320" s="130"/>
      <c r="CX320" s="130"/>
      <c r="CY320" s="130"/>
      <c r="CZ320" s="130"/>
      <c r="DA320" s="130"/>
      <c r="DB320" s="130"/>
      <c r="DC320" s="3"/>
      <c r="DD320" s="3"/>
      <c r="DE320" s="3"/>
      <c r="DF320" s="3"/>
      <c r="DG320" s="3"/>
      <c r="DH320" s="3"/>
      <c r="DI320" s="3"/>
      <c r="DJ320" s="3"/>
      <c r="DK320" s="3"/>
      <c r="DL320" s="3"/>
      <c r="DM320" s="3"/>
      <c r="DN320" s="3"/>
      <c r="DO320" s="3"/>
      <c r="DP320" s="3"/>
      <c r="DQ320" s="3"/>
      <c r="DR320" s="3"/>
      <c r="DS320" s="130"/>
      <c r="DT320" s="130"/>
      <c r="DU320" s="130"/>
      <c r="DV320" s="130"/>
      <c r="DW320" s="130"/>
      <c r="DX320" s="130"/>
      <c r="DY320" s="130"/>
      <c r="DZ320" s="130"/>
      <c r="EA320" s="3"/>
      <c r="EB320" s="3"/>
      <c r="EC320" s="3"/>
      <c r="ED320" s="3"/>
      <c r="EE320" s="3"/>
      <c r="EF320" s="3"/>
      <c r="EG320" s="3"/>
      <c r="EH320" s="3"/>
      <c r="EI320" s="3"/>
      <c r="EJ320" s="3"/>
      <c r="EK320" s="3"/>
      <c r="EL320" s="3"/>
      <c r="EM320" s="3"/>
      <c r="EN320" s="3"/>
      <c r="EO320" s="3"/>
      <c r="EP320" s="3"/>
      <c r="EQ320" s="130"/>
      <c r="ER320" s="130"/>
      <c r="ES320" s="130"/>
      <c r="ET320" s="130"/>
      <c r="EU320" s="130"/>
      <c r="EV320" s="130"/>
      <c r="EW320" s="130"/>
      <c r="EX320" s="130"/>
      <c r="EY320" s="3"/>
      <c r="EZ320" s="3"/>
      <c r="FA320" s="3"/>
      <c r="FB320" s="3"/>
      <c r="FC320" s="3"/>
      <c r="FD320" s="3"/>
      <c r="FE320" s="3"/>
      <c r="FF320" s="3"/>
      <c r="FG320" s="3"/>
      <c r="FH320" s="3"/>
      <c r="FI320" s="3"/>
      <c r="FJ320" s="3"/>
      <c r="FK320" s="3"/>
      <c r="FL320" s="3"/>
      <c r="FM320" s="3"/>
      <c r="FN320" s="3"/>
      <c r="FO320" s="130"/>
      <c r="FP320" s="130"/>
      <c r="FQ320" s="130"/>
      <c r="FR320" s="130"/>
      <c r="FS320" s="130"/>
      <c r="FT320" s="130"/>
      <c r="FU320" s="130"/>
      <c r="FV320" s="130"/>
      <c r="FW320" s="3"/>
      <c r="FX320" s="3"/>
      <c r="FY320" s="3"/>
      <c r="FZ320" s="3"/>
      <c r="GA320" s="3"/>
      <c r="GB320" s="3"/>
      <c r="GC320" s="3"/>
      <c r="GD320" s="3"/>
      <c r="GE320" s="3"/>
      <c r="GF320" s="3"/>
      <c r="GG320" s="3"/>
      <c r="GH320" s="3"/>
      <c r="GI320" s="3"/>
      <c r="GJ320" s="3"/>
      <c r="GK320" s="3"/>
      <c r="GL320" s="3"/>
      <c r="GM320" s="130"/>
      <c r="GN320" s="130"/>
      <c r="GO320" s="130"/>
      <c r="GP320" s="130"/>
      <c r="GQ320" s="130"/>
      <c r="GR320" s="130"/>
      <c r="GS320" s="130"/>
      <c r="GT320" s="130"/>
      <c r="GU320" s="3"/>
      <c r="GV320" s="3"/>
      <c r="GW320" s="3"/>
      <c r="GX320" s="3"/>
      <c r="GY320" s="3"/>
      <c r="GZ320" s="3"/>
      <c r="HA320" s="3"/>
      <c r="HB320" s="3"/>
      <c r="HC320" s="3"/>
      <c r="HD320" s="3"/>
      <c r="HE320" s="3"/>
      <c r="HF320" s="3"/>
      <c r="HG320" s="3"/>
      <c r="HH320" s="3"/>
      <c r="HI320" s="3"/>
      <c r="HJ320" s="3"/>
      <c r="HK320" s="130"/>
      <c r="HL320" s="130"/>
      <c r="HM320" s="130"/>
      <c r="HN320" s="130"/>
      <c r="HO320" s="130"/>
      <c r="HP320" s="130"/>
      <c r="HQ320" s="130"/>
      <c r="HR320" s="130"/>
      <c r="HS320" s="3"/>
      <c r="HT320" s="3"/>
      <c r="HU320" s="3"/>
      <c r="HV320" s="3"/>
      <c r="HW320" s="3"/>
      <c r="HX320" s="3"/>
      <c r="HY320" s="3"/>
      <c r="HZ320" s="3"/>
      <c r="IA320" s="3"/>
      <c r="IB320" s="3"/>
      <c r="IC320" s="3"/>
      <c r="ID320" s="3"/>
      <c r="IE320" s="3"/>
      <c r="IF320" s="3"/>
      <c r="IG320" s="3"/>
      <c r="IH320" s="3"/>
      <c r="II320" s="130"/>
      <c r="IJ320" s="130"/>
      <c r="IK320" s="130"/>
      <c r="IL320" s="130"/>
      <c r="IM320" s="130"/>
      <c r="IN320" s="130"/>
      <c r="IO320" s="130"/>
      <c r="IP320" s="130"/>
      <c r="IQ320" s="3"/>
      <c r="IR320" s="3"/>
      <c r="IS320" s="3"/>
      <c r="IT320" s="3"/>
      <c r="IU320" s="3"/>
      <c r="IV320" s="3"/>
    </row>
    <row r="321" spans="1:256" s="125" customFormat="1">
      <c r="A321" s="16">
        <v>105</v>
      </c>
      <c r="B321" s="60">
        <v>43063</v>
      </c>
      <c r="C321" s="18"/>
      <c r="D321" s="19" t="s">
        <v>441</v>
      </c>
      <c r="E321" s="20" t="s">
        <v>442</v>
      </c>
      <c r="F321" s="120" t="s">
        <v>445</v>
      </c>
      <c r="G321" s="63">
        <v>1709</v>
      </c>
      <c r="H321" s="121">
        <v>1710800</v>
      </c>
      <c r="I321" s="24">
        <v>1629333</v>
      </c>
      <c r="J321" s="24"/>
      <c r="K321" s="24">
        <f t="shared" si="26"/>
        <v>1629333</v>
      </c>
      <c r="L321" s="123"/>
      <c r="M321" s="24">
        <f t="shared" si="27"/>
        <v>0</v>
      </c>
      <c r="N321" s="124">
        <f t="shared" si="28"/>
        <v>1629333</v>
      </c>
      <c r="O321" s="85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130"/>
      <c r="AB321" s="130"/>
      <c r="AC321" s="130"/>
      <c r="AD321" s="130"/>
      <c r="AE321" s="130"/>
      <c r="AF321" s="130"/>
      <c r="AG321" s="130"/>
      <c r="AH321" s="130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130"/>
      <c r="AZ321" s="130"/>
      <c r="BA321" s="130"/>
      <c r="BB321" s="130"/>
      <c r="BC321" s="130"/>
      <c r="BD321" s="130"/>
      <c r="BE321" s="130"/>
      <c r="BF321" s="130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130"/>
      <c r="BX321" s="130"/>
      <c r="BY321" s="130"/>
      <c r="BZ321" s="130"/>
      <c r="CA321" s="130"/>
      <c r="CB321" s="130"/>
      <c r="CC321" s="130"/>
      <c r="CD321" s="130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130"/>
      <c r="CV321" s="130"/>
      <c r="CW321" s="130"/>
      <c r="CX321" s="130"/>
      <c r="CY321" s="130"/>
      <c r="CZ321" s="130"/>
      <c r="DA321" s="130"/>
      <c r="DB321" s="130"/>
      <c r="DC321" s="3"/>
      <c r="DD321" s="3"/>
      <c r="DE321" s="3"/>
      <c r="DF321" s="3"/>
      <c r="DG321" s="3"/>
      <c r="DH321" s="3"/>
      <c r="DI321" s="3"/>
      <c r="DJ321" s="3"/>
      <c r="DK321" s="3"/>
      <c r="DL321" s="3"/>
      <c r="DM321" s="3"/>
      <c r="DN321" s="3"/>
      <c r="DO321" s="3"/>
      <c r="DP321" s="3"/>
      <c r="DQ321" s="3"/>
      <c r="DR321" s="3"/>
      <c r="DS321" s="130"/>
      <c r="DT321" s="130"/>
      <c r="DU321" s="130"/>
      <c r="DV321" s="130"/>
      <c r="DW321" s="130"/>
      <c r="DX321" s="130"/>
      <c r="DY321" s="130"/>
      <c r="DZ321" s="130"/>
      <c r="EA321" s="3"/>
      <c r="EB321" s="3"/>
      <c r="EC321" s="3"/>
      <c r="ED321" s="3"/>
      <c r="EE321" s="3"/>
      <c r="EF321" s="3"/>
      <c r="EG321" s="3"/>
      <c r="EH321" s="3"/>
      <c r="EI321" s="3"/>
      <c r="EJ321" s="3"/>
      <c r="EK321" s="3"/>
      <c r="EL321" s="3"/>
      <c r="EM321" s="3"/>
      <c r="EN321" s="3"/>
      <c r="EO321" s="3"/>
      <c r="EP321" s="3"/>
      <c r="EQ321" s="130"/>
      <c r="ER321" s="130"/>
      <c r="ES321" s="130"/>
      <c r="ET321" s="130"/>
      <c r="EU321" s="130"/>
      <c r="EV321" s="130"/>
      <c r="EW321" s="130"/>
      <c r="EX321" s="130"/>
      <c r="EY321" s="3"/>
      <c r="EZ321" s="3"/>
      <c r="FA321" s="3"/>
      <c r="FB321" s="3"/>
      <c r="FC321" s="3"/>
      <c r="FD321" s="3"/>
      <c r="FE321" s="3"/>
      <c r="FF321" s="3"/>
      <c r="FG321" s="3"/>
      <c r="FH321" s="3"/>
      <c r="FI321" s="3"/>
      <c r="FJ321" s="3"/>
      <c r="FK321" s="3"/>
      <c r="FL321" s="3"/>
      <c r="FM321" s="3"/>
      <c r="FN321" s="3"/>
      <c r="FO321" s="130"/>
      <c r="FP321" s="130"/>
      <c r="FQ321" s="130"/>
      <c r="FR321" s="130"/>
      <c r="FS321" s="130"/>
      <c r="FT321" s="130"/>
      <c r="FU321" s="130"/>
      <c r="FV321" s="130"/>
      <c r="FW321" s="3"/>
      <c r="FX321" s="3"/>
      <c r="FY321" s="3"/>
      <c r="FZ321" s="3"/>
      <c r="GA321" s="3"/>
      <c r="GB321" s="3"/>
      <c r="GC321" s="3"/>
      <c r="GD321" s="3"/>
      <c r="GE321" s="3"/>
      <c r="GF321" s="3"/>
      <c r="GG321" s="3"/>
      <c r="GH321" s="3"/>
      <c r="GI321" s="3"/>
      <c r="GJ321" s="3"/>
      <c r="GK321" s="3"/>
      <c r="GL321" s="3"/>
      <c r="GM321" s="130"/>
      <c r="GN321" s="130"/>
      <c r="GO321" s="130"/>
      <c r="GP321" s="130"/>
      <c r="GQ321" s="130"/>
      <c r="GR321" s="130"/>
      <c r="GS321" s="130"/>
      <c r="GT321" s="130"/>
      <c r="GU321" s="3"/>
      <c r="GV321" s="3"/>
      <c r="GW321" s="3"/>
      <c r="GX321" s="3"/>
      <c r="GY321" s="3"/>
      <c r="GZ321" s="3"/>
      <c r="HA321" s="3"/>
      <c r="HB321" s="3"/>
      <c r="HC321" s="3"/>
      <c r="HD321" s="3"/>
      <c r="HE321" s="3"/>
      <c r="HF321" s="3"/>
      <c r="HG321" s="3"/>
      <c r="HH321" s="3"/>
      <c r="HI321" s="3"/>
      <c r="HJ321" s="3"/>
      <c r="HK321" s="130"/>
      <c r="HL321" s="130"/>
      <c r="HM321" s="130"/>
      <c r="HN321" s="130"/>
      <c r="HO321" s="130"/>
      <c r="HP321" s="130"/>
      <c r="HQ321" s="130"/>
      <c r="HR321" s="130"/>
      <c r="HS321" s="3"/>
      <c r="HT321" s="3"/>
      <c r="HU321" s="3"/>
      <c r="HV321" s="3"/>
      <c r="HW321" s="3"/>
      <c r="HX321" s="3"/>
      <c r="HY321" s="3"/>
      <c r="HZ321" s="3"/>
      <c r="IA321" s="3"/>
      <c r="IB321" s="3"/>
      <c r="IC321" s="3"/>
      <c r="ID321" s="3"/>
      <c r="IE321" s="3"/>
      <c r="IF321" s="3"/>
      <c r="IG321" s="3"/>
      <c r="IH321" s="3"/>
      <c r="II321" s="130"/>
      <c r="IJ321" s="130"/>
      <c r="IK321" s="130"/>
      <c r="IL321" s="130"/>
      <c r="IM321" s="130"/>
      <c r="IN321" s="130"/>
      <c r="IO321" s="130"/>
      <c r="IP321" s="130"/>
      <c r="IQ321" s="3"/>
      <c r="IR321" s="3"/>
      <c r="IS321" s="3"/>
      <c r="IT321" s="3"/>
      <c r="IU321" s="3"/>
      <c r="IV321" s="3"/>
    </row>
    <row r="322" spans="1:256" s="125" customFormat="1">
      <c r="A322" s="76">
        <v>106</v>
      </c>
      <c r="B322" s="60">
        <v>43096</v>
      </c>
      <c r="C322" s="18"/>
      <c r="D322" s="19" t="s">
        <v>441</v>
      </c>
      <c r="E322" s="20" t="s">
        <v>442</v>
      </c>
      <c r="F322" s="62" t="s">
        <v>446</v>
      </c>
      <c r="G322" s="63">
        <v>1710</v>
      </c>
      <c r="H322" s="121">
        <v>1710800</v>
      </c>
      <c r="I322" s="24"/>
      <c r="J322" s="24">
        <f t="shared" ref="J322:J329" si="30">SUM(H322)/1.05</f>
        <v>1629333.3333333333</v>
      </c>
      <c r="K322" s="24">
        <f t="shared" si="26"/>
        <v>1629333.3333333333</v>
      </c>
      <c r="L322" s="123"/>
      <c r="M322" s="24">
        <f t="shared" si="27"/>
        <v>0</v>
      </c>
      <c r="N322" s="124">
        <f t="shared" si="28"/>
        <v>1629333.3333333333</v>
      </c>
      <c r="O322" s="87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130"/>
      <c r="AB322" s="130"/>
      <c r="AC322" s="130"/>
      <c r="AD322" s="130"/>
      <c r="AE322" s="130"/>
      <c r="AF322" s="130"/>
      <c r="AG322" s="130"/>
      <c r="AH322" s="130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130"/>
      <c r="AZ322" s="130"/>
      <c r="BA322" s="130"/>
      <c r="BB322" s="130"/>
      <c r="BC322" s="130"/>
      <c r="BD322" s="130"/>
      <c r="BE322" s="130"/>
      <c r="BF322" s="130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130"/>
      <c r="BX322" s="130"/>
      <c r="BY322" s="130"/>
      <c r="BZ322" s="130"/>
      <c r="CA322" s="130"/>
      <c r="CB322" s="130"/>
      <c r="CC322" s="130"/>
      <c r="CD322" s="130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130"/>
      <c r="CV322" s="130"/>
      <c r="CW322" s="130"/>
      <c r="CX322" s="130"/>
      <c r="CY322" s="130"/>
      <c r="CZ322" s="130"/>
      <c r="DA322" s="130"/>
      <c r="DB322" s="130"/>
      <c r="DC322" s="3"/>
      <c r="DD322" s="3"/>
      <c r="DE322" s="3"/>
      <c r="DF322" s="3"/>
      <c r="DG322" s="3"/>
      <c r="DH322" s="3"/>
      <c r="DI322" s="3"/>
      <c r="DJ322" s="3"/>
      <c r="DK322" s="3"/>
      <c r="DL322" s="3"/>
      <c r="DM322" s="3"/>
      <c r="DN322" s="3"/>
      <c r="DO322" s="3"/>
      <c r="DP322" s="3"/>
      <c r="DQ322" s="3"/>
      <c r="DR322" s="3"/>
      <c r="DS322" s="130"/>
      <c r="DT322" s="130"/>
      <c r="DU322" s="130"/>
      <c r="DV322" s="130"/>
      <c r="DW322" s="130"/>
      <c r="DX322" s="130"/>
      <c r="DY322" s="130"/>
      <c r="DZ322" s="130"/>
      <c r="EA322" s="3"/>
      <c r="EB322" s="3"/>
      <c r="EC322" s="3"/>
      <c r="ED322" s="3"/>
      <c r="EE322" s="3"/>
      <c r="EF322" s="3"/>
      <c r="EG322" s="3"/>
      <c r="EH322" s="3"/>
      <c r="EI322" s="3"/>
      <c r="EJ322" s="3"/>
      <c r="EK322" s="3"/>
      <c r="EL322" s="3"/>
      <c r="EM322" s="3"/>
      <c r="EN322" s="3"/>
      <c r="EO322" s="3"/>
      <c r="EP322" s="3"/>
      <c r="EQ322" s="130"/>
      <c r="ER322" s="130"/>
      <c r="ES322" s="130"/>
      <c r="ET322" s="130"/>
      <c r="EU322" s="130"/>
      <c r="EV322" s="130"/>
      <c r="EW322" s="130"/>
      <c r="EX322" s="130"/>
      <c r="EY322" s="3"/>
      <c r="EZ322" s="3"/>
      <c r="FA322" s="3"/>
      <c r="FB322" s="3"/>
      <c r="FC322" s="3"/>
      <c r="FD322" s="3"/>
      <c r="FE322" s="3"/>
      <c r="FF322" s="3"/>
      <c r="FG322" s="3"/>
      <c r="FH322" s="3"/>
      <c r="FI322" s="3"/>
      <c r="FJ322" s="3"/>
      <c r="FK322" s="3"/>
      <c r="FL322" s="3"/>
      <c r="FM322" s="3"/>
      <c r="FN322" s="3"/>
      <c r="FO322" s="130"/>
      <c r="FP322" s="130"/>
      <c r="FQ322" s="130"/>
      <c r="FR322" s="130"/>
      <c r="FS322" s="130"/>
      <c r="FT322" s="130"/>
      <c r="FU322" s="130"/>
      <c r="FV322" s="130"/>
      <c r="FW322" s="3"/>
      <c r="FX322" s="3"/>
      <c r="FY322" s="3"/>
      <c r="FZ322" s="3"/>
      <c r="GA322" s="3"/>
      <c r="GB322" s="3"/>
      <c r="GC322" s="3"/>
      <c r="GD322" s="3"/>
      <c r="GE322" s="3"/>
      <c r="GF322" s="3"/>
      <c r="GG322" s="3"/>
      <c r="GH322" s="3"/>
      <c r="GI322" s="3"/>
      <c r="GJ322" s="3"/>
      <c r="GK322" s="3"/>
      <c r="GL322" s="3"/>
      <c r="GM322" s="130"/>
      <c r="GN322" s="130"/>
      <c r="GO322" s="130"/>
      <c r="GP322" s="130"/>
      <c r="GQ322" s="130"/>
      <c r="GR322" s="130"/>
      <c r="GS322" s="130"/>
      <c r="GT322" s="130"/>
      <c r="GU322" s="3"/>
      <c r="GV322" s="3"/>
      <c r="GW322" s="3"/>
      <c r="GX322" s="3"/>
      <c r="GY322" s="3"/>
      <c r="GZ322" s="3"/>
      <c r="HA322" s="3"/>
      <c r="HB322" s="3"/>
      <c r="HC322" s="3"/>
      <c r="HD322" s="3"/>
      <c r="HE322" s="3"/>
      <c r="HF322" s="3"/>
      <c r="HG322" s="3"/>
      <c r="HH322" s="3"/>
      <c r="HI322" s="3"/>
      <c r="HJ322" s="3"/>
      <c r="HK322" s="130"/>
      <c r="HL322" s="130"/>
      <c r="HM322" s="130"/>
      <c r="HN322" s="130"/>
      <c r="HO322" s="130"/>
      <c r="HP322" s="130"/>
      <c r="HQ322" s="130"/>
      <c r="HR322" s="130"/>
      <c r="HS322" s="3"/>
      <c r="HT322" s="3"/>
      <c r="HU322" s="3"/>
      <c r="HV322" s="3"/>
      <c r="HW322" s="3"/>
      <c r="HX322" s="3"/>
      <c r="HY322" s="3"/>
      <c r="HZ322" s="3"/>
      <c r="IA322" s="3"/>
      <c r="IB322" s="3"/>
      <c r="IC322" s="3"/>
      <c r="ID322" s="3"/>
      <c r="IE322" s="3"/>
      <c r="IF322" s="3"/>
      <c r="IG322" s="3"/>
      <c r="IH322" s="3"/>
      <c r="II322" s="130"/>
      <c r="IJ322" s="130"/>
      <c r="IK322" s="130"/>
      <c r="IL322" s="130"/>
      <c r="IM322" s="130"/>
      <c r="IN322" s="130"/>
      <c r="IO322" s="130"/>
      <c r="IP322" s="130"/>
      <c r="IQ322" s="3"/>
      <c r="IR322" s="3"/>
      <c r="IS322" s="3"/>
      <c r="IT322" s="3"/>
      <c r="IU322" s="3"/>
      <c r="IV322" s="3"/>
    </row>
    <row r="323" spans="1:256" s="125" customFormat="1">
      <c r="A323" s="16">
        <v>107</v>
      </c>
      <c r="B323" s="60">
        <v>43083</v>
      </c>
      <c r="C323" s="18"/>
      <c r="D323" s="19" t="s">
        <v>441</v>
      </c>
      <c r="E323" s="20" t="s">
        <v>447</v>
      </c>
      <c r="F323" s="82" t="s">
        <v>448</v>
      </c>
      <c r="G323" s="63">
        <v>1709</v>
      </c>
      <c r="H323" s="121">
        <v>1626200</v>
      </c>
      <c r="I323" s="24"/>
      <c r="J323" s="24">
        <f t="shared" si="30"/>
        <v>1548761.9047619046</v>
      </c>
      <c r="K323" s="24">
        <f t="shared" si="26"/>
        <v>1548761.9047619046</v>
      </c>
      <c r="L323" s="123"/>
      <c r="M323" s="24">
        <f t="shared" si="27"/>
        <v>0</v>
      </c>
      <c r="N323" s="124">
        <f t="shared" si="28"/>
        <v>1548761.9047619046</v>
      </c>
      <c r="O323" s="85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130"/>
      <c r="AB323" s="130"/>
      <c r="AC323" s="130"/>
      <c r="AD323" s="130"/>
      <c r="AE323" s="130"/>
      <c r="AF323" s="130"/>
      <c r="AG323" s="130"/>
      <c r="AH323" s="130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130"/>
      <c r="AZ323" s="130"/>
      <c r="BA323" s="130"/>
      <c r="BB323" s="130"/>
      <c r="BC323" s="130"/>
      <c r="BD323" s="130"/>
      <c r="BE323" s="130"/>
      <c r="BF323" s="130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130"/>
      <c r="BX323" s="130"/>
      <c r="BY323" s="130"/>
      <c r="BZ323" s="130"/>
      <c r="CA323" s="130"/>
      <c r="CB323" s="130"/>
      <c r="CC323" s="130"/>
      <c r="CD323" s="130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130"/>
      <c r="CV323" s="130"/>
      <c r="CW323" s="130"/>
      <c r="CX323" s="130"/>
      <c r="CY323" s="130"/>
      <c r="CZ323" s="130"/>
      <c r="DA323" s="130"/>
      <c r="DB323" s="130"/>
      <c r="DC323" s="3"/>
      <c r="DD323" s="3"/>
      <c r="DE323" s="3"/>
      <c r="DF323" s="3"/>
      <c r="DG323" s="3"/>
      <c r="DH323" s="3"/>
      <c r="DI323" s="3"/>
      <c r="DJ323" s="3"/>
      <c r="DK323" s="3"/>
      <c r="DL323" s="3"/>
      <c r="DM323" s="3"/>
      <c r="DN323" s="3"/>
      <c r="DO323" s="3"/>
      <c r="DP323" s="3"/>
      <c r="DQ323" s="3"/>
      <c r="DR323" s="3"/>
      <c r="DS323" s="130"/>
      <c r="DT323" s="130"/>
      <c r="DU323" s="130"/>
      <c r="DV323" s="130"/>
      <c r="DW323" s="130"/>
      <c r="DX323" s="130"/>
      <c r="DY323" s="130"/>
      <c r="DZ323" s="130"/>
      <c r="EA323" s="3"/>
      <c r="EB323" s="3"/>
      <c r="EC323" s="3"/>
      <c r="ED323" s="3"/>
      <c r="EE323" s="3"/>
      <c r="EF323" s="3"/>
      <c r="EG323" s="3"/>
      <c r="EH323" s="3"/>
      <c r="EI323" s="3"/>
      <c r="EJ323" s="3"/>
      <c r="EK323" s="3"/>
      <c r="EL323" s="3"/>
      <c r="EM323" s="3"/>
      <c r="EN323" s="3"/>
      <c r="EO323" s="3"/>
      <c r="EP323" s="3"/>
      <c r="EQ323" s="130"/>
      <c r="ER323" s="130"/>
      <c r="ES323" s="130"/>
      <c r="ET323" s="130"/>
      <c r="EU323" s="130"/>
      <c r="EV323" s="130"/>
      <c r="EW323" s="130"/>
      <c r="EX323" s="130"/>
      <c r="EY323" s="3"/>
      <c r="EZ323" s="3"/>
      <c r="FA323" s="3"/>
      <c r="FB323" s="3"/>
      <c r="FC323" s="3"/>
      <c r="FD323" s="3"/>
      <c r="FE323" s="3"/>
      <c r="FF323" s="3"/>
      <c r="FG323" s="3"/>
      <c r="FH323" s="3"/>
      <c r="FI323" s="3"/>
      <c r="FJ323" s="3"/>
      <c r="FK323" s="3"/>
      <c r="FL323" s="3"/>
      <c r="FM323" s="3"/>
      <c r="FN323" s="3"/>
      <c r="FO323" s="130"/>
      <c r="FP323" s="130"/>
      <c r="FQ323" s="130"/>
      <c r="FR323" s="130"/>
      <c r="FS323" s="130"/>
      <c r="FT323" s="130"/>
      <c r="FU323" s="130"/>
      <c r="FV323" s="130"/>
      <c r="FW323" s="3"/>
      <c r="FX323" s="3"/>
      <c r="FY323" s="3"/>
      <c r="FZ323" s="3"/>
      <c r="GA323" s="3"/>
      <c r="GB323" s="3"/>
      <c r="GC323" s="3"/>
      <c r="GD323" s="3"/>
      <c r="GE323" s="3"/>
      <c r="GF323" s="3"/>
      <c r="GG323" s="3"/>
      <c r="GH323" s="3"/>
      <c r="GI323" s="3"/>
      <c r="GJ323" s="3"/>
      <c r="GK323" s="3"/>
      <c r="GL323" s="3"/>
      <c r="GM323" s="130"/>
      <c r="GN323" s="130"/>
      <c r="GO323" s="130"/>
      <c r="GP323" s="130"/>
      <c r="GQ323" s="130"/>
      <c r="GR323" s="130"/>
      <c r="GS323" s="130"/>
      <c r="GT323" s="130"/>
      <c r="GU323" s="3"/>
      <c r="GV323" s="3"/>
      <c r="GW323" s="3"/>
      <c r="GX323" s="3"/>
      <c r="GY323" s="3"/>
      <c r="GZ323" s="3"/>
      <c r="HA323" s="3"/>
      <c r="HB323" s="3"/>
      <c r="HC323" s="3"/>
      <c r="HD323" s="3"/>
      <c r="HE323" s="3"/>
      <c r="HF323" s="3"/>
      <c r="HG323" s="3"/>
      <c r="HH323" s="3"/>
      <c r="HI323" s="3"/>
      <c r="HJ323" s="3"/>
      <c r="HK323" s="130"/>
      <c r="HL323" s="130"/>
      <c r="HM323" s="130"/>
      <c r="HN323" s="130"/>
      <c r="HO323" s="130"/>
      <c r="HP323" s="130"/>
      <c r="HQ323" s="130"/>
      <c r="HR323" s="130"/>
      <c r="HS323" s="3"/>
      <c r="HT323" s="3"/>
      <c r="HU323" s="3"/>
      <c r="HV323" s="3"/>
      <c r="HW323" s="3"/>
      <c r="HX323" s="3"/>
      <c r="HY323" s="3"/>
      <c r="HZ323" s="3"/>
      <c r="IA323" s="3"/>
      <c r="IB323" s="3"/>
      <c r="IC323" s="3"/>
      <c r="ID323" s="3"/>
      <c r="IE323" s="3"/>
      <c r="IF323" s="3"/>
      <c r="IG323" s="3"/>
      <c r="IH323" s="3"/>
      <c r="II323" s="130"/>
      <c r="IJ323" s="130"/>
      <c r="IK323" s="130"/>
      <c r="IL323" s="130"/>
      <c r="IM323" s="130"/>
      <c r="IN323" s="130"/>
      <c r="IO323" s="130"/>
      <c r="IP323" s="130"/>
      <c r="IQ323" s="3"/>
      <c r="IR323" s="3"/>
      <c r="IS323" s="3"/>
      <c r="IT323" s="3"/>
      <c r="IU323" s="3"/>
      <c r="IV323" s="3"/>
    </row>
    <row r="324" spans="1:256" s="125" customFormat="1">
      <c r="A324" s="16">
        <v>108</v>
      </c>
      <c r="B324" s="56">
        <v>43083</v>
      </c>
      <c r="C324" s="18"/>
      <c r="D324" s="19" t="s">
        <v>441</v>
      </c>
      <c r="E324" s="20" t="s">
        <v>447</v>
      </c>
      <c r="F324" s="82" t="s">
        <v>449</v>
      </c>
      <c r="G324" s="58">
        <v>1710</v>
      </c>
      <c r="H324" s="121">
        <v>1626200</v>
      </c>
      <c r="I324" s="24"/>
      <c r="J324" s="24">
        <f t="shared" si="30"/>
        <v>1548761.9047619046</v>
      </c>
      <c r="K324" s="24">
        <f t="shared" si="26"/>
        <v>1548761.9047619046</v>
      </c>
      <c r="L324" s="123"/>
      <c r="M324" s="24">
        <f t="shared" si="27"/>
        <v>0</v>
      </c>
      <c r="N324" s="124">
        <f t="shared" si="28"/>
        <v>1548761.9047619046</v>
      </c>
      <c r="O324" s="85" t="s">
        <v>311</v>
      </c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130"/>
      <c r="AB324" s="130"/>
      <c r="AC324" s="130"/>
      <c r="AD324" s="130"/>
      <c r="AE324" s="130"/>
      <c r="AF324" s="130"/>
      <c r="AG324" s="130"/>
      <c r="AH324" s="130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130"/>
      <c r="AZ324" s="130"/>
      <c r="BA324" s="130"/>
      <c r="BB324" s="130"/>
      <c r="BC324" s="130"/>
      <c r="BD324" s="130"/>
      <c r="BE324" s="130"/>
      <c r="BF324" s="130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130"/>
      <c r="BX324" s="130"/>
      <c r="BY324" s="130"/>
      <c r="BZ324" s="130"/>
      <c r="CA324" s="130"/>
      <c r="CB324" s="130"/>
      <c r="CC324" s="130"/>
      <c r="CD324" s="130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130"/>
      <c r="CV324" s="130"/>
      <c r="CW324" s="130"/>
      <c r="CX324" s="130"/>
      <c r="CY324" s="130"/>
      <c r="CZ324" s="130"/>
      <c r="DA324" s="130"/>
      <c r="DB324" s="130"/>
      <c r="DC324" s="3"/>
      <c r="DD324" s="3"/>
      <c r="DE324" s="3"/>
      <c r="DF324" s="3"/>
      <c r="DG324" s="3"/>
      <c r="DH324" s="3"/>
      <c r="DI324" s="3"/>
      <c r="DJ324" s="3"/>
      <c r="DK324" s="3"/>
      <c r="DL324" s="3"/>
      <c r="DM324" s="3"/>
      <c r="DN324" s="3"/>
      <c r="DO324" s="3"/>
      <c r="DP324" s="3"/>
      <c r="DQ324" s="3"/>
      <c r="DR324" s="3"/>
      <c r="DS324" s="130"/>
      <c r="DT324" s="130"/>
      <c r="DU324" s="130"/>
      <c r="DV324" s="130"/>
      <c r="DW324" s="130"/>
      <c r="DX324" s="130"/>
      <c r="DY324" s="130"/>
      <c r="DZ324" s="130"/>
      <c r="EA324" s="3"/>
      <c r="EB324" s="3"/>
      <c r="EC324" s="3"/>
      <c r="ED324" s="3"/>
      <c r="EE324" s="3"/>
      <c r="EF324" s="3"/>
      <c r="EG324" s="3"/>
      <c r="EH324" s="3"/>
      <c r="EI324" s="3"/>
      <c r="EJ324" s="3"/>
      <c r="EK324" s="3"/>
      <c r="EL324" s="3"/>
      <c r="EM324" s="3"/>
      <c r="EN324" s="3"/>
      <c r="EO324" s="3"/>
      <c r="EP324" s="3"/>
      <c r="EQ324" s="130"/>
      <c r="ER324" s="130"/>
      <c r="ES324" s="130"/>
      <c r="ET324" s="130"/>
      <c r="EU324" s="130"/>
      <c r="EV324" s="130"/>
      <c r="EW324" s="130"/>
      <c r="EX324" s="130"/>
      <c r="EY324" s="3"/>
      <c r="EZ324" s="3"/>
      <c r="FA324" s="3"/>
      <c r="FB324" s="3"/>
      <c r="FC324" s="3"/>
      <c r="FD324" s="3"/>
      <c r="FE324" s="3"/>
      <c r="FF324" s="3"/>
      <c r="FG324" s="3"/>
      <c r="FH324" s="3"/>
      <c r="FI324" s="3"/>
      <c r="FJ324" s="3"/>
      <c r="FK324" s="3"/>
      <c r="FL324" s="3"/>
      <c r="FM324" s="3"/>
      <c r="FN324" s="3"/>
      <c r="FO324" s="130"/>
      <c r="FP324" s="130"/>
      <c r="FQ324" s="130"/>
      <c r="FR324" s="130"/>
      <c r="FS324" s="130"/>
      <c r="FT324" s="130"/>
      <c r="FU324" s="130"/>
      <c r="FV324" s="130"/>
      <c r="FW324" s="3"/>
      <c r="FX324" s="3"/>
      <c r="FY324" s="3"/>
      <c r="FZ324" s="3"/>
      <c r="GA324" s="3"/>
      <c r="GB324" s="3"/>
      <c r="GC324" s="3"/>
      <c r="GD324" s="3"/>
      <c r="GE324" s="3"/>
      <c r="GF324" s="3"/>
      <c r="GG324" s="3"/>
      <c r="GH324" s="3"/>
      <c r="GI324" s="3"/>
      <c r="GJ324" s="3"/>
      <c r="GK324" s="3"/>
      <c r="GL324" s="3"/>
      <c r="GM324" s="130"/>
      <c r="GN324" s="130"/>
      <c r="GO324" s="130"/>
      <c r="GP324" s="130"/>
      <c r="GQ324" s="130"/>
      <c r="GR324" s="130"/>
      <c r="GS324" s="130"/>
      <c r="GT324" s="130"/>
      <c r="GU324" s="3"/>
      <c r="GV324" s="3"/>
      <c r="GW324" s="3"/>
      <c r="GX324" s="3"/>
      <c r="GY324" s="3"/>
      <c r="GZ324" s="3"/>
      <c r="HA324" s="3"/>
      <c r="HB324" s="3"/>
      <c r="HC324" s="3"/>
      <c r="HD324" s="3"/>
      <c r="HE324" s="3"/>
      <c r="HF324" s="3"/>
      <c r="HG324" s="3"/>
      <c r="HH324" s="3"/>
      <c r="HI324" s="3"/>
      <c r="HJ324" s="3"/>
      <c r="HK324" s="130"/>
      <c r="HL324" s="130"/>
      <c r="HM324" s="130"/>
      <c r="HN324" s="130"/>
      <c r="HO324" s="130"/>
      <c r="HP324" s="130"/>
      <c r="HQ324" s="130"/>
      <c r="HR324" s="130"/>
      <c r="HS324" s="3"/>
      <c r="HT324" s="3"/>
      <c r="HU324" s="3"/>
      <c r="HV324" s="3"/>
      <c r="HW324" s="3"/>
      <c r="HX324" s="3"/>
      <c r="HY324" s="3"/>
      <c r="HZ324" s="3"/>
      <c r="IA324" s="3"/>
      <c r="IB324" s="3"/>
      <c r="IC324" s="3"/>
      <c r="ID324" s="3"/>
      <c r="IE324" s="3"/>
      <c r="IF324" s="3"/>
      <c r="IG324" s="3"/>
      <c r="IH324" s="3"/>
      <c r="II324" s="130"/>
      <c r="IJ324" s="130"/>
      <c r="IK324" s="130"/>
      <c r="IL324" s="130"/>
      <c r="IM324" s="130"/>
      <c r="IN324" s="130"/>
      <c r="IO324" s="130"/>
      <c r="IP324" s="130"/>
      <c r="IQ324" s="3"/>
      <c r="IR324" s="3"/>
      <c r="IS324" s="3"/>
      <c r="IT324" s="3"/>
      <c r="IU324" s="3"/>
      <c r="IV324" s="3"/>
    </row>
    <row r="325" spans="1:256" s="125" customFormat="1">
      <c r="A325" s="16">
        <v>109</v>
      </c>
      <c r="B325" s="60">
        <v>43091</v>
      </c>
      <c r="C325" s="18"/>
      <c r="D325" s="19" t="s">
        <v>441</v>
      </c>
      <c r="E325" s="20" t="s">
        <v>447</v>
      </c>
      <c r="F325" s="168" t="s">
        <v>450</v>
      </c>
      <c r="G325" s="63">
        <v>1710</v>
      </c>
      <c r="H325" s="121">
        <v>1626200</v>
      </c>
      <c r="I325" s="24"/>
      <c r="J325" s="24">
        <f t="shared" si="30"/>
        <v>1548761.9047619046</v>
      </c>
      <c r="K325" s="24">
        <f t="shared" si="26"/>
        <v>1548761.9047619046</v>
      </c>
      <c r="L325" s="123"/>
      <c r="M325" s="24">
        <f t="shared" si="27"/>
        <v>0</v>
      </c>
      <c r="N325" s="124">
        <f t="shared" si="28"/>
        <v>1548761.9047619046</v>
      </c>
      <c r="O325" s="108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130"/>
      <c r="AB325" s="130"/>
      <c r="AC325" s="130"/>
      <c r="AD325" s="130"/>
      <c r="AE325" s="130"/>
      <c r="AF325" s="167"/>
      <c r="AG325" s="167"/>
      <c r="AH325" s="167"/>
      <c r="AY325" s="167"/>
      <c r="AZ325" s="167"/>
      <c r="BA325" s="167"/>
      <c r="BB325" s="167"/>
      <c r="BC325" s="167"/>
      <c r="BD325" s="167"/>
      <c r="BE325" s="167"/>
      <c r="BF325" s="167"/>
      <c r="BW325" s="167"/>
      <c r="BX325" s="167"/>
      <c r="BY325" s="167"/>
      <c r="BZ325" s="167"/>
      <c r="CA325" s="167"/>
      <c r="CB325" s="167"/>
      <c r="CC325" s="167"/>
      <c r="CD325" s="167"/>
      <c r="CU325" s="167"/>
      <c r="CV325" s="167"/>
      <c r="CW325" s="167"/>
      <c r="CX325" s="167"/>
      <c r="CY325" s="167"/>
      <c r="CZ325" s="167"/>
      <c r="DA325" s="167"/>
      <c r="DB325" s="167"/>
      <c r="DS325" s="167"/>
      <c r="DT325" s="167"/>
      <c r="DU325" s="167"/>
      <c r="DV325" s="167"/>
      <c r="DW325" s="167"/>
      <c r="DX325" s="167"/>
      <c r="DY325" s="167"/>
      <c r="DZ325" s="167"/>
      <c r="EQ325" s="167"/>
      <c r="ER325" s="167"/>
      <c r="ES325" s="167"/>
      <c r="ET325" s="167"/>
      <c r="EU325" s="167"/>
      <c r="EV325" s="167"/>
      <c r="EW325" s="167"/>
      <c r="EX325" s="167"/>
      <c r="FO325" s="167"/>
      <c r="FP325" s="167"/>
      <c r="FQ325" s="167"/>
      <c r="FR325" s="167"/>
      <c r="FS325" s="167"/>
      <c r="FT325" s="167"/>
      <c r="FU325" s="167"/>
      <c r="FV325" s="167"/>
      <c r="GM325" s="167"/>
      <c r="GN325" s="167"/>
      <c r="GO325" s="167"/>
      <c r="GP325" s="167"/>
      <c r="GQ325" s="167"/>
      <c r="GR325" s="167"/>
      <c r="GS325" s="167"/>
      <c r="GT325" s="167"/>
      <c r="HK325" s="167"/>
      <c r="HL325" s="167"/>
      <c r="HM325" s="167"/>
      <c r="HN325" s="167"/>
      <c r="HO325" s="167"/>
      <c r="HP325" s="167"/>
      <c r="HQ325" s="167"/>
      <c r="HR325" s="167"/>
      <c r="II325" s="167"/>
      <c r="IJ325" s="167"/>
      <c r="IK325" s="167"/>
      <c r="IL325" s="167"/>
      <c r="IM325" s="167"/>
      <c r="IN325" s="167"/>
      <c r="IO325" s="167"/>
      <c r="IP325" s="167"/>
    </row>
    <row r="326" spans="1:256" s="125" customFormat="1">
      <c r="A326" s="16">
        <v>110</v>
      </c>
      <c r="B326" s="60">
        <v>43091</v>
      </c>
      <c r="C326" s="18"/>
      <c r="D326" s="19" t="s">
        <v>441</v>
      </c>
      <c r="E326" s="20" t="s">
        <v>447</v>
      </c>
      <c r="F326" s="82" t="s">
        <v>451</v>
      </c>
      <c r="G326" s="63">
        <v>1710</v>
      </c>
      <c r="H326" s="121">
        <v>1626200</v>
      </c>
      <c r="I326" s="24"/>
      <c r="J326" s="24">
        <f t="shared" si="30"/>
        <v>1548761.9047619046</v>
      </c>
      <c r="K326" s="24">
        <f t="shared" si="26"/>
        <v>1548761.9047619046</v>
      </c>
      <c r="L326" s="123"/>
      <c r="M326" s="24">
        <f t="shared" si="27"/>
        <v>0</v>
      </c>
      <c r="N326" s="124">
        <f t="shared" si="28"/>
        <v>1548761.9047619046</v>
      </c>
      <c r="O326" s="108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130"/>
      <c r="AB326" s="130"/>
      <c r="AC326" s="130"/>
      <c r="AD326" s="130"/>
      <c r="AE326" s="130"/>
      <c r="AF326" s="130"/>
      <c r="AG326" s="130"/>
      <c r="AH326" s="130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130"/>
      <c r="AZ326" s="130"/>
      <c r="BA326" s="130"/>
      <c r="BB326" s="130"/>
      <c r="BC326" s="130"/>
      <c r="BD326" s="130"/>
      <c r="BE326" s="130"/>
      <c r="BF326" s="130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130"/>
      <c r="BX326" s="130"/>
      <c r="BY326" s="130"/>
      <c r="BZ326" s="130"/>
      <c r="CA326" s="130"/>
      <c r="CB326" s="130"/>
      <c r="CC326" s="130"/>
      <c r="CD326" s="130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130"/>
      <c r="CV326" s="130"/>
      <c r="CW326" s="130"/>
      <c r="CX326" s="130"/>
      <c r="CY326" s="130"/>
      <c r="CZ326" s="130"/>
      <c r="DA326" s="130"/>
      <c r="DB326" s="130"/>
      <c r="DC326" s="3"/>
      <c r="DD326" s="3"/>
      <c r="DE326" s="3"/>
      <c r="DF326" s="3"/>
      <c r="DG326" s="3"/>
      <c r="DH326" s="3"/>
      <c r="DI326" s="3"/>
      <c r="DJ326" s="3"/>
      <c r="DK326" s="3"/>
      <c r="DL326" s="3"/>
      <c r="DM326" s="3"/>
      <c r="DN326" s="3"/>
      <c r="DO326" s="3"/>
      <c r="DP326" s="3"/>
      <c r="DQ326" s="3"/>
      <c r="DR326" s="3"/>
      <c r="DS326" s="130"/>
      <c r="DT326" s="130"/>
      <c r="DU326" s="130"/>
      <c r="DV326" s="130"/>
      <c r="DW326" s="130"/>
      <c r="DX326" s="130"/>
      <c r="DY326" s="130"/>
      <c r="DZ326" s="130"/>
      <c r="EA326" s="3"/>
      <c r="EB326" s="3"/>
      <c r="EC326" s="3"/>
      <c r="ED326" s="3"/>
      <c r="EE326" s="3"/>
      <c r="EF326" s="3"/>
      <c r="EG326" s="3"/>
      <c r="EH326" s="3"/>
      <c r="EI326" s="3"/>
      <c r="EJ326" s="3"/>
      <c r="EK326" s="3"/>
      <c r="EL326" s="3"/>
      <c r="EM326" s="3"/>
      <c r="EN326" s="3"/>
      <c r="EO326" s="3"/>
      <c r="EP326" s="3"/>
      <c r="EQ326" s="130"/>
      <c r="ER326" s="130"/>
      <c r="ES326" s="130"/>
      <c r="ET326" s="130"/>
      <c r="EU326" s="130"/>
      <c r="EV326" s="130"/>
      <c r="EW326" s="130"/>
      <c r="EX326" s="130"/>
      <c r="EY326" s="3"/>
      <c r="EZ326" s="3"/>
      <c r="FA326" s="3"/>
      <c r="FB326" s="3"/>
      <c r="FC326" s="3"/>
      <c r="FD326" s="3"/>
      <c r="FE326" s="3"/>
      <c r="FF326" s="3"/>
      <c r="FG326" s="3"/>
      <c r="FH326" s="3"/>
      <c r="FI326" s="3"/>
      <c r="FJ326" s="3"/>
      <c r="FK326" s="3"/>
      <c r="FL326" s="3"/>
      <c r="FM326" s="3"/>
      <c r="FN326" s="3"/>
      <c r="FO326" s="130"/>
      <c r="FP326" s="130"/>
      <c r="FQ326" s="130"/>
      <c r="FR326" s="130"/>
      <c r="FS326" s="130"/>
      <c r="FT326" s="130"/>
      <c r="FU326" s="130"/>
      <c r="FV326" s="130"/>
      <c r="FW326" s="3"/>
      <c r="FX326" s="3"/>
      <c r="FY326" s="3"/>
      <c r="FZ326" s="3"/>
      <c r="GA326" s="3"/>
      <c r="GB326" s="3"/>
      <c r="GC326" s="3"/>
      <c r="GD326" s="3"/>
      <c r="GE326" s="3"/>
      <c r="GF326" s="3"/>
      <c r="GG326" s="3"/>
      <c r="GH326" s="3"/>
      <c r="GI326" s="3"/>
      <c r="GJ326" s="3"/>
      <c r="GK326" s="3"/>
      <c r="GL326" s="3"/>
      <c r="GM326" s="130"/>
      <c r="GN326" s="130"/>
      <c r="GO326" s="130"/>
      <c r="GP326" s="130"/>
      <c r="GQ326" s="130"/>
      <c r="GR326" s="130"/>
      <c r="GS326" s="130"/>
      <c r="GT326" s="130"/>
      <c r="GU326" s="3"/>
      <c r="GV326" s="3"/>
      <c r="GW326" s="3"/>
      <c r="GX326" s="3"/>
      <c r="GY326" s="3"/>
      <c r="GZ326" s="3"/>
      <c r="HA326" s="3"/>
      <c r="HB326" s="3"/>
      <c r="HC326" s="3"/>
      <c r="HD326" s="3"/>
      <c r="HE326" s="3"/>
      <c r="HF326" s="3"/>
      <c r="HG326" s="3"/>
      <c r="HH326" s="3"/>
      <c r="HI326" s="3"/>
      <c r="HJ326" s="3"/>
      <c r="HK326" s="130"/>
      <c r="HL326" s="130"/>
      <c r="HM326" s="130"/>
      <c r="HN326" s="130"/>
      <c r="HO326" s="130"/>
      <c r="HP326" s="130"/>
      <c r="HQ326" s="130"/>
      <c r="HR326" s="130"/>
      <c r="HS326" s="3"/>
      <c r="HT326" s="3"/>
      <c r="HU326" s="3"/>
      <c r="HV326" s="3"/>
      <c r="HW326" s="3"/>
      <c r="HX326" s="3"/>
      <c r="HY326" s="3"/>
      <c r="HZ326" s="3"/>
      <c r="IA326" s="3"/>
      <c r="IB326" s="3"/>
      <c r="IC326" s="3"/>
      <c r="ID326" s="3"/>
      <c r="IE326" s="3"/>
      <c r="IF326" s="3"/>
      <c r="IG326" s="3"/>
      <c r="IH326" s="3"/>
      <c r="II326" s="130"/>
      <c r="IJ326" s="130"/>
      <c r="IK326" s="130"/>
      <c r="IL326" s="130"/>
      <c r="IM326" s="130"/>
      <c r="IN326" s="130"/>
      <c r="IO326" s="130"/>
      <c r="IP326" s="130"/>
      <c r="IQ326" s="3"/>
      <c r="IR326" s="3"/>
      <c r="IS326" s="3"/>
      <c r="IT326" s="3"/>
      <c r="IU326" s="3"/>
      <c r="IV326" s="3"/>
    </row>
    <row r="327" spans="1:256" s="3" customFormat="1">
      <c r="A327" s="16">
        <v>111</v>
      </c>
      <c r="B327" s="56">
        <v>43090</v>
      </c>
      <c r="C327" s="18"/>
      <c r="D327" s="19" t="s">
        <v>441</v>
      </c>
      <c r="E327" s="20" t="s">
        <v>447</v>
      </c>
      <c r="F327" s="82" t="s">
        <v>452</v>
      </c>
      <c r="G327" s="58">
        <v>1710</v>
      </c>
      <c r="H327" s="121">
        <v>1626200</v>
      </c>
      <c r="I327" s="24"/>
      <c r="J327" s="24">
        <f t="shared" si="30"/>
        <v>1548761.9047619046</v>
      </c>
      <c r="K327" s="199">
        <f t="shared" si="26"/>
        <v>1548761.9047619046</v>
      </c>
      <c r="L327" s="123"/>
      <c r="M327" s="24">
        <f t="shared" si="27"/>
        <v>0</v>
      </c>
      <c r="N327" s="124">
        <f t="shared" si="28"/>
        <v>1548761.9047619046</v>
      </c>
      <c r="O327" s="107"/>
      <c r="AA327" s="130"/>
      <c r="AB327" s="130"/>
      <c r="AC327" s="130"/>
      <c r="AD327" s="130"/>
      <c r="AE327" s="130"/>
      <c r="AF327" s="130"/>
      <c r="AG327" s="130"/>
      <c r="AH327" s="130"/>
      <c r="AY327" s="130"/>
      <c r="AZ327" s="130"/>
      <c r="BA327" s="130"/>
      <c r="BB327" s="130"/>
      <c r="BC327" s="130"/>
      <c r="BD327" s="130"/>
      <c r="BE327" s="130"/>
      <c r="BF327" s="130"/>
      <c r="BW327" s="130"/>
      <c r="BX327" s="130"/>
      <c r="BY327" s="130"/>
      <c r="BZ327" s="130"/>
      <c r="CA327" s="130"/>
      <c r="CB327" s="130"/>
      <c r="CC327" s="130"/>
      <c r="CD327" s="130"/>
      <c r="CU327" s="130"/>
      <c r="CV327" s="130"/>
      <c r="CW327" s="130"/>
      <c r="CX327" s="130"/>
      <c r="CY327" s="130"/>
      <c r="CZ327" s="130"/>
      <c r="DA327" s="130"/>
      <c r="DB327" s="130"/>
      <c r="DS327" s="130"/>
      <c r="DT327" s="130"/>
      <c r="DU327" s="130"/>
      <c r="DV327" s="130"/>
      <c r="DW327" s="130"/>
      <c r="DX327" s="130"/>
      <c r="DY327" s="130"/>
      <c r="DZ327" s="130"/>
      <c r="EQ327" s="130"/>
      <c r="ER327" s="130"/>
      <c r="ES327" s="130"/>
      <c r="ET327" s="130"/>
      <c r="EU327" s="130"/>
      <c r="EV327" s="130"/>
      <c r="EW327" s="130"/>
      <c r="EX327" s="130"/>
      <c r="FO327" s="130"/>
      <c r="FP327" s="130"/>
      <c r="FQ327" s="130"/>
      <c r="FR327" s="130"/>
      <c r="FS327" s="130"/>
      <c r="FT327" s="130"/>
      <c r="FU327" s="130"/>
      <c r="FV327" s="130"/>
      <c r="GM327" s="130"/>
      <c r="GN327" s="130"/>
      <c r="GO327" s="130"/>
      <c r="GP327" s="130"/>
      <c r="GQ327" s="130"/>
      <c r="GR327" s="130"/>
      <c r="GS327" s="130"/>
      <c r="GT327" s="130"/>
      <c r="HK327" s="130"/>
      <c r="HL327" s="130"/>
      <c r="HM327" s="130"/>
      <c r="HN327" s="130"/>
      <c r="HO327" s="130"/>
      <c r="HP327" s="130"/>
      <c r="HQ327" s="130"/>
      <c r="HR327" s="130"/>
      <c r="II327" s="130"/>
      <c r="IJ327" s="130"/>
      <c r="IK327" s="130"/>
      <c r="IL327" s="130"/>
      <c r="IM327" s="130"/>
      <c r="IN327" s="130"/>
      <c r="IO327" s="130"/>
      <c r="IP327" s="130"/>
    </row>
    <row r="328" spans="1:256" s="3" customFormat="1">
      <c r="A328" s="16">
        <v>112</v>
      </c>
      <c r="B328" s="56">
        <v>43097</v>
      </c>
      <c r="C328" s="18"/>
      <c r="D328" s="19" t="s">
        <v>441</v>
      </c>
      <c r="E328" s="20" t="s">
        <v>447</v>
      </c>
      <c r="F328" s="62" t="s">
        <v>453</v>
      </c>
      <c r="G328" s="63">
        <v>1711</v>
      </c>
      <c r="H328" s="121">
        <f>93600+1626200</f>
        <v>1719800</v>
      </c>
      <c r="I328" s="24"/>
      <c r="J328" s="24">
        <f t="shared" si="30"/>
        <v>1637904.7619047619</v>
      </c>
      <c r="K328" s="24">
        <f t="shared" si="26"/>
        <v>1637904.7619047619</v>
      </c>
      <c r="L328" s="123"/>
      <c r="M328" s="24">
        <f t="shared" si="27"/>
        <v>0</v>
      </c>
      <c r="N328" s="124">
        <f t="shared" si="28"/>
        <v>1637904.7619047619</v>
      </c>
      <c r="O328" s="87"/>
      <c r="Q328" s="140"/>
      <c r="AA328" s="130"/>
      <c r="AB328" s="130"/>
      <c r="AC328" s="130"/>
      <c r="AD328" s="130"/>
      <c r="AE328" s="130"/>
      <c r="AF328" s="130"/>
      <c r="AG328" s="130"/>
      <c r="AH328" s="130"/>
      <c r="AY328" s="130"/>
      <c r="AZ328" s="130"/>
      <c r="BA328" s="130"/>
      <c r="BB328" s="130"/>
      <c r="BC328" s="130"/>
      <c r="BD328" s="130"/>
      <c r="BE328" s="130"/>
      <c r="BF328" s="130"/>
      <c r="BW328" s="130"/>
      <c r="BX328" s="130"/>
      <c r="BY328" s="130"/>
      <c r="BZ328" s="130"/>
      <c r="CA328" s="130"/>
      <c r="CB328" s="130"/>
      <c r="CC328" s="130"/>
      <c r="CD328" s="130"/>
      <c r="CU328" s="130"/>
      <c r="CV328" s="130"/>
      <c r="CW328" s="130"/>
      <c r="CX328" s="130"/>
      <c r="CY328" s="130"/>
      <c r="CZ328" s="130"/>
      <c r="DA328" s="130"/>
      <c r="DB328" s="130"/>
      <c r="DS328" s="130"/>
      <c r="DT328" s="130"/>
      <c r="DU328" s="130"/>
      <c r="DV328" s="130"/>
      <c r="DW328" s="130"/>
      <c r="DX328" s="130"/>
      <c r="DY328" s="130"/>
      <c r="DZ328" s="130"/>
      <c r="EQ328" s="130"/>
      <c r="ER328" s="130"/>
      <c r="ES328" s="130"/>
      <c r="ET328" s="130"/>
      <c r="EU328" s="130"/>
      <c r="EV328" s="130"/>
      <c r="EW328" s="130"/>
      <c r="EX328" s="130"/>
      <c r="FO328" s="130"/>
      <c r="FP328" s="130"/>
      <c r="FQ328" s="130"/>
      <c r="FR328" s="130"/>
      <c r="FS328" s="130"/>
      <c r="FT328" s="130"/>
      <c r="FU328" s="130"/>
      <c r="FV328" s="130"/>
      <c r="GM328" s="130"/>
      <c r="GN328" s="130"/>
      <c r="GO328" s="130"/>
      <c r="GP328" s="130"/>
      <c r="GQ328" s="130"/>
      <c r="GR328" s="130"/>
      <c r="GS328" s="130"/>
      <c r="GT328" s="130"/>
      <c r="HK328" s="130"/>
      <c r="HL328" s="130"/>
      <c r="HM328" s="130"/>
      <c r="HN328" s="130"/>
      <c r="HO328" s="130"/>
      <c r="HP328" s="130"/>
      <c r="HQ328" s="130"/>
      <c r="HR328" s="130"/>
      <c r="II328" s="130"/>
      <c r="IJ328" s="130"/>
      <c r="IK328" s="130"/>
      <c r="IL328" s="130"/>
      <c r="IM328" s="130"/>
      <c r="IN328" s="130"/>
      <c r="IO328" s="130"/>
      <c r="IP328" s="130"/>
    </row>
    <row r="329" spans="1:256" s="3" customFormat="1">
      <c r="A329" s="16">
        <v>113</v>
      </c>
      <c r="B329" s="56">
        <v>43083</v>
      </c>
      <c r="C329" s="18"/>
      <c r="D329" s="19" t="s">
        <v>441</v>
      </c>
      <c r="E329" s="20" t="s">
        <v>454</v>
      </c>
      <c r="F329" s="82" t="s">
        <v>455</v>
      </c>
      <c r="G329" s="58">
        <v>1707</v>
      </c>
      <c r="H329" s="121">
        <f>160000+1823600-30000</f>
        <v>1953600</v>
      </c>
      <c r="I329" s="24"/>
      <c r="J329" s="24">
        <f t="shared" si="30"/>
        <v>1860571.4285714284</v>
      </c>
      <c r="K329" s="24">
        <f t="shared" si="26"/>
        <v>1860571.4285714284</v>
      </c>
      <c r="L329" s="123"/>
      <c r="M329" s="24">
        <f t="shared" si="27"/>
        <v>0</v>
      </c>
      <c r="N329" s="124">
        <f t="shared" si="28"/>
        <v>1860571.4285714284</v>
      </c>
      <c r="O329" s="85"/>
      <c r="AA329" s="130"/>
      <c r="AB329" s="130"/>
      <c r="AC329" s="130"/>
      <c r="AD329" s="130"/>
      <c r="AE329" s="130"/>
      <c r="AF329" s="167"/>
      <c r="AG329" s="167"/>
      <c r="AH329" s="167"/>
      <c r="AI329" s="125"/>
      <c r="AJ329" s="125"/>
      <c r="AK329" s="125"/>
      <c r="AL329" s="125"/>
      <c r="AM329" s="125"/>
      <c r="AN329" s="125"/>
      <c r="AO329" s="125"/>
      <c r="AP329" s="125"/>
      <c r="AQ329" s="125"/>
      <c r="AR329" s="125"/>
      <c r="AS329" s="125"/>
      <c r="AT329" s="125"/>
      <c r="AU329" s="125"/>
      <c r="AV329" s="125"/>
      <c r="AW329" s="125"/>
      <c r="AX329" s="125"/>
      <c r="AY329" s="167"/>
      <c r="AZ329" s="167"/>
      <c r="BA329" s="167"/>
      <c r="BB329" s="167"/>
      <c r="BC329" s="167"/>
      <c r="BD329" s="167"/>
      <c r="BE329" s="167"/>
      <c r="BF329" s="167"/>
      <c r="BG329" s="125"/>
      <c r="BH329" s="125"/>
      <c r="BI329" s="125"/>
      <c r="BJ329" s="125"/>
      <c r="BK329" s="125"/>
      <c r="BL329" s="125"/>
      <c r="BM329" s="125"/>
      <c r="BN329" s="125"/>
      <c r="BO329" s="125"/>
      <c r="BP329" s="125"/>
      <c r="BQ329" s="125"/>
      <c r="BR329" s="125"/>
      <c r="BS329" s="125"/>
      <c r="BT329" s="125"/>
      <c r="BU329" s="125"/>
      <c r="BV329" s="125"/>
      <c r="BW329" s="167"/>
      <c r="BX329" s="167"/>
      <c r="BY329" s="167"/>
      <c r="BZ329" s="167"/>
      <c r="CA329" s="167"/>
      <c r="CB329" s="167"/>
      <c r="CC329" s="167"/>
      <c r="CD329" s="167"/>
      <c r="CE329" s="125"/>
      <c r="CF329" s="125"/>
      <c r="CG329" s="125"/>
      <c r="CH329" s="125"/>
      <c r="CI329" s="125"/>
      <c r="CJ329" s="125"/>
      <c r="CK329" s="125"/>
      <c r="CL329" s="125"/>
      <c r="CM329" s="125"/>
      <c r="CN329" s="125"/>
      <c r="CO329" s="125"/>
      <c r="CP329" s="125"/>
      <c r="CQ329" s="125"/>
      <c r="CR329" s="125"/>
      <c r="CS329" s="125"/>
      <c r="CT329" s="125"/>
      <c r="CU329" s="167"/>
      <c r="CV329" s="167"/>
      <c r="CW329" s="167"/>
      <c r="CX329" s="167"/>
      <c r="CY329" s="167"/>
      <c r="CZ329" s="167"/>
      <c r="DA329" s="167"/>
      <c r="DB329" s="167"/>
      <c r="DC329" s="125"/>
      <c r="DD329" s="125"/>
      <c r="DE329" s="125"/>
      <c r="DF329" s="125"/>
      <c r="DG329" s="125"/>
      <c r="DH329" s="125"/>
      <c r="DI329" s="125"/>
      <c r="DJ329" s="125"/>
      <c r="DK329" s="125"/>
      <c r="DL329" s="125"/>
      <c r="DM329" s="125"/>
      <c r="DN329" s="125"/>
      <c r="DO329" s="125"/>
      <c r="DP329" s="125"/>
      <c r="DQ329" s="125"/>
      <c r="DR329" s="125"/>
      <c r="DS329" s="167"/>
      <c r="DT329" s="167"/>
      <c r="DU329" s="167"/>
      <c r="DV329" s="167"/>
      <c r="DW329" s="167"/>
      <c r="DX329" s="167"/>
      <c r="DY329" s="167"/>
      <c r="DZ329" s="167"/>
      <c r="EA329" s="125"/>
      <c r="EB329" s="125"/>
      <c r="EC329" s="125"/>
      <c r="ED329" s="125"/>
      <c r="EE329" s="125"/>
      <c r="EF329" s="125"/>
      <c r="EG329" s="125"/>
      <c r="EH329" s="125"/>
      <c r="EI329" s="125"/>
      <c r="EJ329" s="125"/>
      <c r="EK329" s="125"/>
      <c r="EL329" s="125"/>
      <c r="EM329" s="125"/>
      <c r="EN329" s="125"/>
      <c r="EO329" s="125"/>
      <c r="EP329" s="125"/>
      <c r="EQ329" s="167"/>
      <c r="ER329" s="167"/>
      <c r="ES329" s="167"/>
      <c r="ET329" s="167"/>
      <c r="EU329" s="167"/>
      <c r="EV329" s="167"/>
      <c r="EW329" s="167"/>
      <c r="EX329" s="167"/>
      <c r="EY329" s="125"/>
      <c r="EZ329" s="125"/>
      <c r="FA329" s="125"/>
      <c r="FB329" s="125"/>
      <c r="FC329" s="125"/>
      <c r="FD329" s="125"/>
      <c r="FE329" s="125"/>
      <c r="FF329" s="125"/>
      <c r="FG329" s="125"/>
      <c r="FH329" s="125"/>
      <c r="FI329" s="125"/>
      <c r="FJ329" s="125"/>
      <c r="FK329" s="125"/>
      <c r="FL329" s="125"/>
      <c r="FM329" s="125"/>
      <c r="FN329" s="125"/>
      <c r="FO329" s="167"/>
      <c r="FP329" s="167"/>
      <c r="FQ329" s="167"/>
      <c r="FR329" s="167"/>
      <c r="FS329" s="167"/>
      <c r="FT329" s="167"/>
      <c r="FU329" s="167"/>
      <c r="FV329" s="167"/>
      <c r="FW329" s="125"/>
      <c r="FX329" s="125"/>
      <c r="FY329" s="125"/>
      <c r="FZ329" s="125"/>
      <c r="GA329" s="125"/>
      <c r="GB329" s="125"/>
      <c r="GC329" s="125"/>
      <c r="GD329" s="125"/>
      <c r="GE329" s="125"/>
      <c r="GF329" s="125"/>
      <c r="GG329" s="125"/>
      <c r="GH329" s="125"/>
      <c r="GI329" s="125"/>
      <c r="GJ329" s="125"/>
      <c r="GK329" s="125"/>
      <c r="GL329" s="125"/>
      <c r="GM329" s="167"/>
      <c r="GN329" s="167"/>
      <c r="GO329" s="167"/>
      <c r="GP329" s="167"/>
      <c r="GQ329" s="167"/>
      <c r="GR329" s="167"/>
      <c r="GS329" s="167"/>
      <c r="GT329" s="167"/>
      <c r="GU329" s="125"/>
      <c r="GV329" s="125"/>
      <c r="GW329" s="125"/>
      <c r="GX329" s="125"/>
      <c r="GY329" s="125"/>
      <c r="GZ329" s="125"/>
      <c r="HA329" s="125"/>
      <c r="HB329" s="125"/>
      <c r="HC329" s="125"/>
      <c r="HD329" s="125"/>
      <c r="HE329" s="125"/>
      <c r="HF329" s="125"/>
      <c r="HG329" s="125"/>
      <c r="HH329" s="125"/>
      <c r="HI329" s="125"/>
      <c r="HJ329" s="125"/>
      <c r="HK329" s="167"/>
      <c r="HL329" s="167"/>
      <c r="HM329" s="167"/>
      <c r="HN329" s="167"/>
      <c r="HO329" s="167"/>
      <c r="HP329" s="167"/>
      <c r="HQ329" s="167"/>
      <c r="HR329" s="167"/>
      <c r="HS329" s="125"/>
      <c r="HT329" s="125"/>
      <c r="HU329" s="125"/>
      <c r="HV329" s="125"/>
      <c r="HW329" s="125"/>
      <c r="HX329" s="125"/>
      <c r="HY329" s="125"/>
      <c r="HZ329" s="125"/>
      <c r="IA329" s="125"/>
      <c r="IB329" s="125"/>
      <c r="IC329" s="125"/>
      <c r="ID329" s="125"/>
      <c r="IE329" s="125"/>
      <c r="IF329" s="125"/>
      <c r="IG329" s="125"/>
      <c r="IH329" s="125"/>
      <c r="II329" s="167"/>
      <c r="IJ329" s="167"/>
      <c r="IK329" s="167"/>
      <c r="IL329" s="167"/>
      <c r="IM329" s="167"/>
      <c r="IN329" s="167"/>
      <c r="IO329" s="167"/>
      <c r="IP329" s="167"/>
      <c r="IQ329" s="125"/>
      <c r="IR329" s="125"/>
      <c r="IS329" s="125"/>
      <c r="IT329" s="125"/>
      <c r="IU329" s="125"/>
      <c r="IV329" s="125"/>
    </row>
    <row r="330" spans="1:256" s="3" customFormat="1">
      <c r="A330" s="16">
        <v>114</v>
      </c>
      <c r="B330" s="56">
        <v>43068</v>
      </c>
      <c r="C330" s="18"/>
      <c r="D330" s="19" t="s">
        <v>441</v>
      </c>
      <c r="E330" s="20" t="s">
        <v>454</v>
      </c>
      <c r="F330" s="82" t="s">
        <v>456</v>
      </c>
      <c r="G330" s="58">
        <v>1708</v>
      </c>
      <c r="H330" s="121">
        <v>1823600</v>
      </c>
      <c r="I330" s="24">
        <v>1736762</v>
      </c>
      <c r="J330" s="24"/>
      <c r="K330" s="24">
        <f t="shared" si="26"/>
        <v>1736762</v>
      </c>
      <c r="L330" s="123"/>
      <c r="M330" s="24">
        <f t="shared" si="27"/>
        <v>0</v>
      </c>
      <c r="N330" s="124">
        <f t="shared" si="28"/>
        <v>1736762</v>
      </c>
      <c r="O330" s="87"/>
      <c r="Q330" s="140"/>
      <c r="AA330" s="141"/>
      <c r="AB330" s="142"/>
      <c r="AC330" s="142"/>
      <c r="AD330" s="142"/>
      <c r="AE330" s="142"/>
      <c r="AF330" s="177"/>
      <c r="AG330" s="177"/>
      <c r="AH330" s="178"/>
      <c r="AI330" s="125"/>
      <c r="AJ330" s="125"/>
      <c r="AK330" s="125"/>
      <c r="AL330" s="125"/>
      <c r="AM330" s="125"/>
      <c r="AN330" s="125"/>
      <c r="AO330" s="125"/>
      <c r="AP330" s="125"/>
      <c r="AQ330" s="125"/>
      <c r="AR330" s="125"/>
      <c r="AS330" s="125"/>
      <c r="AT330" s="125"/>
      <c r="AU330" s="125"/>
      <c r="AV330" s="125"/>
      <c r="AW330" s="125"/>
      <c r="AX330" s="125"/>
      <c r="AY330" s="179"/>
      <c r="AZ330" s="177"/>
      <c r="BA330" s="177"/>
      <c r="BB330" s="177"/>
      <c r="BC330" s="177"/>
      <c r="BD330" s="177"/>
      <c r="BE330" s="177"/>
      <c r="BF330" s="178"/>
      <c r="BG330" s="125"/>
      <c r="BH330" s="125"/>
      <c r="BI330" s="125"/>
      <c r="BJ330" s="125"/>
      <c r="BK330" s="125"/>
      <c r="BL330" s="125"/>
      <c r="BM330" s="125"/>
      <c r="BN330" s="125"/>
      <c r="BO330" s="125"/>
      <c r="BP330" s="125"/>
      <c r="BQ330" s="125"/>
      <c r="BR330" s="125"/>
      <c r="BS330" s="125"/>
      <c r="BT330" s="125"/>
      <c r="BU330" s="125"/>
      <c r="BV330" s="125"/>
      <c r="BW330" s="179"/>
      <c r="BX330" s="177"/>
      <c r="BY330" s="177"/>
      <c r="BZ330" s="177"/>
      <c r="CA330" s="177"/>
      <c r="CB330" s="177"/>
      <c r="CC330" s="177"/>
      <c r="CD330" s="178"/>
      <c r="CE330" s="125"/>
      <c r="CF330" s="125"/>
      <c r="CG330" s="125"/>
      <c r="CH330" s="125"/>
      <c r="CI330" s="125"/>
      <c r="CJ330" s="125"/>
      <c r="CK330" s="125"/>
      <c r="CL330" s="125"/>
      <c r="CM330" s="125"/>
      <c r="CN330" s="125"/>
      <c r="CO330" s="125"/>
      <c r="CP330" s="125"/>
      <c r="CQ330" s="125"/>
      <c r="CR330" s="125"/>
      <c r="CS330" s="125"/>
      <c r="CT330" s="125"/>
      <c r="CU330" s="179"/>
      <c r="CV330" s="177"/>
      <c r="CW330" s="177"/>
      <c r="CX330" s="177"/>
      <c r="CY330" s="177"/>
      <c r="CZ330" s="177"/>
      <c r="DA330" s="177"/>
      <c r="DB330" s="178"/>
      <c r="DC330" s="125"/>
      <c r="DD330" s="125"/>
      <c r="DE330" s="125"/>
      <c r="DF330" s="125"/>
      <c r="DG330" s="125"/>
      <c r="DH330" s="125"/>
      <c r="DI330" s="125"/>
      <c r="DJ330" s="125"/>
      <c r="DK330" s="125"/>
      <c r="DL330" s="125"/>
      <c r="DM330" s="125"/>
      <c r="DN330" s="125"/>
      <c r="DO330" s="125"/>
      <c r="DP330" s="125"/>
      <c r="DQ330" s="125"/>
      <c r="DR330" s="125"/>
      <c r="DS330" s="179"/>
      <c r="DT330" s="177"/>
      <c r="DU330" s="177"/>
      <c r="DV330" s="177"/>
      <c r="DW330" s="177"/>
      <c r="DX330" s="177"/>
      <c r="DY330" s="177"/>
      <c r="DZ330" s="178"/>
      <c r="EA330" s="125"/>
      <c r="EB330" s="125"/>
      <c r="EC330" s="125"/>
      <c r="ED330" s="125"/>
      <c r="EE330" s="125"/>
      <c r="EF330" s="125"/>
      <c r="EG330" s="125"/>
      <c r="EH330" s="125"/>
      <c r="EI330" s="125"/>
      <c r="EJ330" s="125"/>
      <c r="EK330" s="125"/>
      <c r="EL330" s="125"/>
      <c r="EM330" s="125"/>
      <c r="EN330" s="125"/>
      <c r="EO330" s="125"/>
      <c r="EP330" s="125"/>
      <c r="EQ330" s="179"/>
      <c r="ER330" s="177"/>
      <c r="ES330" s="177"/>
      <c r="ET330" s="177"/>
      <c r="EU330" s="177"/>
      <c r="EV330" s="177"/>
      <c r="EW330" s="177"/>
      <c r="EX330" s="178"/>
      <c r="EY330" s="125"/>
      <c r="EZ330" s="125"/>
      <c r="FA330" s="125"/>
      <c r="FB330" s="125"/>
      <c r="FC330" s="125"/>
      <c r="FD330" s="125"/>
      <c r="FE330" s="125"/>
      <c r="FF330" s="125"/>
      <c r="FG330" s="125"/>
      <c r="FH330" s="125"/>
      <c r="FI330" s="125"/>
      <c r="FJ330" s="125"/>
      <c r="FK330" s="125"/>
      <c r="FL330" s="125"/>
      <c r="FM330" s="125"/>
      <c r="FN330" s="125"/>
      <c r="FO330" s="179"/>
      <c r="FP330" s="177"/>
      <c r="FQ330" s="177"/>
      <c r="FR330" s="177"/>
      <c r="FS330" s="177"/>
      <c r="FT330" s="177"/>
      <c r="FU330" s="177"/>
      <c r="FV330" s="178"/>
      <c r="FW330" s="125"/>
      <c r="FX330" s="125"/>
      <c r="FY330" s="125"/>
      <c r="FZ330" s="125"/>
      <c r="GA330" s="125"/>
      <c r="GB330" s="125"/>
      <c r="GC330" s="125"/>
      <c r="GD330" s="125"/>
      <c r="GE330" s="125"/>
      <c r="GF330" s="125"/>
      <c r="GG330" s="125"/>
      <c r="GH330" s="125"/>
      <c r="GI330" s="125"/>
      <c r="GJ330" s="125"/>
      <c r="GK330" s="125"/>
      <c r="GL330" s="125"/>
      <c r="GM330" s="179"/>
      <c r="GN330" s="177"/>
      <c r="GO330" s="177"/>
      <c r="GP330" s="177"/>
      <c r="GQ330" s="177"/>
      <c r="GR330" s="177"/>
      <c r="GS330" s="177"/>
      <c r="GT330" s="178"/>
      <c r="GU330" s="125"/>
      <c r="GV330" s="125"/>
      <c r="GW330" s="125"/>
      <c r="GX330" s="125"/>
      <c r="GY330" s="125"/>
      <c r="GZ330" s="125"/>
      <c r="HA330" s="125"/>
      <c r="HB330" s="125"/>
      <c r="HC330" s="125"/>
      <c r="HD330" s="125"/>
      <c r="HE330" s="125"/>
      <c r="HF330" s="125"/>
      <c r="HG330" s="125"/>
      <c r="HH330" s="125"/>
      <c r="HI330" s="125"/>
      <c r="HJ330" s="125"/>
      <c r="HK330" s="179"/>
      <c r="HL330" s="177"/>
      <c r="HM330" s="177"/>
      <c r="HN330" s="177"/>
      <c r="HO330" s="177"/>
      <c r="HP330" s="177"/>
      <c r="HQ330" s="177"/>
      <c r="HR330" s="178"/>
      <c r="HS330" s="125"/>
      <c r="HT330" s="125"/>
      <c r="HU330" s="125"/>
      <c r="HV330" s="125"/>
      <c r="HW330" s="125"/>
      <c r="HX330" s="125"/>
      <c r="HY330" s="125"/>
      <c r="HZ330" s="125"/>
      <c r="IA330" s="125"/>
      <c r="IB330" s="125"/>
      <c r="IC330" s="125"/>
      <c r="ID330" s="125"/>
      <c r="IE330" s="125"/>
      <c r="IF330" s="125"/>
      <c r="IG330" s="125"/>
      <c r="IH330" s="125"/>
      <c r="II330" s="179"/>
      <c r="IJ330" s="177"/>
      <c r="IK330" s="177"/>
      <c r="IL330" s="177"/>
      <c r="IM330" s="177"/>
      <c r="IN330" s="177"/>
      <c r="IO330" s="177"/>
      <c r="IP330" s="178"/>
      <c r="IQ330" s="125"/>
      <c r="IR330" s="125"/>
      <c r="IS330" s="125"/>
      <c r="IT330" s="125"/>
      <c r="IU330" s="125"/>
      <c r="IV330" s="125"/>
    </row>
    <row r="331" spans="1:256" s="3" customFormat="1">
      <c r="A331" s="16">
        <v>115</v>
      </c>
      <c r="B331" s="60">
        <v>43090</v>
      </c>
      <c r="C331" s="18" t="s">
        <v>457</v>
      </c>
      <c r="D331" s="19" t="s">
        <v>441</v>
      </c>
      <c r="E331" s="20" t="s">
        <v>458</v>
      </c>
      <c r="F331" s="168" t="s">
        <v>459</v>
      </c>
      <c r="G331" s="63">
        <v>1708</v>
      </c>
      <c r="H331" s="121">
        <f>1823600+9700</f>
        <v>1833300</v>
      </c>
      <c r="I331" s="24"/>
      <c r="J331" s="24">
        <f>SUM(H331)/1.05</f>
        <v>1746000</v>
      </c>
      <c r="K331" s="24">
        <f t="shared" si="26"/>
        <v>1746000</v>
      </c>
      <c r="L331" s="123"/>
      <c r="M331" s="24">
        <f t="shared" si="27"/>
        <v>0</v>
      </c>
      <c r="N331" s="124">
        <f t="shared" si="28"/>
        <v>1746000</v>
      </c>
      <c r="O331" s="108"/>
      <c r="Y331" s="131"/>
      <c r="Z331" s="15"/>
      <c r="AA331" s="170"/>
      <c r="AB331" s="171"/>
      <c r="AC331" s="172"/>
      <c r="AD331" s="172"/>
      <c r="AE331" s="173"/>
      <c r="AF331" s="174"/>
      <c r="AG331" s="175"/>
      <c r="AH331" s="176"/>
      <c r="AJ331" s="138"/>
      <c r="AK331" s="2"/>
      <c r="AL331" s="139"/>
      <c r="AW331" s="131"/>
      <c r="AX331" s="15"/>
      <c r="AY331" s="170"/>
      <c r="AZ331" s="171"/>
      <c r="BA331" s="172"/>
      <c r="BB331" s="172"/>
      <c r="BC331" s="173"/>
      <c r="BD331" s="174"/>
      <c r="BE331" s="175"/>
      <c r="BF331" s="176"/>
      <c r="BH331" s="138"/>
      <c r="BI331" s="2"/>
      <c r="BJ331" s="139"/>
      <c r="BU331" s="131"/>
      <c r="BV331" s="15"/>
      <c r="BW331" s="170"/>
      <c r="BX331" s="171"/>
      <c r="BY331" s="172"/>
      <c r="BZ331" s="172"/>
      <c r="CA331" s="173"/>
      <c r="CB331" s="174"/>
      <c r="CC331" s="175"/>
      <c r="CD331" s="176"/>
      <c r="CF331" s="138"/>
      <c r="CG331" s="2"/>
      <c r="CH331" s="139"/>
      <c r="CS331" s="131"/>
      <c r="CT331" s="15"/>
      <c r="CU331" s="170"/>
      <c r="CV331" s="171"/>
      <c r="CW331" s="172"/>
      <c r="CX331" s="172"/>
      <c r="CY331" s="173"/>
      <c r="CZ331" s="174"/>
      <c r="DA331" s="175"/>
      <c r="DB331" s="176"/>
      <c r="DD331" s="138"/>
      <c r="DE331" s="2"/>
      <c r="DF331" s="139"/>
      <c r="DQ331" s="131"/>
      <c r="DR331" s="15"/>
      <c r="DS331" s="170"/>
      <c r="DT331" s="171"/>
      <c r="DU331" s="172"/>
      <c r="DV331" s="172"/>
      <c r="DW331" s="173"/>
      <c r="DX331" s="174"/>
      <c r="DY331" s="175"/>
      <c r="DZ331" s="176"/>
      <c r="EB331" s="138"/>
      <c r="EC331" s="2"/>
      <c r="ED331" s="139"/>
      <c r="EO331" s="131"/>
      <c r="EP331" s="15"/>
      <c r="EQ331" s="170"/>
      <c r="ER331" s="171"/>
      <c r="ES331" s="172"/>
      <c r="ET331" s="172"/>
      <c r="EU331" s="173"/>
      <c r="EV331" s="174"/>
      <c r="EW331" s="175"/>
      <c r="EX331" s="176"/>
      <c r="EZ331" s="138"/>
      <c r="FA331" s="2"/>
      <c r="FB331" s="139"/>
      <c r="FM331" s="131"/>
      <c r="FN331" s="15"/>
      <c r="FO331" s="170"/>
      <c r="FP331" s="171"/>
      <c r="FQ331" s="172"/>
      <c r="FR331" s="172"/>
      <c r="FS331" s="173"/>
      <c r="FT331" s="174"/>
      <c r="FU331" s="175"/>
      <c r="FV331" s="176"/>
      <c r="FX331" s="138"/>
      <c r="FY331" s="2"/>
      <c r="FZ331" s="139"/>
      <c r="GK331" s="131"/>
      <c r="GL331" s="15"/>
      <c r="GM331" s="170"/>
      <c r="GN331" s="171"/>
      <c r="GO331" s="172"/>
      <c r="GP331" s="172"/>
      <c r="GQ331" s="173"/>
      <c r="GR331" s="174"/>
      <c r="GS331" s="175"/>
      <c r="GT331" s="176"/>
      <c r="GV331" s="138"/>
      <c r="GW331" s="2"/>
      <c r="GX331" s="139"/>
      <c r="HI331" s="131"/>
      <c r="HJ331" s="15"/>
      <c r="HK331" s="170"/>
      <c r="HL331" s="171"/>
      <c r="HM331" s="172"/>
      <c r="HN331" s="172"/>
      <c r="HO331" s="173"/>
      <c r="HP331" s="174"/>
      <c r="HQ331" s="175"/>
      <c r="HR331" s="176"/>
      <c r="HT331" s="138"/>
      <c r="HU331" s="2"/>
      <c r="HV331" s="139"/>
      <c r="IG331" s="131"/>
      <c r="IH331" s="15"/>
      <c r="II331" s="170"/>
      <c r="IJ331" s="171"/>
      <c r="IK331" s="172"/>
      <c r="IL331" s="172"/>
      <c r="IM331" s="173"/>
      <c r="IN331" s="174"/>
      <c r="IO331" s="175"/>
      <c r="IP331" s="176"/>
      <c r="IR331" s="138"/>
      <c r="IS331" s="2"/>
      <c r="IT331" s="139"/>
    </row>
    <row r="332" spans="1:256" s="3" customFormat="1">
      <c r="A332" s="16">
        <v>116</v>
      </c>
      <c r="B332" s="60">
        <v>43095</v>
      </c>
      <c r="C332" s="18"/>
      <c r="D332" s="19" t="s">
        <v>441</v>
      </c>
      <c r="E332" s="20" t="s">
        <v>454</v>
      </c>
      <c r="F332" s="168" t="s">
        <v>460</v>
      </c>
      <c r="G332" s="63">
        <v>1709</v>
      </c>
      <c r="H332" s="121">
        <v>1823600</v>
      </c>
      <c r="I332" s="24"/>
      <c r="J332" s="24">
        <f>SUM(H332)/1.05</f>
        <v>1736761.9047619046</v>
      </c>
      <c r="K332" s="24">
        <f t="shared" si="26"/>
        <v>1736761.9047619046</v>
      </c>
      <c r="L332" s="123"/>
      <c r="M332" s="24">
        <f t="shared" si="27"/>
        <v>0</v>
      </c>
      <c r="N332" s="124">
        <f t="shared" si="28"/>
        <v>1736761.9047619046</v>
      </c>
      <c r="O332" s="108"/>
      <c r="AA332" s="130"/>
      <c r="AB332" s="130"/>
      <c r="AC332" s="130"/>
      <c r="AD332" s="130"/>
      <c r="AE332" s="130"/>
      <c r="AF332" s="130"/>
      <c r="AG332" s="130"/>
      <c r="AH332" s="130"/>
      <c r="AY332" s="130"/>
      <c r="AZ332" s="130"/>
      <c r="BA332" s="130"/>
      <c r="BB332" s="130"/>
      <c r="BC332" s="130"/>
      <c r="BD332" s="130"/>
      <c r="BE332" s="130"/>
      <c r="BF332" s="130"/>
      <c r="BW332" s="130"/>
      <c r="BX332" s="130"/>
      <c r="BY332" s="130"/>
      <c r="BZ332" s="130"/>
      <c r="CA332" s="130"/>
      <c r="CB332" s="130"/>
      <c r="CC332" s="130"/>
      <c r="CD332" s="130"/>
      <c r="CU332" s="130"/>
      <c r="CV332" s="130"/>
      <c r="CW332" s="130"/>
      <c r="CX332" s="130"/>
      <c r="CY332" s="130"/>
      <c r="CZ332" s="130"/>
      <c r="DA332" s="130"/>
      <c r="DB332" s="130"/>
      <c r="DS332" s="130"/>
      <c r="DT332" s="130"/>
      <c r="DU332" s="130"/>
      <c r="DV332" s="130"/>
      <c r="DW332" s="130"/>
      <c r="DX332" s="130"/>
      <c r="DY332" s="130"/>
      <c r="DZ332" s="130"/>
      <c r="EQ332" s="130"/>
      <c r="ER332" s="130"/>
      <c r="ES332" s="130"/>
      <c r="ET332" s="130"/>
      <c r="EU332" s="130"/>
      <c r="EV332" s="130"/>
      <c r="EW332" s="130"/>
      <c r="EX332" s="130"/>
      <c r="FO332" s="130"/>
      <c r="FP332" s="130"/>
      <c r="FQ332" s="130"/>
      <c r="FR332" s="130"/>
      <c r="FS332" s="130"/>
      <c r="FT332" s="130"/>
      <c r="FU332" s="130"/>
      <c r="FV332" s="130"/>
      <c r="GM332" s="130"/>
      <c r="GN332" s="130"/>
      <c r="GO332" s="130"/>
      <c r="GP332" s="130"/>
      <c r="GQ332" s="130"/>
      <c r="GR332" s="130"/>
      <c r="GS332" s="130"/>
      <c r="GT332" s="130"/>
      <c r="HK332" s="130"/>
      <c r="HL332" s="130"/>
      <c r="HM332" s="130"/>
      <c r="HN332" s="130"/>
      <c r="HO332" s="130"/>
      <c r="HP332" s="130"/>
      <c r="HQ332" s="130"/>
      <c r="HR332" s="130"/>
      <c r="II332" s="130"/>
      <c r="IJ332" s="130"/>
      <c r="IK332" s="130"/>
      <c r="IL332" s="130"/>
      <c r="IM332" s="130"/>
      <c r="IN332" s="130"/>
      <c r="IO332" s="130"/>
      <c r="IP332" s="130"/>
    </row>
    <row r="333" spans="1:256" s="3" customFormat="1">
      <c r="A333" s="16">
        <v>117</v>
      </c>
      <c r="B333" s="56">
        <v>43082</v>
      </c>
      <c r="C333" s="18"/>
      <c r="D333" s="19" t="s">
        <v>461</v>
      </c>
      <c r="E333" s="20" t="s">
        <v>462</v>
      </c>
      <c r="F333" s="82" t="s">
        <v>463</v>
      </c>
      <c r="G333" s="63">
        <v>1709</v>
      </c>
      <c r="H333" s="121">
        <f>130000+2289200</f>
        <v>2419200</v>
      </c>
      <c r="I333" s="24"/>
      <c r="J333" s="24">
        <f>SUM(H333)/1.05</f>
        <v>2304000</v>
      </c>
      <c r="K333" s="24">
        <f t="shared" si="26"/>
        <v>2304000</v>
      </c>
      <c r="L333" s="123"/>
      <c r="M333" s="24">
        <f t="shared" si="27"/>
        <v>0</v>
      </c>
      <c r="N333" s="124">
        <f t="shared" si="28"/>
        <v>2304000</v>
      </c>
      <c r="O333" s="107"/>
      <c r="AA333" s="141"/>
      <c r="AB333" s="142"/>
      <c r="AC333" s="142"/>
      <c r="AD333" s="142"/>
      <c r="AE333" s="142"/>
      <c r="AF333" s="142"/>
      <c r="AG333" s="142"/>
      <c r="AH333" s="143"/>
      <c r="AY333" s="141"/>
      <c r="AZ333" s="142"/>
      <c r="BA333" s="142"/>
      <c r="BB333" s="142"/>
      <c r="BC333" s="142"/>
      <c r="BD333" s="142"/>
      <c r="BE333" s="142"/>
      <c r="BF333" s="143"/>
      <c r="BW333" s="141"/>
      <c r="BX333" s="142"/>
      <c r="BY333" s="142"/>
      <c r="BZ333" s="142"/>
      <c r="CA333" s="142"/>
      <c r="CB333" s="142"/>
      <c r="CC333" s="142"/>
      <c r="CD333" s="143"/>
      <c r="CU333" s="141"/>
      <c r="CV333" s="142"/>
      <c r="CW333" s="142"/>
      <c r="CX333" s="142"/>
      <c r="CY333" s="142"/>
      <c r="CZ333" s="142"/>
      <c r="DA333" s="142"/>
      <c r="DB333" s="143"/>
      <c r="DS333" s="141"/>
      <c r="DT333" s="142"/>
      <c r="DU333" s="142"/>
      <c r="DV333" s="142"/>
      <c r="DW333" s="142"/>
      <c r="DX333" s="142"/>
      <c r="DY333" s="142"/>
      <c r="DZ333" s="143"/>
      <c r="EQ333" s="141"/>
      <c r="ER333" s="142"/>
      <c r="ES333" s="142"/>
      <c r="ET333" s="142"/>
      <c r="EU333" s="142"/>
      <c r="EV333" s="142"/>
      <c r="EW333" s="142"/>
      <c r="EX333" s="143"/>
      <c r="FO333" s="141"/>
      <c r="FP333" s="142"/>
      <c r="FQ333" s="142"/>
      <c r="FR333" s="142"/>
      <c r="FS333" s="142"/>
      <c r="FT333" s="142"/>
      <c r="FU333" s="142"/>
      <c r="FV333" s="143"/>
      <c r="GM333" s="141"/>
      <c r="GN333" s="142"/>
      <c r="GO333" s="142"/>
      <c r="GP333" s="142"/>
      <c r="GQ333" s="142"/>
      <c r="GR333" s="142"/>
      <c r="GS333" s="142"/>
      <c r="GT333" s="143"/>
      <c r="HK333" s="141"/>
      <c r="HL333" s="142"/>
      <c r="HM333" s="142"/>
      <c r="HN333" s="142"/>
      <c r="HO333" s="142"/>
      <c r="HP333" s="142"/>
      <c r="HQ333" s="142"/>
      <c r="HR333" s="143"/>
      <c r="II333" s="141"/>
      <c r="IJ333" s="142"/>
      <c r="IK333" s="142"/>
      <c r="IL333" s="142"/>
      <c r="IM333" s="142"/>
      <c r="IN333" s="142"/>
      <c r="IO333" s="142"/>
      <c r="IP333" s="143"/>
    </row>
    <row r="334" spans="1:256" s="3" customFormat="1">
      <c r="A334" s="16">
        <v>118</v>
      </c>
      <c r="B334" s="60">
        <v>43095</v>
      </c>
      <c r="C334" s="18"/>
      <c r="D334" s="19" t="s">
        <v>461</v>
      </c>
      <c r="E334" s="20" t="s">
        <v>462</v>
      </c>
      <c r="F334" s="168" t="s">
        <v>464</v>
      </c>
      <c r="G334" s="63">
        <v>1709</v>
      </c>
      <c r="H334" s="121">
        <f>130000+2289200</f>
        <v>2419200</v>
      </c>
      <c r="I334" s="24"/>
      <c r="J334" s="24">
        <f>SUM(H334)/1.05</f>
        <v>2304000</v>
      </c>
      <c r="K334" s="24">
        <f t="shared" si="26"/>
        <v>2304000</v>
      </c>
      <c r="L334" s="123"/>
      <c r="M334" s="24">
        <f t="shared" si="27"/>
        <v>0</v>
      </c>
      <c r="N334" s="124">
        <f t="shared" si="28"/>
        <v>2304000</v>
      </c>
      <c r="O334" s="108"/>
      <c r="AA334" s="141"/>
      <c r="AB334" s="142"/>
      <c r="AC334" s="142"/>
      <c r="AD334" s="142"/>
      <c r="AE334" s="142"/>
      <c r="AF334" s="177"/>
      <c r="AG334" s="177"/>
      <c r="AH334" s="178"/>
      <c r="AI334" s="125"/>
      <c r="AJ334" s="125"/>
      <c r="AK334" s="125"/>
      <c r="AL334" s="125"/>
      <c r="AM334" s="125"/>
      <c r="AN334" s="125"/>
      <c r="AO334" s="125"/>
      <c r="AP334" s="125"/>
      <c r="AQ334" s="125"/>
      <c r="AR334" s="125"/>
      <c r="AS334" s="125"/>
      <c r="AT334" s="125"/>
      <c r="AU334" s="125"/>
      <c r="AV334" s="125"/>
      <c r="AW334" s="125"/>
      <c r="AX334" s="125"/>
      <c r="AY334" s="179"/>
      <c r="AZ334" s="177"/>
      <c r="BA334" s="177"/>
      <c r="BB334" s="177"/>
      <c r="BC334" s="177"/>
      <c r="BD334" s="177"/>
      <c r="BE334" s="177"/>
      <c r="BF334" s="178"/>
      <c r="BG334" s="125"/>
      <c r="BH334" s="125"/>
      <c r="BI334" s="125"/>
      <c r="BJ334" s="125"/>
      <c r="BK334" s="125"/>
      <c r="BL334" s="125"/>
      <c r="BM334" s="125"/>
      <c r="BN334" s="125"/>
      <c r="BO334" s="125"/>
      <c r="BP334" s="125"/>
      <c r="BQ334" s="125"/>
      <c r="BR334" s="125"/>
      <c r="BS334" s="125"/>
      <c r="BT334" s="125"/>
      <c r="BU334" s="125"/>
      <c r="BV334" s="125"/>
      <c r="BW334" s="179"/>
      <c r="BX334" s="177"/>
      <c r="BY334" s="177"/>
      <c r="BZ334" s="177"/>
      <c r="CA334" s="177"/>
      <c r="CB334" s="177"/>
      <c r="CC334" s="177"/>
      <c r="CD334" s="178"/>
      <c r="CE334" s="125"/>
      <c r="CF334" s="125"/>
      <c r="CG334" s="125"/>
      <c r="CH334" s="125"/>
      <c r="CI334" s="125"/>
      <c r="CJ334" s="125"/>
      <c r="CK334" s="125"/>
      <c r="CL334" s="125"/>
      <c r="CM334" s="125"/>
      <c r="CN334" s="125"/>
      <c r="CO334" s="125"/>
      <c r="CP334" s="125"/>
      <c r="CQ334" s="125"/>
      <c r="CR334" s="125"/>
      <c r="CS334" s="125"/>
      <c r="CT334" s="125"/>
      <c r="CU334" s="179"/>
      <c r="CV334" s="177"/>
      <c r="CW334" s="177"/>
      <c r="CX334" s="177"/>
      <c r="CY334" s="177"/>
      <c r="CZ334" s="177"/>
      <c r="DA334" s="177"/>
      <c r="DB334" s="178"/>
      <c r="DC334" s="125"/>
      <c r="DD334" s="125"/>
      <c r="DE334" s="125"/>
      <c r="DF334" s="125"/>
      <c r="DG334" s="125"/>
      <c r="DH334" s="125"/>
      <c r="DI334" s="125"/>
      <c r="DJ334" s="125"/>
      <c r="DK334" s="125"/>
      <c r="DL334" s="125"/>
      <c r="DM334" s="125"/>
      <c r="DN334" s="125"/>
      <c r="DO334" s="125"/>
      <c r="DP334" s="125"/>
      <c r="DQ334" s="125"/>
      <c r="DR334" s="125"/>
      <c r="DS334" s="179"/>
      <c r="DT334" s="177"/>
      <c r="DU334" s="177"/>
      <c r="DV334" s="177"/>
      <c r="DW334" s="177"/>
      <c r="DX334" s="177"/>
      <c r="DY334" s="177"/>
      <c r="DZ334" s="178"/>
      <c r="EA334" s="125"/>
      <c r="EB334" s="125"/>
      <c r="EC334" s="125"/>
      <c r="ED334" s="125"/>
      <c r="EE334" s="125"/>
      <c r="EF334" s="125"/>
      <c r="EG334" s="125"/>
      <c r="EH334" s="125"/>
      <c r="EI334" s="125"/>
      <c r="EJ334" s="125"/>
      <c r="EK334" s="125"/>
      <c r="EL334" s="125"/>
      <c r="EM334" s="125"/>
      <c r="EN334" s="125"/>
      <c r="EO334" s="125"/>
      <c r="EP334" s="125"/>
      <c r="EQ334" s="179"/>
      <c r="ER334" s="177"/>
      <c r="ES334" s="177"/>
      <c r="ET334" s="177"/>
      <c r="EU334" s="177"/>
      <c r="EV334" s="177"/>
      <c r="EW334" s="177"/>
      <c r="EX334" s="178"/>
      <c r="EY334" s="125"/>
      <c r="EZ334" s="125"/>
      <c r="FA334" s="125"/>
      <c r="FB334" s="125"/>
      <c r="FC334" s="125"/>
      <c r="FD334" s="125"/>
      <c r="FE334" s="125"/>
      <c r="FF334" s="125"/>
      <c r="FG334" s="125"/>
      <c r="FH334" s="125"/>
      <c r="FI334" s="125"/>
      <c r="FJ334" s="125"/>
      <c r="FK334" s="125"/>
      <c r="FL334" s="125"/>
      <c r="FM334" s="125"/>
      <c r="FN334" s="125"/>
      <c r="FO334" s="179"/>
      <c r="FP334" s="177"/>
      <c r="FQ334" s="177"/>
      <c r="FR334" s="177"/>
      <c r="FS334" s="177"/>
      <c r="FT334" s="177"/>
      <c r="FU334" s="177"/>
      <c r="FV334" s="178"/>
      <c r="FW334" s="125"/>
      <c r="FX334" s="125"/>
      <c r="FY334" s="125"/>
      <c r="FZ334" s="125"/>
      <c r="GA334" s="125"/>
      <c r="GB334" s="125"/>
      <c r="GC334" s="125"/>
      <c r="GD334" s="125"/>
      <c r="GE334" s="125"/>
      <c r="GF334" s="125"/>
      <c r="GG334" s="125"/>
      <c r="GH334" s="125"/>
      <c r="GI334" s="125"/>
      <c r="GJ334" s="125"/>
      <c r="GK334" s="125"/>
      <c r="GL334" s="125"/>
      <c r="GM334" s="179"/>
      <c r="GN334" s="177"/>
      <c r="GO334" s="177"/>
      <c r="GP334" s="177"/>
      <c r="GQ334" s="177"/>
      <c r="GR334" s="177"/>
      <c r="GS334" s="177"/>
      <c r="GT334" s="178"/>
      <c r="GU334" s="125"/>
      <c r="GV334" s="125"/>
      <c r="GW334" s="125"/>
      <c r="GX334" s="125"/>
      <c r="GY334" s="125"/>
      <c r="GZ334" s="125"/>
      <c r="HA334" s="125"/>
      <c r="HB334" s="125"/>
      <c r="HC334" s="125"/>
      <c r="HD334" s="125"/>
      <c r="HE334" s="125"/>
      <c r="HF334" s="125"/>
      <c r="HG334" s="125"/>
      <c r="HH334" s="125"/>
      <c r="HI334" s="125"/>
      <c r="HJ334" s="125"/>
      <c r="HK334" s="179"/>
      <c r="HL334" s="177"/>
      <c r="HM334" s="177"/>
      <c r="HN334" s="177"/>
      <c r="HO334" s="177"/>
      <c r="HP334" s="177"/>
      <c r="HQ334" s="177"/>
      <c r="HR334" s="178"/>
      <c r="HS334" s="125"/>
      <c r="HT334" s="125"/>
      <c r="HU334" s="125"/>
      <c r="HV334" s="125"/>
      <c r="HW334" s="125"/>
      <c r="HX334" s="125"/>
      <c r="HY334" s="125"/>
      <c r="HZ334" s="125"/>
      <c r="IA334" s="125"/>
      <c r="IB334" s="125"/>
      <c r="IC334" s="125"/>
      <c r="ID334" s="125"/>
      <c r="IE334" s="125"/>
      <c r="IF334" s="125"/>
      <c r="IG334" s="125"/>
      <c r="IH334" s="125"/>
      <c r="II334" s="179"/>
      <c r="IJ334" s="177"/>
      <c r="IK334" s="177"/>
      <c r="IL334" s="177"/>
      <c r="IM334" s="177"/>
      <c r="IN334" s="177"/>
      <c r="IO334" s="177"/>
      <c r="IP334" s="178"/>
      <c r="IQ334" s="125"/>
      <c r="IR334" s="125"/>
      <c r="IS334" s="125"/>
      <c r="IT334" s="125"/>
      <c r="IU334" s="125"/>
      <c r="IV334" s="125"/>
    </row>
    <row r="335" spans="1:256" s="3" customFormat="1">
      <c r="A335" s="16">
        <v>119</v>
      </c>
      <c r="B335" s="56">
        <v>43081</v>
      </c>
      <c r="C335" s="18"/>
      <c r="D335" s="19" t="s">
        <v>461</v>
      </c>
      <c r="E335" s="20" t="s">
        <v>462</v>
      </c>
      <c r="F335" s="82" t="s">
        <v>465</v>
      </c>
      <c r="G335" s="58">
        <v>1709</v>
      </c>
      <c r="H335" s="121">
        <f>25000+2289200+130000</f>
        <v>2444200</v>
      </c>
      <c r="I335" s="24"/>
      <c r="J335" s="24">
        <f>SUM(H335)/1.05</f>
        <v>2327809.5238095238</v>
      </c>
      <c r="K335" s="24">
        <f t="shared" si="26"/>
        <v>2327809.5238095238</v>
      </c>
      <c r="L335" s="123"/>
      <c r="M335" s="24">
        <f t="shared" si="27"/>
        <v>0</v>
      </c>
      <c r="N335" s="124">
        <f t="shared" si="28"/>
        <v>2327809.5238095238</v>
      </c>
      <c r="O335" s="107"/>
      <c r="AA335" s="130"/>
      <c r="AB335" s="130"/>
      <c r="AC335" s="130"/>
      <c r="AD335" s="130"/>
      <c r="AE335" s="130"/>
      <c r="AF335" s="167"/>
      <c r="AG335" s="167"/>
      <c r="AH335" s="167"/>
      <c r="AI335" s="125"/>
      <c r="AJ335" s="125"/>
      <c r="AK335" s="125"/>
      <c r="AL335" s="125"/>
      <c r="AM335" s="125"/>
      <c r="AN335" s="125"/>
      <c r="AO335" s="125"/>
      <c r="AP335" s="125"/>
      <c r="AQ335" s="125"/>
      <c r="AR335" s="125"/>
      <c r="AS335" s="125"/>
      <c r="AT335" s="125"/>
      <c r="AU335" s="125"/>
      <c r="AV335" s="125"/>
      <c r="AW335" s="125"/>
      <c r="AX335" s="125"/>
      <c r="AY335" s="167"/>
      <c r="AZ335" s="167"/>
      <c r="BA335" s="167"/>
      <c r="BB335" s="167"/>
      <c r="BC335" s="167"/>
      <c r="BD335" s="167"/>
      <c r="BE335" s="167"/>
      <c r="BF335" s="167"/>
      <c r="BG335" s="125"/>
      <c r="BH335" s="125"/>
      <c r="BI335" s="125"/>
      <c r="BJ335" s="125"/>
      <c r="BK335" s="125"/>
      <c r="BL335" s="125"/>
      <c r="BM335" s="125"/>
      <c r="BN335" s="125"/>
      <c r="BO335" s="125"/>
      <c r="BP335" s="125"/>
      <c r="BQ335" s="125"/>
      <c r="BR335" s="125"/>
      <c r="BS335" s="125"/>
      <c r="BT335" s="125"/>
      <c r="BU335" s="125"/>
      <c r="BV335" s="125"/>
      <c r="BW335" s="167"/>
      <c r="BX335" s="167"/>
      <c r="BY335" s="167"/>
      <c r="BZ335" s="167"/>
      <c r="CA335" s="167"/>
      <c r="CB335" s="167"/>
      <c r="CC335" s="167"/>
      <c r="CD335" s="167"/>
      <c r="CE335" s="125"/>
      <c r="CF335" s="125"/>
      <c r="CG335" s="125"/>
      <c r="CH335" s="125"/>
      <c r="CI335" s="125"/>
      <c r="CJ335" s="125"/>
      <c r="CK335" s="125"/>
      <c r="CL335" s="125"/>
      <c r="CM335" s="125"/>
      <c r="CN335" s="125"/>
      <c r="CO335" s="125"/>
      <c r="CP335" s="125"/>
      <c r="CQ335" s="125"/>
      <c r="CR335" s="125"/>
      <c r="CS335" s="125"/>
      <c r="CT335" s="125"/>
      <c r="CU335" s="167"/>
      <c r="CV335" s="167"/>
      <c r="CW335" s="167"/>
      <c r="CX335" s="167"/>
      <c r="CY335" s="167"/>
      <c r="CZ335" s="167"/>
      <c r="DA335" s="167"/>
      <c r="DB335" s="167"/>
      <c r="DC335" s="125"/>
      <c r="DD335" s="125"/>
      <c r="DE335" s="125"/>
      <c r="DF335" s="125"/>
      <c r="DG335" s="125"/>
      <c r="DH335" s="125"/>
      <c r="DI335" s="125"/>
      <c r="DJ335" s="125"/>
      <c r="DK335" s="125"/>
      <c r="DL335" s="125"/>
      <c r="DM335" s="125"/>
      <c r="DN335" s="125"/>
      <c r="DO335" s="125"/>
      <c r="DP335" s="125"/>
      <c r="DQ335" s="125"/>
      <c r="DR335" s="125"/>
      <c r="DS335" s="167"/>
      <c r="DT335" s="167"/>
      <c r="DU335" s="167"/>
      <c r="DV335" s="167"/>
      <c r="DW335" s="167"/>
      <c r="DX335" s="167"/>
      <c r="DY335" s="167"/>
      <c r="DZ335" s="167"/>
      <c r="EA335" s="125"/>
      <c r="EB335" s="125"/>
      <c r="EC335" s="125"/>
      <c r="ED335" s="125"/>
      <c r="EE335" s="125"/>
      <c r="EF335" s="125"/>
      <c r="EG335" s="125"/>
      <c r="EH335" s="125"/>
      <c r="EI335" s="125"/>
      <c r="EJ335" s="125"/>
      <c r="EK335" s="125"/>
      <c r="EL335" s="125"/>
      <c r="EM335" s="125"/>
      <c r="EN335" s="125"/>
      <c r="EO335" s="125"/>
      <c r="EP335" s="125"/>
      <c r="EQ335" s="167"/>
      <c r="ER335" s="167"/>
      <c r="ES335" s="167"/>
      <c r="ET335" s="167"/>
      <c r="EU335" s="167"/>
      <c r="EV335" s="167"/>
      <c r="EW335" s="167"/>
      <c r="EX335" s="167"/>
      <c r="EY335" s="125"/>
      <c r="EZ335" s="125"/>
      <c r="FA335" s="125"/>
      <c r="FB335" s="125"/>
      <c r="FC335" s="125"/>
      <c r="FD335" s="125"/>
      <c r="FE335" s="125"/>
      <c r="FF335" s="125"/>
      <c r="FG335" s="125"/>
      <c r="FH335" s="125"/>
      <c r="FI335" s="125"/>
      <c r="FJ335" s="125"/>
      <c r="FK335" s="125"/>
      <c r="FL335" s="125"/>
      <c r="FM335" s="125"/>
      <c r="FN335" s="125"/>
      <c r="FO335" s="167"/>
      <c r="FP335" s="167"/>
      <c r="FQ335" s="167"/>
      <c r="FR335" s="167"/>
      <c r="FS335" s="167"/>
      <c r="FT335" s="167"/>
      <c r="FU335" s="167"/>
      <c r="FV335" s="167"/>
      <c r="FW335" s="125"/>
      <c r="FX335" s="125"/>
      <c r="FY335" s="125"/>
      <c r="FZ335" s="125"/>
      <c r="GA335" s="125"/>
      <c r="GB335" s="125"/>
      <c r="GC335" s="125"/>
      <c r="GD335" s="125"/>
      <c r="GE335" s="125"/>
      <c r="GF335" s="125"/>
      <c r="GG335" s="125"/>
      <c r="GH335" s="125"/>
      <c r="GI335" s="125"/>
      <c r="GJ335" s="125"/>
      <c r="GK335" s="125"/>
      <c r="GL335" s="125"/>
      <c r="GM335" s="167"/>
      <c r="GN335" s="167"/>
      <c r="GO335" s="167"/>
      <c r="GP335" s="167"/>
      <c r="GQ335" s="167"/>
      <c r="GR335" s="167"/>
      <c r="GS335" s="167"/>
      <c r="GT335" s="167"/>
      <c r="GU335" s="125"/>
      <c r="GV335" s="125"/>
      <c r="GW335" s="125"/>
      <c r="GX335" s="125"/>
      <c r="GY335" s="125"/>
      <c r="GZ335" s="125"/>
      <c r="HA335" s="125"/>
      <c r="HB335" s="125"/>
      <c r="HC335" s="125"/>
      <c r="HD335" s="125"/>
      <c r="HE335" s="125"/>
      <c r="HF335" s="125"/>
      <c r="HG335" s="125"/>
      <c r="HH335" s="125"/>
      <c r="HI335" s="125"/>
      <c r="HJ335" s="125"/>
      <c r="HK335" s="167"/>
      <c r="HL335" s="167"/>
      <c r="HM335" s="167"/>
      <c r="HN335" s="167"/>
      <c r="HO335" s="167"/>
      <c r="HP335" s="167"/>
      <c r="HQ335" s="167"/>
      <c r="HR335" s="167"/>
      <c r="HS335" s="125"/>
      <c r="HT335" s="125"/>
      <c r="HU335" s="125"/>
      <c r="HV335" s="125"/>
      <c r="HW335" s="125"/>
      <c r="HX335" s="125"/>
      <c r="HY335" s="125"/>
      <c r="HZ335" s="125"/>
      <c r="IA335" s="125"/>
      <c r="IB335" s="125"/>
      <c r="IC335" s="125"/>
      <c r="ID335" s="125"/>
      <c r="IE335" s="125"/>
      <c r="IF335" s="125"/>
      <c r="IG335" s="125"/>
      <c r="IH335" s="125"/>
      <c r="II335" s="167"/>
      <c r="IJ335" s="167"/>
      <c r="IK335" s="167"/>
      <c r="IL335" s="167"/>
      <c r="IM335" s="167"/>
      <c r="IN335" s="167"/>
      <c r="IO335" s="167"/>
      <c r="IP335" s="167"/>
      <c r="IQ335" s="125"/>
      <c r="IR335" s="125"/>
      <c r="IS335" s="125"/>
      <c r="IT335" s="125"/>
      <c r="IU335" s="125"/>
      <c r="IV335" s="125"/>
    </row>
    <row r="336" spans="1:256" s="3" customFormat="1">
      <c r="A336" s="16">
        <v>120</v>
      </c>
      <c r="B336" s="56">
        <v>43069</v>
      </c>
      <c r="C336" s="18"/>
      <c r="D336" s="19" t="s">
        <v>461</v>
      </c>
      <c r="E336" s="20" t="s">
        <v>462</v>
      </c>
      <c r="F336" s="57" t="s">
        <v>466</v>
      </c>
      <c r="G336" s="63">
        <v>1709</v>
      </c>
      <c r="H336" s="121">
        <f>2289200+130000</f>
        <v>2419200</v>
      </c>
      <c r="I336" s="24">
        <v>2304000</v>
      </c>
      <c r="J336" s="24"/>
      <c r="K336" s="24">
        <f t="shared" si="26"/>
        <v>2304000</v>
      </c>
      <c r="L336" s="123"/>
      <c r="M336" s="24">
        <f t="shared" si="27"/>
        <v>0</v>
      </c>
      <c r="N336" s="124">
        <f t="shared" si="28"/>
        <v>2304000</v>
      </c>
      <c r="O336" s="87"/>
      <c r="AA336" s="141"/>
      <c r="AB336" s="142"/>
      <c r="AC336" s="142"/>
      <c r="AD336" s="142"/>
      <c r="AE336" s="142"/>
      <c r="AF336" s="142"/>
      <c r="AG336" s="142"/>
      <c r="AH336" s="143"/>
      <c r="AL336" s="125"/>
      <c r="AM336" s="125"/>
      <c r="AN336" s="125"/>
      <c r="AO336" s="125"/>
      <c r="AP336" s="125"/>
      <c r="AQ336" s="125"/>
      <c r="AR336" s="125"/>
      <c r="AS336" s="125"/>
      <c r="AT336" s="125"/>
      <c r="AU336" s="125"/>
      <c r="AV336" s="125"/>
      <c r="AW336" s="125"/>
      <c r="AX336" s="125"/>
      <c r="AY336" s="179"/>
      <c r="AZ336" s="177"/>
      <c r="BA336" s="177"/>
      <c r="BB336" s="177"/>
      <c r="BC336" s="177"/>
      <c r="BD336" s="177"/>
      <c r="BE336" s="177"/>
      <c r="BF336" s="178"/>
      <c r="BG336" s="125"/>
      <c r="BH336" s="125"/>
      <c r="BI336" s="125"/>
      <c r="BJ336" s="125"/>
      <c r="BK336" s="125"/>
      <c r="BL336" s="125"/>
      <c r="BM336" s="125"/>
      <c r="BN336" s="125"/>
      <c r="BO336" s="125"/>
      <c r="BP336" s="125"/>
      <c r="BQ336" s="125"/>
      <c r="BR336" s="125"/>
      <c r="BS336" s="125"/>
      <c r="BT336" s="125"/>
      <c r="BU336" s="125"/>
      <c r="BV336" s="125"/>
      <c r="BW336" s="179"/>
      <c r="BX336" s="177"/>
      <c r="BY336" s="177"/>
      <c r="BZ336" s="177"/>
      <c r="CA336" s="177"/>
      <c r="CB336" s="177"/>
      <c r="CC336" s="177"/>
      <c r="CD336" s="178"/>
      <c r="CE336" s="125"/>
      <c r="CF336" s="125"/>
      <c r="CG336" s="125"/>
      <c r="CH336" s="125"/>
      <c r="CI336" s="125"/>
      <c r="CJ336" s="125"/>
      <c r="CK336" s="125"/>
      <c r="CL336" s="125"/>
      <c r="CM336" s="125"/>
      <c r="CN336" s="125"/>
      <c r="CO336" s="125"/>
      <c r="CP336" s="125"/>
      <c r="CQ336" s="125"/>
      <c r="CR336" s="125"/>
      <c r="CS336" s="125"/>
      <c r="CT336" s="125"/>
      <c r="CU336" s="179"/>
      <c r="CV336" s="177"/>
      <c r="CW336" s="177"/>
      <c r="CX336" s="177"/>
      <c r="CY336" s="177"/>
      <c r="CZ336" s="177"/>
      <c r="DA336" s="177"/>
      <c r="DB336" s="178"/>
      <c r="DC336" s="125"/>
      <c r="DD336" s="125"/>
      <c r="DE336" s="125"/>
      <c r="DF336" s="125"/>
      <c r="DG336" s="125"/>
      <c r="DH336" s="125"/>
      <c r="DI336" s="125"/>
      <c r="DJ336" s="125"/>
      <c r="DK336" s="125"/>
      <c r="DL336" s="125"/>
      <c r="DM336" s="125"/>
      <c r="DN336" s="125"/>
      <c r="DO336" s="125"/>
      <c r="DP336" s="125"/>
      <c r="DQ336" s="125"/>
      <c r="DR336" s="125"/>
      <c r="DS336" s="179"/>
      <c r="DT336" s="177"/>
      <c r="DU336" s="177"/>
      <c r="DV336" s="177"/>
      <c r="DW336" s="177"/>
      <c r="DX336" s="177"/>
      <c r="DY336" s="177"/>
      <c r="DZ336" s="178"/>
      <c r="EA336" s="125"/>
      <c r="EB336" s="125"/>
      <c r="EC336" s="125"/>
      <c r="ED336" s="125"/>
      <c r="EE336" s="125"/>
      <c r="EF336" s="125"/>
      <c r="EG336" s="125"/>
      <c r="EH336" s="125"/>
      <c r="EI336" s="125"/>
      <c r="EJ336" s="125"/>
      <c r="EK336" s="125"/>
      <c r="EL336" s="125"/>
      <c r="EM336" s="125"/>
      <c r="EN336" s="125"/>
      <c r="EO336" s="125"/>
      <c r="EP336" s="125"/>
      <c r="EQ336" s="179"/>
      <c r="ER336" s="177"/>
      <c r="ES336" s="177"/>
      <c r="ET336" s="177"/>
      <c r="EU336" s="177"/>
      <c r="EV336" s="177"/>
      <c r="EW336" s="177"/>
      <c r="EX336" s="178"/>
      <c r="EY336" s="125"/>
      <c r="EZ336" s="125"/>
      <c r="FA336" s="125"/>
      <c r="FB336" s="125"/>
      <c r="FC336" s="125"/>
      <c r="FD336" s="125"/>
      <c r="FE336" s="125"/>
      <c r="FF336" s="125"/>
      <c r="FG336" s="125"/>
      <c r="FH336" s="125"/>
      <c r="FI336" s="125"/>
      <c r="FJ336" s="125"/>
      <c r="FK336" s="125"/>
      <c r="FL336" s="125"/>
      <c r="FM336" s="125"/>
      <c r="FN336" s="125"/>
      <c r="FO336" s="179"/>
      <c r="FP336" s="177"/>
      <c r="FQ336" s="177"/>
      <c r="FR336" s="177"/>
      <c r="FS336" s="177"/>
      <c r="FT336" s="177"/>
      <c r="FU336" s="177"/>
      <c r="FV336" s="178"/>
      <c r="FW336" s="125"/>
      <c r="FX336" s="125"/>
      <c r="FY336" s="125"/>
      <c r="FZ336" s="125"/>
      <c r="GA336" s="125"/>
      <c r="GB336" s="125"/>
      <c r="GC336" s="125"/>
      <c r="GD336" s="125"/>
      <c r="GE336" s="125"/>
      <c r="GF336" s="125"/>
      <c r="GG336" s="125"/>
      <c r="GH336" s="125"/>
      <c r="GI336" s="125"/>
      <c r="GJ336" s="125"/>
      <c r="GK336" s="125"/>
      <c r="GL336" s="125"/>
      <c r="GM336" s="179"/>
      <c r="GN336" s="177"/>
      <c r="GO336" s="177"/>
      <c r="GP336" s="177"/>
      <c r="GQ336" s="177"/>
      <c r="GR336" s="177"/>
      <c r="GS336" s="177"/>
      <c r="GT336" s="178"/>
      <c r="GU336" s="125"/>
      <c r="GV336" s="125"/>
      <c r="GW336" s="125"/>
      <c r="GX336" s="125"/>
      <c r="GY336" s="125"/>
      <c r="GZ336" s="125"/>
      <c r="HA336" s="125"/>
      <c r="HB336" s="125"/>
      <c r="HC336" s="125"/>
      <c r="HD336" s="125"/>
      <c r="HE336" s="125"/>
      <c r="HF336" s="125"/>
      <c r="HG336" s="125"/>
      <c r="HH336" s="125"/>
      <c r="HI336" s="125"/>
      <c r="HJ336" s="125"/>
      <c r="HK336" s="179"/>
      <c r="HL336" s="177"/>
      <c r="HM336" s="177"/>
      <c r="HN336" s="177"/>
      <c r="HO336" s="177"/>
      <c r="HP336" s="177"/>
      <c r="HQ336" s="177"/>
      <c r="HR336" s="178"/>
      <c r="HS336" s="125"/>
      <c r="HT336" s="125"/>
      <c r="HU336" s="125"/>
      <c r="HV336" s="125"/>
      <c r="HW336" s="125"/>
      <c r="HX336" s="125"/>
      <c r="HY336" s="125"/>
      <c r="HZ336" s="125"/>
      <c r="IA336" s="125"/>
      <c r="IB336" s="125"/>
      <c r="IC336" s="125"/>
      <c r="ID336" s="125"/>
      <c r="IE336" s="125"/>
      <c r="IF336" s="125"/>
      <c r="IG336" s="125"/>
      <c r="IH336" s="125"/>
      <c r="II336" s="179"/>
      <c r="IJ336" s="177"/>
      <c r="IK336" s="177"/>
      <c r="IL336" s="177"/>
      <c r="IM336" s="177"/>
      <c r="IN336" s="177"/>
      <c r="IO336" s="177"/>
      <c r="IP336" s="178"/>
      <c r="IQ336" s="125"/>
      <c r="IR336" s="125"/>
      <c r="IS336" s="125"/>
      <c r="IT336" s="125"/>
      <c r="IU336" s="125"/>
      <c r="IV336" s="125"/>
    </row>
    <row r="337" spans="1:256" s="3" customFormat="1">
      <c r="A337" s="16">
        <v>121</v>
      </c>
      <c r="B337" s="56">
        <v>43069</v>
      </c>
      <c r="C337" s="18"/>
      <c r="D337" s="19" t="s">
        <v>461</v>
      </c>
      <c r="E337" s="20" t="s">
        <v>467</v>
      </c>
      <c r="F337" s="62" t="s">
        <v>468</v>
      </c>
      <c r="G337" s="63">
        <v>1709</v>
      </c>
      <c r="H337" s="121">
        <v>2648100</v>
      </c>
      <c r="I337" s="24">
        <v>2522000</v>
      </c>
      <c r="J337" s="24"/>
      <c r="K337" s="24">
        <f t="shared" si="26"/>
        <v>2522000</v>
      </c>
      <c r="L337" s="123"/>
      <c r="M337" s="24">
        <f t="shared" si="27"/>
        <v>0</v>
      </c>
      <c r="N337" s="124">
        <f t="shared" si="28"/>
        <v>2522000</v>
      </c>
      <c r="O337" s="87"/>
      <c r="Q337" s="140"/>
      <c r="AA337" s="130"/>
      <c r="AB337" s="130"/>
      <c r="AC337" s="130"/>
      <c r="AD337" s="130"/>
      <c r="AE337" s="130"/>
      <c r="AF337" s="167"/>
      <c r="AG337" s="167"/>
      <c r="AH337" s="167"/>
      <c r="AI337" s="125"/>
      <c r="AJ337" s="125"/>
      <c r="AK337" s="125"/>
      <c r="AL337" s="125"/>
      <c r="AM337" s="125"/>
      <c r="AN337" s="125"/>
      <c r="AO337" s="125"/>
      <c r="AP337" s="125"/>
      <c r="AQ337" s="125"/>
      <c r="AR337" s="125"/>
      <c r="AS337" s="125"/>
      <c r="AT337" s="125"/>
      <c r="AU337" s="125"/>
      <c r="AV337" s="125"/>
      <c r="AW337" s="125"/>
      <c r="AX337" s="125"/>
      <c r="AY337" s="167"/>
      <c r="AZ337" s="167"/>
      <c r="BA337" s="167"/>
      <c r="BB337" s="167"/>
      <c r="BC337" s="167"/>
      <c r="BD337" s="167"/>
      <c r="BE337" s="167"/>
      <c r="BF337" s="167"/>
      <c r="BG337" s="125"/>
      <c r="BH337" s="125"/>
      <c r="BI337" s="125"/>
      <c r="BJ337" s="125"/>
      <c r="BK337" s="125"/>
      <c r="BL337" s="125"/>
      <c r="BM337" s="125"/>
      <c r="BN337" s="125"/>
      <c r="BO337" s="125"/>
      <c r="BP337" s="125"/>
      <c r="BQ337" s="125"/>
      <c r="BR337" s="125"/>
      <c r="BS337" s="125"/>
      <c r="BT337" s="125"/>
      <c r="BU337" s="125"/>
      <c r="BV337" s="125"/>
      <c r="BW337" s="167"/>
      <c r="BX337" s="167"/>
      <c r="BY337" s="167"/>
      <c r="BZ337" s="167"/>
      <c r="CA337" s="167"/>
      <c r="CB337" s="167"/>
      <c r="CC337" s="167"/>
      <c r="CD337" s="167"/>
      <c r="CE337" s="125"/>
      <c r="CF337" s="125"/>
      <c r="CG337" s="125"/>
      <c r="CH337" s="125"/>
      <c r="CI337" s="125"/>
      <c r="CJ337" s="125"/>
      <c r="CK337" s="125"/>
      <c r="CL337" s="125"/>
      <c r="CM337" s="125"/>
      <c r="CN337" s="125"/>
      <c r="CO337" s="125"/>
      <c r="CP337" s="125"/>
      <c r="CQ337" s="125"/>
      <c r="CR337" s="125"/>
      <c r="CS337" s="125"/>
      <c r="CT337" s="125"/>
      <c r="CU337" s="167"/>
      <c r="CV337" s="167"/>
      <c r="CW337" s="167"/>
      <c r="CX337" s="167"/>
      <c r="CY337" s="167"/>
      <c r="CZ337" s="167"/>
      <c r="DA337" s="167"/>
      <c r="DB337" s="167"/>
      <c r="DC337" s="125"/>
      <c r="DD337" s="125"/>
      <c r="DE337" s="125"/>
      <c r="DF337" s="125"/>
      <c r="DG337" s="125"/>
      <c r="DH337" s="125"/>
      <c r="DI337" s="125"/>
      <c r="DJ337" s="125"/>
      <c r="DK337" s="125"/>
      <c r="DL337" s="125"/>
      <c r="DM337" s="125"/>
      <c r="DN337" s="125"/>
      <c r="DO337" s="125"/>
      <c r="DP337" s="125"/>
      <c r="DQ337" s="125"/>
      <c r="DR337" s="125"/>
      <c r="DS337" s="167"/>
      <c r="DT337" s="167"/>
      <c r="DU337" s="167"/>
      <c r="DV337" s="167"/>
      <c r="DW337" s="167"/>
      <c r="DX337" s="167"/>
      <c r="DY337" s="167"/>
      <c r="DZ337" s="167"/>
      <c r="EA337" s="125"/>
      <c r="EB337" s="125"/>
      <c r="EC337" s="125"/>
      <c r="ED337" s="125"/>
      <c r="EE337" s="125"/>
      <c r="EF337" s="125"/>
      <c r="EG337" s="125"/>
      <c r="EH337" s="125"/>
      <c r="EI337" s="125"/>
      <c r="EJ337" s="125"/>
      <c r="EK337" s="125"/>
      <c r="EL337" s="125"/>
      <c r="EM337" s="125"/>
      <c r="EN337" s="125"/>
      <c r="EO337" s="125"/>
      <c r="EP337" s="125"/>
      <c r="EQ337" s="167"/>
      <c r="ER337" s="167"/>
      <c r="ES337" s="167"/>
      <c r="ET337" s="167"/>
      <c r="EU337" s="167"/>
      <c r="EV337" s="167"/>
      <c r="EW337" s="167"/>
      <c r="EX337" s="167"/>
      <c r="EY337" s="125"/>
      <c r="EZ337" s="125"/>
      <c r="FA337" s="125"/>
      <c r="FB337" s="125"/>
      <c r="FC337" s="125"/>
      <c r="FD337" s="125"/>
      <c r="FE337" s="125"/>
      <c r="FF337" s="125"/>
      <c r="FG337" s="125"/>
      <c r="FH337" s="125"/>
      <c r="FI337" s="125"/>
      <c r="FJ337" s="125"/>
      <c r="FK337" s="125"/>
      <c r="FL337" s="125"/>
      <c r="FM337" s="125"/>
      <c r="FN337" s="125"/>
      <c r="FO337" s="167"/>
      <c r="FP337" s="167"/>
      <c r="FQ337" s="167"/>
      <c r="FR337" s="167"/>
      <c r="FS337" s="167"/>
      <c r="FT337" s="167"/>
      <c r="FU337" s="167"/>
      <c r="FV337" s="167"/>
      <c r="FW337" s="125"/>
      <c r="FX337" s="125"/>
      <c r="FY337" s="125"/>
      <c r="FZ337" s="125"/>
      <c r="GA337" s="125"/>
      <c r="GB337" s="125"/>
      <c r="GC337" s="125"/>
      <c r="GD337" s="125"/>
      <c r="GE337" s="125"/>
      <c r="GF337" s="125"/>
      <c r="GG337" s="125"/>
      <c r="GH337" s="125"/>
      <c r="GI337" s="125"/>
      <c r="GJ337" s="125"/>
      <c r="GK337" s="125"/>
      <c r="GL337" s="125"/>
      <c r="GM337" s="167"/>
      <c r="GN337" s="167"/>
      <c r="GO337" s="167"/>
      <c r="GP337" s="167"/>
      <c r="GQ337" s="167"/>
      <c r="GR337" s="167"/>
      <c r="GS337" s="167"/>
      <c r="GT337" s="167"/>
      <c r="GU337" s="125"/>
      <c r="GV337" s="125"/>
      <c r="GW337" s="125"/>
      <c r="GX337" s="125"/>
      <c r="GY337" s="125"/>
      <c r="GZ337" s="125"/>
      <c r="HA337" s="125"/>
      <c r="HB337" s="125"/>
      <c r="HC337" s="125"/>
      <c r="HD337" s="125"/>
      <c r="HE337" s="125"/>
      <c r="HF337" s="125"/>
      <c r="HG337" s="125"/>
      <c r="HH337" s="125"/>
      <c r="HI337" s="125"/>
      <c r="HJ337" s="125"/>
      <c r="HK337" s="167"/>
      <c r="HL337" s="167"/>
      <c r="HM337" s="167"/>
      <c r="HN337" s="167"/>
      <c r="HO337" s="167"/>
      <c r="HP337" s="167"/>
      <c r="HQ337" s="167"/>
      <c r="HR337" s="167"/>
      <c r="HS337" s="125"/>
      <c r="HT337" s="125"/>
      <c r="HU337" s="125"/>
      <c r="HV337" s="125"/>
      <c r="HW337" s="125"/>
      <c r="HX337" s="125"/>
      <c r="HY337" s="125"/>
      <c r="HZ337" s="125"/>
      <c r="IA337" s="125"/>
      <c r="IB337" s="125"/>
      <c r="IC337" s="125"/>
      <c r="ID337" s="125"/>
      <c r="IE337" s="125"/>
      <c r="IF337" s="125"/>
      <c r="IG337" s="125"/>
      <c r="IH337" s="125"/>
      <c r="II337" s="167"/>
      <c r="IJ337" s="167"/>
      <c r="IK337" s="167"/>
      <c r="IL337" s="167"/>
      <c r="IM337" s="167"/>
      <c r="IN337" s="167"/>
      <c r="IO337" s="167"/>
      <c r="IP337" s="167"/>
      <c r="IQ337" s="125"/>
      <c r="IR337" s="125"/>
      <c r="IS337" s="125"/>
      <c r="IT337" s="125"/>
      <c r="IU337" s="125"/>
      <c r="IV337" s="125"/>
    </row>
    <row r="338" spans="1:256" s="3" customFormat="1">
      <c r="A338" s="16">
        <v>122</v>
      </c>
      <c r="B338" s="56">
        <v>43097</v>
      </c>
      <c r="C338" s="18"/>
      <c r="D338" s="19" t="s">
        <v>461</v>
      </c>
      <c r="E338" s="20" t="s">
        <v>469</v>
      </c>
      <c r="F338" s="62" t="s">
        <v>470</v>
      </c>
      <c r="G338" s="63">
        <v>1710</v>
      </c>
      <c r="H338" s="121">
        <v>3433800</v>
      </c>
      <c r="I338" s="24"/>
      <c r="J338" s="24">
        <f>SUM(H338)/1.05</f>
        <v>3270285.7142857141</v>
      </c>
      <c r="K338" s="24">
        <f t="shared" si="26"/>
        <v>3270285.7142857141</v>
      </c>
      <c r="L338" s="123"/>
      <c r="M338" s="24">
        <f t="shared" si="27"/>
        <v>0</v>
      </c>
      <c r="N338" s="124">
        <f t="shared" si="28"/>
        <v>3270285.7142857141</v>
      </c>
      <c r="O338" s="87"/>
      <c r="AA338" s="130"/>
      <c r="AB338" s="130"/>
      <c r="AC338" s="130"/>
      <c r="AD338" s="130"/>
      <c r="AE338" s="130"/>
      <c r="AF338" s="167"/>
      <c r="AG338" s="167"/>
      <c r="AH338" s="167"/>
      <c r="AI338" s="125"/>
      <c r="AJ338" s="125"/>
      <c r="AK338" s="125"/>
      <c r="AL338" s="125"/>
      <c r="AM338" s="125"/>
      <c r="AN338" s="125"/>
      <c r="AO338" s="125"/>
      <c r="AP338" s="125"/>
      <c r="AQ338" s="125"/>
      <c r="AR338" s="125"/>
      <c r="AS338" s="125"/>
      <c r="AT338" s="125"/>
      <c r="AU338" s="125"/>
      <c r="AV338" s="125"/>
      <c r="AW338" s="125"/>
      <c r="AX338" s="125"/>
      <c r="AY338" s="167"/>
      <c r="AZ338" s="167"/>
      <c r="BA338" s="167"/>
      <c r="BB338" s="167"/>
      <c r="BC338" s="167"/>
      <c r="BD338" s="167"/>
      <c r="BE338" s="167"/>
      <c r="BF338" s="167"/>
      <c r="BG338" s="125"/>
      <c r="BH338" s="125"/>
      <c r="BI338" s="125"/>
      <c r="BJ338" s="125"/>
      <c r="BK338" s="125"/>
      <c r="BL338" s="125"/>
      <c r="BM338" s="125"/>
      <c r="BN338" s="125"/>
      <c r="BO338" s="125"/>
      <c r="BP338" s="125"/>
      <c r="BQ338" s="125"/>
      <c r="BR338" s="125"/>
      <c r="BS338" s="125"/>
      <c r="BT338" s="125"/>
      <c r="BU338" s="125"/>
      <c r="BV338" s="125"/>
      <c r="BW338" s="167"/>
      <c r="BX338" s="167"/>
      <c r="BY338" s="167"/>
      <c r="BZ338" s="167"/>
      <c r="CA338" s="167"/>
      <c r="CB338" s="167"/>
      <c r="CC338" s="167"/>
      <c r="CD338" s="167"/>
      <c r="CE338" s="125"/>
      <c r="CF338" s="125"/>
      <c r="CG338" s="125"/>
      <c r="CH338" s="125"/>
      <c r="CI338" s="125"/>
      <c r="CJ338" s="125"/>
      <c r="CK338" s="125"/>
      <c r="CL338" s="125"/>
      <c r="CM338" s="125"/>
      <c r="CN338" s="125"/>
      <c r="CO338" s="125"/>
      <c r="CP338" s="125"/>
      <c r="CQ338" s="125"/>
      <c r="CR338" s="125"/>
      <c r="CS338" s="125"/>
      <c r="CT338" s="125"/>
      <c r="CU338" s="167"/>
      <c r="CV338" s="167"/>
      <c r="CW338" s="167"/>
      <c r="CX338" s="167"/>
      <c r="CY338" s="167"/>
      <c r="CZ338" s="167"/>
      <c r="DA338" s="167"/>
      <c r="DB338" s="167"/>
      <c r="DC338" s="125"/>
      <c r="DD338" s="125"/>
      <c r="DE338" s="125"/>
      <c r="DF338" s="125"/>
      <c r="DG338" s="125"/>
      <c r="DH338" s="125"/>
      <c r="DI338" s="125"/>
      <c r="DJ338" s="125"/>
      <c r="DK338" s="125"/>
      <c r="DL338" s="125"/>
      <c r="DM338" s="125"/>
      <c r="DN338" s="125"/>
      <c r="DO338" s="125"/>
      <c r="DP338" s="125"/>
      <c r="DQ338" s="125"/>
      <c r="DR338" s="125"/>
      <c r="DS338" s="167"/>
      <c r="DT338" s="167"/>
      <c r="DU338" s="167"/>
      <c r="DV338" s="167"/>
      <c r="DW338" s="167"/>
      <c r="DX338" s="167"/>
      <c r="DY338" s="167"/>
      <c r="DZ338" s="167"/>
      <c r="EA338" s="125"/>
      <c r="EB338" s="125"/>
      <c r="EC338" s="125"/>
      <c r="ED338" s="125"/>
      <c r="EE338" s="125"/>
      <c r="EF338" s="125"/>
      <c r="EG338" s="125"/>
      <c r="EH338" s="125"/>
      <c r="EI338" s="125"/>
      <c r="EJ338" s="125"/>
      <c r="EK338" s="125"/>
      <c r="EL338" s="125"/>
      <c r="EM338" s="125"/>
      <c r="EN338" s="125"/>
      <c r="EO338" s="125"/>
      <c r="EP338" s="125"/>
      <c r="EQ338" s="167"/>
      <c r="ER338" s="167"/>
      <c r="ES338" s="167"/>
      <c r="ET338" s="167"/>
      <c r="EU338" s="167"/>
      <c r="EV338" s="167"/>
      <c r="EW338" s="167"/>
      <c r="EX338" s="167"/>
      <c r="EY338" s="125"/>
      <c r="EZ338" s="125"/>
      <c r="FA338" s="125"/>
      <c r="FB338" s="125"/>
      <c r="FC338" s="125"/>
      <c r="FD338" s="125"/>
      <c r="FE338" s="125"/>
      <c r="FF338" s="125"/>
      <c r="FG338" s="125"/>
      <c r="FH338" s="125"/>
      <c r="FI338" s="125"/>
      <c r="FJ338" s="125"/>
      <c r="FK338" s="125"/>
      <c r="FL338" s="125"/>
      <c r="FM338" s="125"/>
      <c r="FN338" s="125"/>
      <c r="FO338" s="167"/>
      <c r="FP338" s="167"/>
      <c r="FQ338" s="167"/>
      <c r="FR338" s="167"/>
      <c r="FS338" s="167"/>
      <c r="FT338" s="167"/>
      <c r="FU338" s="167"/>
      <c r="FV338" s="167"/>
      <c r="FW338" s="125"/>
      <c r="FX338" s="125"/>
      <c r="FY338" s="125"/>
      <c r="FZ338" s="125"/>
      <c r="GA338" s="125"/>
      <c r="GB338" s="125"/>
      <c r="GC338" s="125"/>
      <c r="GD338" s="125"/>
      <c r="GE338" s="125"/>
      <c r="GF338" s="125"/>
      <c r="GG338" s="125"/>
      <c r="GH338" s="125"/>
      <c r="GI338" s="125"/>
      <c r="GJ338" s="125"/>
      <c r="GK338" s="125"/>
      <c r="GL338" s="125"/>
      <c r="GM338" s="167"/>
      <c r="GN338" s="167"/>
      <c r="GO338" s="167"/>
      <c r="GP338" s="167"/>
      <c r="GQ338" s="167"/>
      <c r="GR338" s="167"/>
      <c r="GS338" s="167"/>
      <c r="GT338" s="167"/>
      <c r="GU338" s="125"/>
      <c r="GV338" s="125"/>
      <c r="GW338" s="125"/>
      <c r="GX338" s="125"/>
      <c r="GY338" s="125"/>
      <c r="GZ338" s="125"/>
      <c r="HA338" s="125"/>
      <c r="HB338" s="125"/>
      <c r="HC338" s="125"/>
      <c r="HD338" s="125"/>
      <c r="HE338" s="125"/>
      <c r="HF338" s="125"/>
      <c r="HG338" s="125"/>
      <c r="HH338" s="125"/>
      <c r="HI338" s="125"/>
      <c r="HJ338" s="125"/>
      <c r="HK338" s="167"/>
      <c r="HL338" s="167"/>
      <c r="HM338" s="167"/>
      <c r="HN338" s="167"/>
      <c r="HO338" s="167"/>
      <c r="HP338" s="167"/>
      <c r="HQ338" s="167"/>
      <c r="HR338" s="167"/>
      <c r="HS338" s="125"/>
      <c r="HT338" s="125"/>
      <c r="HU338" s="125"/>
      <c r="HV338" s="125"/>
      <c r="HW338" s="125"/>
      <c r="HX338" s="125"/>
      <c r="HY338" s="125"/>
      <c r="HZ338" s="125"/>
      <c r="IA338" s="125"/>
      <c r="IB338" s="125"/>
      <c r="IC338" s="125"/>
      <c r="ID338" s="125"/>
      <c r="IE338" s="125"/>
      <c r="IF338" s="125"/>
      <c r="IG338" s="125"/>
      <c r="IH338" s="125"/>
      <c r="II338" s="167"/>
      <c r="IJ338" s="167"/>
      <c r="IK338" s="167"/>
      <c r="IL338" s="167"/>
      <c r="IM338" s="167"/>
      <c r="IN338" s="167"/>
      <c r="IO338" s="167"/>
      <c r="IP338" s="167"/>
      <c r="IQ338" s="125"/>
      <c r="IR338" s="125"/>
      <c r="IS338" s="125"/>
      <c r="IT338" s="125"/>
      <c r="IU338" s="125"/>
      <c r="IV338" s="125"/>
    </row>
    <row r="339" spans="1:256" s="3" customFormat="1">
      <c r="A339" s="16">
        <v>123</v>
      </c>
      <c r="B339" s="60">
        <v>43095</v>
      </c>
      <c r="C339" s="18"/>
      <c r="D339" s="19" t="s">
        <v>461</v>
      </c>
      <c r="E339" s="20" t="s">
        <v>469</v>
      </c>
      <c r="F339" s="168" t="s">
        <v>471</v>
      </c>
      <c r="G339" s="63">
        <v>1710</v>
      </c>
      <c r="H339" s="121">
        <v>3433800</v>
      </c>
      <c r="I339" s="24"/>
      <c r="J339" s="24">
        <f>SUM(H339)/1.05</f>
        <v>3270285.7142857141</v>
      </c>
      <c r="K339" s="24">
        <f t="shared" si="26"/>
        <v>3270285.7142857141</v>
      </c>
      <c r="L339" s="123"/>
      <c r="M339" s="24">
        <f t="shared" si="27"/>
        <v>0</v>
      </c>
      <c r="N339" s="124">
        <f t="shared" si="28"/>
        <v>3270285.7142857141</v>
      </c>
      <c r="O339" s="108"/>
      <c r="AA339" s="130"/>
      <c r="AB339" s="130"/>
      <c r="AC339" s="130"/>
      <c r="AD339" s="130"/>
      <c r="AE339" s="130"/>
      <c r="AF339" s="167"/>
      <c r="AG339" s="167"/>
      <c r="AH339" s="167"/>
      <c r="AI339" s="125"/>
      <c r="AJ339" s="125"/>
      <c r="AK339" s="125"/>
      <c r="AL339" s="125"/>
      <c r="AM339" s="125"/>
      <c r="AN339" s="125"/>
      <c r="AO339" s="125"/>
      <c r="AP339" s="125"/>
      <c r="AQ339" s="125"/>
      <c r="AR339" s="125"/>
      <c r="AS339" s="125"/>
      <c r="AT339" s="125"/>
      <c r="AU339" s="125"/>
      <c r="AV339" s="125"/>
      <c r="AW339" s="125"/>
      <c r="AX339" s="125"/>
      <c r="AY339" s="167"/>
      <c r="AZ339" s="167"/>
      <c r="BA339" s="167"/>
      <c r="BB339" s="167"/>
      <c r="BC339" s="167"/>
      <c r="BD339" s="167"/>
      <c r="BE339" s="167"/>
      <c r="BF339" s="167"/>
      <c r="BG339" s="125"/>
      <c r="BH339" s="125"/>
      <c r="BI339" s="125"/>
      <c r="BJ339" s="125"/>
      <c r="BK339" s="125"/>
      <c r="BL339" s="125"/>
      <c r="BM339" s="125"/>
      <c r="BN339" s="125"/>
      <c r="BO339" s="125"/>
      <c r="BP339" s="125"/>
      <c r="BQ339" s="125"/>
      <c r="BR339" s="125"/>
      <c r="BS339" s="125"/>
      <c r="BT339" s="125"/>
      <c r="BU339" s="125"/>
      <c r="BV339" s="125"/>
      <c r="BW339" s="167"/>
      <c r="BX339" s="167"/>
      <c r="BY339" s="167"/>
      <c r="BZ339" s="167"/>
      <c r="CA339" s="167"/>
      <c r="CB339" s="167"/>
      <c r="CC339" s="167"/>
      <c r="CD339" s="167"/>
      <c r="CE339" s="125"/>
      <c r="CF339" s="125"/>
      <c r="CG339" s="125"/>
      <c r="CH339" s="125"/>
      <c r="CI339" s="125"/>
      <c r="CJ339" s="125"/>
      <c r="CK339" s="125"/>
      <c r="CL339" s="125"/>
      <c r="CM339" s="125"/>
      <c r="CN339" s="125"/>
      <c r="CO339" s="125"/>
      <c r="CP339" s="125"/>
      <c r="CQ339" s="125"/>
      <c r="CR339" s="125"/>
      <c r="CS339" s="125"/>
      <c r="CT339" s="125"/>
      <c r="CU339" s="167"/>
      <c r="CV339" s="167"/>
      <c r="CW339" s="167"/>
      <c r="CX339" s="167"/>
      <c r="CY339" s="167"/>
      <c r="CZ339" s="167"/>
      <c r="DA339" s="167"/>
      <c r="DB339" s="167"/>
      <c r="DC339" s="125"/>
      <c r="DD339" s="125"/>
      <c r="DE339" s="125"/>
      <c r="DF339" s="125"/>
      <c r="DG339" s="125"/>
      <c r="DH339" s="125"/>
      <c r="DI339" s="125"/>
      <c r="DJ339" s="125"/>
      <c r="DK339" s="125"/>
      <c r="DL339" s="125"/>
      <c r="DM339" s="125"/>
      <c r="DN339" s="125"/>
      <c r="DO339" s="125"/>
      <c r="DP339" s="125"/>
      <c r="DQ339" s="125"/>
      <c r="DR339" s="125"/>
      <c r="DS339" s="167"/>
      <c r="DT339" s="167"/>
      <c r="DU339" s="167"/>
      <c r="DV339" s="167"/>
      <c r="DW339" s="167"/>
      <c r="DX339" s="167"/>
      <c r="DY339" s="167"/>
      <c r="DZ339" s="167"/>
      <c r="EA339" s="125"/>
      <c r="EB339" s="125"/>
      <c r="EC339" s="125"/>
      <c r="ED339" s="125"/>
      <c r="EE339" s="125"/>
      <c r="EF339" s="125"/>
      <c r="EG339" s="125"/>
      <c r="EH339" s="125"/>
      <c r="EI339" s="125"/>
      <c r="EJ339" s="125"/>
      <c r="EK339" s="125"/>
      <c r="EL339" s="125"/>
      <c r="EM339" s="125"/>
      <c r="EN339" s="125"/>
      <c r="EO339" s="125"/>
      <c r="EP339" s="125"/>
      <c r="EQ339" s="167"/>
      <c r="ER339" s="167"/>
      <c r="ES339" s="167"/>
      <c r="ET339" s="167"/>
      <c r="EU339" s="167"/>
      <c r="EV339" s="167"/>
      <c r="EW339" s="167"/>
      <c r="EX339" s="167"/>
      <c r="EY339" s="125"/>
      <c r="EZ339" s="125"/>
      <c r="FA339" s="125"/>
      <c r="FB339" s="125"/>
      <c r="FC339" s="125"/>
      <c r="FD339" s="125"/>
      <c r="FE339" s="125"/>
      <c r="FF339" s="125"/>
      <c r="FG339" s="125"/>
      <c r="FH339" s="125"/>
      <c r="FI339" s="125"/>
      <c r="FJ339" s="125"/>
      <c r="FK339" s="125"/>
      <c r="FL339" s="125"/>
      <c r="FM339" s="125"/>
      <c r="FN339" s="125"/>
      <c r="FO339" s="167"/>
      <c r="FP339" s="167"/>
      <c r="FQ339" s="167"/>
      <c r="FR339" s="167"/>
      <c r="FS339" s="167"/>
      <c r="FT339" s="167"/>
      <c r="FU339" s="167"/>
      <c r="FV339" s="167"/>
      <c r="FW339" s="125"/>
      <c r="FX339" s="125"/>
      <c r="FY339" s="125"/>
      <c r="FZ339" s="125"/>
      <c r="GA339" s="125"/>
      <c r="GB339" s="125"/>
      <c r="GC339" s="125"/>
      <c r="GD339" s="125"/>
      <c r="GE339" s="125"/>
      <c r="GF339" s="125"/>
      <c r="GG339" s="125"/>
      <c r="GH339" s="125"/>
      <c r="GI339" s="125"/>
      <c r="GJ339" s="125"/>
      <c r="GK339" s="125"/>
      <c r="GL339" s="125"/>
      <c r="GM339" s="167"/>
      <c r="GN339" s="167"/>
      <c r="GO339" s="167"/>
      <c r="GP339" s="167"/>
      <c r="GQ339" s="167"/>
      <c r="GR339" s="167"/>
      <c r="GS339" s="167"/>
      <c r="GT339" s="167"/>
      <c r="GU339" s="125"/>
      <c r="GV339" s="125"/>
      <c r="GW339" s="125"/>
      <c r="GX339" s="125"/>
      <c r="GY339" s="125"/>
      <c r="GZ339" s="125"/>
      <c r="HA339" s="125"/>
      <c r="HB339" s="125"/>
      <c r="HC339" s="125"/>
      <c r="HD339" s="125"/>
      <c r="HE339" s="125"/>
      <c r="HF339" s="125"/>
      <c r="HG339" s="125"/>
      <c r="HH339" s="125"/>
      <c r="HI339" s="125"/>
      <c r="HJ339" s="125"/>
      <c r="HK339" s="167"/>
      <c r="HL339" s="167"/>
      <c r="HM339" s="167"/>
      <c r="HN339" s="167"/>
      <c r="HO339" s="167"/>
      <c r="HP339" s="167"/>
      <c r="HQ339" s="167"/>
      <c r="HR339" s="167"/>
      <c r="HS339" s="125"/>
      <c r="HT339" s="125"/>
      <c r="HU339" s="125"/>
      <c r="HV339" s="125"/>
      <c r="HW339" s="125"/>
      <c r="HX339" s="125"/>
      <c r="HY339" s="125"/>
      <c r="HZ339" s="125"/>
      <c r="IA339" s="125"/>
      <c r="IB339" s="125"/>
      <c r="IC339" s="125"/>
      <c r="ID339" s="125"/>
      <c r="IE339" s="125"/>
      <c r="IF339" s="125"/>
      <c r="IG339" s="125"/>
      <c r="IH339" s="125"/>
      <c r="II339" s="167"/>
      <c r="IJ339" s="167"/>
      <c r="IK339" s="167"/>
      <c r="IL339" s="167"/>
      <c r="IM339" s="167"/>
      <c r="IN339" s="167"/>
      <c r="IO339" s="167"/>
      <c r="IP339" s="167"/>
      <c r="IQ339" s="125"/>
      <c r="IR339" s="125"/>
      <c r="IS339" s="125"/>
      <c r="IT339" s="125"/>
      <c r="IU339" s="125"/>
      <c r="IV339" s="125"/>
    </row>
    <row r="340" spans="1:256" s="3" customFormat="1">
      <c r="A340" s="16">
        <v>124</v>
      </c>
      <c r="B340" s="56">
        <v>43096</v>
      </c>
      <c r="C340" s="18"/>
      <c r="D340" s="19" t="s">
        <v>472</v>
      </c>
      <c r="E340" s="20" t="s">
        <v>473</v>
      </c>
      <c r="F340" s="62" t="s">
        <v>474</v>
      </c>
      <c r="G340" s="63">
        <v>1709</v>
      </c>
      <c r="H340" s="121">
        <v>2246600</v>
      </c>
      <c r="I340" s="24"/>
      <c r="J340" s="24">
        <f>SUM(H340)/1.05</f>
        <v>2139619.0476190476</v>
      </c>
      <c r="K340" s="24">
        <f t="shared" si="26"/>
        <v>2139619.0476190476</v>
      </c>
      <c r="L340" s="123"/>
      <c r="M340" s="24">
        <f t="shared" si="27"/>
        <v>0</v>
      </c>
      <c r="N340" s="124">
        <f t="shared" si="28"/>
        <v>2139619.0476190476</v>
      </c>
      <c r="O340" s="108"/>
      <c r="Q340" s="140"/>
      <c r="AA340" s="130"/>
      <c r="AB340" s="130"/>
      <c r="AC340" s="130"/>
      <c r="AD340" s="130"/>
      <c r="AE340" s="130"/>
      <c r="AF340" s="130"/>
      <c r="AG340" s="130"/>
      <c r="AH340" s="130"/>
      <c r="AY340" s="130"/>
      <c r="AZ340" s="130"/>
      <c r="BA340" s="130"/>
      <c r="BB340" s="130"/>
      <c r="BC340" s="130"/>
      <c r="BD340" s="130"/>
      <c r="BE340" s="130"/>
      <c r="BF340" s="130"/>
      <c r="BW340" s="130"/>
      <c r="BX340" s="130"/>
      <c r="BY340" s="130"/>
      <c r="BZ340" s="130"/>
      <c r="CA340" s="130"/>
      <c r="CB340" s="130"/>
      <c r="CC340" s="130"/>
      <c r="CD340" s="130"/>
      <c r="CU340" s="130"/>
      <c r="CV340" s="130"/>
      <c r="CW340" s="130"/>
      <c r="CX340" s="130"/>
      <c r="CY340" s="130"/>
      <c r="CZ340" s="130"/>
      <c r="DA340" s="130"/>
      <c r="DB340" s="130"/>
      <c r="DS340" s="130"/>
      <c r="DT340" s="130"/>
      <c r="DU340" s="130"/>
      <c r="DV340" s="130"/>
      <c r="DW340" s="130"/>
      <c r="DX340" s="130"/>
      <c r="DY340" s="130"/>
      <c r="DZ340" s="130"/>
      <c r="EQ340" s="130"/>
      <c r="ER340" s="130"/>
      <c r="ES340" s="130"/>
      <c r="ET340" s="130"/>
      <c r="EU340" s="130"/>
      <c r="EV340" s="130"/>
      <c r="EW340" s="130"/>
      <c r="EX340" s="130"/>
      <c r="FO340" s="130"/>
      <c r="FP340" s="130"/>
      <c r="FQ340" s="130"/>
      <c r="FR340" s="130"/>
      <c r="FS340" s="130"/>
      <c r="FT340" s="130"/>
      <c r="FU340" s="130"/>
      <c r="FV340" s="130"/>
      <c r="GM340" s="130"/>
      <c r="GN340" s="130"/>
      <c r="GO340" s="130"/>
      <c r="GP340" s="130"/>
      <c r="GQ340" s="130"/>
      <c r="GR340" s="130"/>
      <c r="GS340" s="130"/>
      <c r="GT340" s="130"/>
      <c r="HK340" s="130"/>
      <c r="HL340" s="130"/>
      <c r="HM340" s="130"/>
      <c r="HN340" s="130"/>
      <c r="HO340" s="130"/>
      <c r="HP340" s="130"/>
      <c r="HQ340" s="130"/>
      <c r="HR340" s="130"/>
      <c r="II340" s="130"/>
      <c r="IJ340" s="130"/>
      <c r="IK340" s="130"/>
      <c r="IL340" s="130"/>
      <c r="IM340" s="130"/>
      <c r="IN340" s="130"/>
      <c r="IO340" s="130"/>
      <c r="IP340" s="130"/>
    </row>
    <row r="341" spans="1:256" s="3" customFormat="1">
      <c r="A341" s="16">
        <v>125</v>
      </c>
      <c r="B341" s="60">
        <v>43090</v>
      </c>
      <c r="C341" s="18"/>
      <c r="D341" s="19" t="s">
        <v>472</v>
      </c>
      <c r="E341" s="20" t="s">
        <v>475</v>
      </c>
      <c r="F341" s="168" t="s">
        <v>476</v>
      </c>
      <c r="G341" s="63">
        <v>1709</v>
      </c>
      <c r="H341" s="121">
        <v>2368800</v>
      </c>
      <c r="I341" s="24"/>
      <c r="J341" s="24">
        <f>SUM(H341)/1.05</f>
        <v>2256000</v>
      </c>
      <c r="K341" s="24">
        <f t="shared" si="26"/>
        <v>2256000</v>
      </c>
      <c r="L341" s="123"/>
      <c r="M341" s="24">
        <f t="shared" si="27"/>
        <v>0</v>
      </c>
      <c r="N341" s="124">
        <f t="shared" si="28"/>
        <v>2256000</v>
      </c>
      <c r="O341" s="196"/>
      <c r="AA341" s="130"/>
      <c r="AB341" s="130"/>
      <c r="AC341" s="130"/>
      <c r="AD341" s="130"/>
      <c r="AE341" s="130"/>
      <c r="AF341" s="167"/>
      <c r="AG341" s="167"/>
      <c r="AH341" s="167"/>
      <c r="AI341" s="125"/>
      <c r="AJ341" s="125"/>
      <c r="AK341" s="125"/>
      <c r="AL341" s="125"/>
      <c r="AM341" s="125"/>
      <c r="AN341" s="125"/>
      <c r="AO341" s="125"/>
      <c r="AP341" s="125"/>
      <c r="AQ341" s="125"/>
      <c r="AR341" s="125"/>
      <c r="AS341" s="125"/>
      <c r="AT341" s="125"/>
      <c r="AU341" s="125"/>
      <c r="AV341" s="125"/>
      <c r="AW341" s="125"/>
      <c r="AX341" s="125"/>
      <c r="AY341" s="167"/>
      <c r="AZ341" s="167"/>
      <c r="BA341" s="167"/>
      <c r="BB341" s="167"/>
      <c r="BC341" s="167"/>
      <c r="BD341" s="167"/>
      <c r="BE341" s="167"/>
      <c r="BF341" s="167"/>
      <c r="BG341" s="125"/>
      <c r="BH341" s="125"/>
      <c r="BI341" s="125"/>
      <c r="BJ341" s="125"/>
      <c r="BK341" s="125"/>
      <c r="BL341" s="125"/>
      <c r="BM341" s="125"/>
      <c r="BN341" s="125"/>
      <c r="BO341" s="125"/>
      <c r="BP341" s="125"/>
      <c r="BQ341" s="125"/>
      <c r="BR341" s="125"/>
      <c r="BS341" s="125"/>
      <c r="BT341" s="125"/>
      <c r="BU341" s="125"/>
      <c r="BV341" s="125"/>
      <c r="BW341" s="167"/>
      <c r="BX341" s="167"/>
      <c r="BY341" s="167"/>
      <c r="BZ341" s="167"/>
      <c r="CA341" s="167"/>
      <c r="CB341" s="167"/>
      <c r="CC341" s="167"/>
      <c r="CD341" s="167"/>
      <c r="CE341" s="125"/>
      <c r="CF341" s="125"/>
      <c r="CG341" s="125"/>
      <c r="CH341" s="125"/>
      <c r="CI341" s="125"/>
      <c r="CJ341" s="125"/>
      <c r="CK341" s="125"/>
      <c r="CL341" s="125"/>
      <c r="CM341" s="125"/>
      <c r="CN341" s="125"/>
      <c r="CO341" s="125"/>
      <c r="CP341" s="125"/>
      <c r="CQ341" s="125"/>
      <c r="CR341" s="125"/>
      <c r="CS341" s="125"/>
      <c r="CT341" s="125"/>
      <c r="CU341" s="167"/>
      <c r="CV341" s="167"/>
      <c r="CW341" s="167"/>
      <c r="CX341" s="167"/>
      <c r="CY341" s="167"/>
      <c r="CZ341" s="167"/>
      <c r="DA341" s="167"/>
      <c r="DB341" s="167"/>
      <c r="DC341" s="125"/>
      <c r="DD341" s="125"/>
      <c r="DE341" s="125"/>
      <c r="DF341" s="125"/>
      <c r="DG341" s="125"/>
      <c r="DH341" s="125"/>
      <c r="DI341" s="125"/>
      <c r="DJ341" s="125"/>
      <c r="DK341" s="125"/>
      <c r="DL341" s="125"/>
      <c r="DM341" s="125"/>
      <c r="DN341" s="125"/>
      <c r="DO341" s="125"/>
      <c r="DP341" s="125"/>
      <c r="DQ341" s="125"/>
      <c r="DR341" s="125"/>
      <c r="DS341" s="167"/>
      <c r="DT341" s="167"/>
      <c r="DU341" s="167"/>
      <c r="DV341" s="167"/>
      <c r="DW341" s="167"/>
      <c r="DX341" s="167"/>
      <c r="DY341" s="167"/>
      <c r="DZ341" s="167"/>
      <c r="EA341" s="125"/>
      <c r="EB341" s="125"/>
      <c r="EC341" s="125"/>
      <c r="ED341" s="125"/>
      <c r="EE341" s="125"/>
      <c r="EF341" s="125"/>
      <c r="EG341" s="125"/>
      <c r="EH341" s="125"/>
      <c r="EI341" s="125"/>
      <c r="EJ341" s="125"/>
      <c r="EK341" s="125"/>
      <c r="EL341" s="125"/>
      <c r="EM341" s="125"/>
      <c r="EN341" s="125"/>
      <c r="EO341" s="125"/>
      <c r="EP341" s="125"/>
      <c r="EQ341" s="167"/>
      <c r="ER341" s="167"/>
      <c r="ES341" s="167"/>
      <c r="ET341" s="167"/>
      <c r="EU341" s="167"/>
      <c r="EV341" s="167"/>
      <c r="EW341" s="167"/>
      <c r="EX341" s="167"/>
      <c r="EY341" s="125"/>
      <c r="EZ341" s="125"/>
      <c r="FA341" s="125"/>
      <c r="FB341" s="125"/>
      <c r="FC341" s="125"/>
      <c r="FD341" s="125"/>
      <c r="FE341" s="125"/>
      <c r="FF341" s="125"/>
      <c r="FG341" s="125"/>
      <c r="FH341" s="125"/>
      <c r="FI341" s="125"/>
      <c r="FJ341" s="125"/>
      <c r="FK341" s="125"/>
      <c r="FL341" s="125"/>
      <c r="FM341" s="125"/>
      <c r="FN341" s="125"/>
      <c r="FO341" s="167"/>
      <c r="FP341" s="167"/>
      <c r="FQ341" s="167"/>
      <c r="FR341" s="167"/>
      <c r="FS341" s="167"/>
      <c r="FT341" s="167"/>
      <c r="FU341" s="167"/>
      <c r="FV341" s="167"/>
      <c r="FW341" s="125"/>
      <c r="FX341" s="125"/>
      <c r="FY341" s="125"/>
      <c r="FZ341" s="125"/>
      <c r="GA341" s="125"/>
      <c r="GB341" s="125"/>
      <c r="GC341" s="125"/>
      <c r="GD341" s="125"/>
      <c r="GE341" s="125"/>
      <c r="GF341" s="125"/>
      <c r="GG341" s="125"/>
      <c r="GH341" s="125"/>
      <c r="GI341" s="125"/>
      <c r="GJ341" s="125"/>
      <c r="GK341" s="125"/>
      <c r="GL341" s="125"/>
      <c r="GM341" s="167"/>
      <c r="GN341" s="167"/>
      <c r="GO341" s="167"/>
      <c r="GP341" s="167"/>
      <c r="GQ341" s="167"/>
      <c r="GR341" s="167"/>
      <c r="GS341" s="167"/>
      <c r="GT341" s="167"/>
      <c r="GU341" s="125"/>
      <c r="GV341" s="125"/>
      <c r="GW341" s="125"/>
      <c r="GX341" s="125"/>
      <c r="GY341" s="125"/>
      <c r="GZ341" s="125"/>
      <c r="HA341" s="125"/>
      <c r="HB341" s="125"/>
      <c r="HC341" s="125"/>
      <c r="HD341" s="125"/>
      <c r="HE341" s="125"/>
      <c r="HF341" s="125"/>
      <c r="HG341" s="125"/>
      <c r="HH341" s="125"/>
      <c r="HI341" s="125"/>
      <c r="HJ341" s="125"/>
      <c r="HK341" s="167"/>
      <c r="HL341" s="167"/>
      <c r="HM341" s="167"/>
      <c r="HN341" s="167"/>
      <c r="HO341" s="167"/>
      <c r="HP341" s="167"/>
      <c r="HQ341" s="167"/>
      <c r="HR341" s="167"/>
      <c r="HS341" s="125"/>
      <c r="HT341" s="125"/>
      <c r="HU341" s="125"/>
      <c r="HV341" s="125"/>
      <c r="HW341" s="125"/>
      <c r="HX341" s="125"/>
      <c r="HY341" s="125"/>
      <c r="HZ341" s="125"/>
      <c r="IA341" s="125"/>
      <c r="IB341" s="125"/>
      <c r="IC341" s="125"/>
      <c r="ID341" s="125"/>
      <c r="IE341" s="125"/>
      <c r="IF341" s="125"/>
      <c r="IG341" s="125"/>
      <c r="IH341" s="125"/>
      <c r="II341" s="167"/>
      <c r="IJ341" s="167"/>
      <c r="IK341" s="167"/>
      <c r="IL341" s="167"/>
      <c r="IM341" s="167"/>
      <c r="IN341" s="167"/>
      <c r="IO341" s="167"/>
      <c r="IP341" s="167"/>
      <c r="IQ341" s="125"/>
      <c r="IR341" s="125"/>
      <c r="IS341" s="125"/>
      <c r="IT341" s="125"/>
      <c r="IU341" s="125"/>
      <c r="IV341" s="125"/>
    </row>
    <row r="342" spans="1:256" s="3" customFormat="1">
      <c r="A342" s="16">
        <v>126</v>
      </c>
      <c r="B342" s="60">
        <v>43067</v>
      </c>
      <c r="C342" s="18"/>
      <c r="D342" s="19" t="s">
        <v>472</v>
      </c>
      <c r="E342" s="20" t="s">
        <v>477</v>
      </c>
      <c r="F342" s="120" t="s">
        <v>478</v>
      </c>
      <c r="G342" s="63">
        <v>1708</v>
      </c>
      <c r="H342" s="121">
        <v>2368800</v>
      </c>
      <c r="I342" s="24">
        <v>2256000</v>
      </c>
      <c r="J342" s="24"/>
      <c r="K342" s="24">
        <f t="shared" si="26"/>
        <v>2256000</v>
      </c>
      <c r="L342" s="123"/>
      <c r="M342" s="24">
        <f t="shared" si="27"/>
        <v>0</v>
      </c>
      <c r="N342" s="124">
        <f t="shared" si="28"/>
        <v>2256000</v>
      </c>
      <c r="O342" s="126"/>
      <c r="AA342" s="130"/>
      <c r="AB342" s="130"/>
      <c r="AC342" s="130"/>
      <c r="AD342" s="130"/>
      <c r="AE342" s="130"/>
      <c r="AF342" s="167"/>
      <c r="AG342" s="167"/>
      <c r="AH342" s="167"/>
      <c r="AI342" s="125"/>
      <c r="AJ342" s="125"/>
      <c r="AK342" s="125"/>
      <c r="AL342" s="125"/>
      <c r="AM342" s="125"/>
      <c r="AN342" s="125"/>
      <c r="AO342" s="125"/>
      <c r="AP342" s="125"/>
      <c r="AQ342" s="125"/>
      <c r="AR342" s="125"/>
      <c r="AS342" s="125"/>
      <c r="AT342" s="125"/>
      <c r="AU342" s="125"/>
      <c r="AV342" s="125"/>
      <c r="AW342" s="125"/>
      <c r="AX342" s="125"/>
      <c r="AY342" s="167"/>
      <c r="AZ342" s="167"/>
      <c r="BA342" s="167"/>
      <c r="BB342" s="167"/>
      <c r="BC342" s="167"/>
      <c r="BD342" s="167"/>
      <c r="BE342" s="167"/>
      <c r="BF342" s="167"/>
      <c r="BG342" s="125"/>
      <c r="BH342" s="125"/>
      <c r="BI342" s="125"/>
      <c r="BJ342" s="125"/>
      <c r="BK342" s="125"/>
      <c r="BL342" s="125"/>
      <c r="BM342" s="125"/>
      <c r="BN342" s="125"/>
      <c r="BO342" s="125"/>
      <c r="BP342" s="125"/>
      <c r="BQ342" s="125"/>
      <c r="BR342" s="125"/>
      <c r="BS342" s="125"/>
      <c r="BT342" s="125"/>
      <c r="BU342" s="125"/>
      <c r="BV342" s="125"/>
      <c r="BW342" s="167"/>
      <c r="BX342" s="167"/>
      <c r="BY342" s="167"/>
      <c r="BZ342" s="167"/>
      <c r="CA342" s="167"/>
      <c r="CB342" s="167"/>
      <c r="CC342" s="167"/>
      <c r="CD342" s="167"/>
      <c r="CE342" s="125"/>
      <c r="CF342" s="125"/>
      <c r="CG342" s="125"/>
      <c r="CH342" s="125"/>
      <c r="CI342" s="125"/>
      <c r="CJ342" s="125"/>
      <c r="CK342" s="125"/>
      <c r="CL342" s="125"/>
      <c r="CM342" s="125"/>
      <c r="CN342" s="125"/>
      <c r="CO342" s="125"/>
      <c r="CP342" s="125"/>
      <c r="CQ342" s="125"/>
      <c r="CR342" s="125"/>
      <c r="CS342" s="125"/>
      <c r="CT342" s="125"/>
      <c r="CU342" s="167"/>
      <c r="CV342" s="167"/>
      <c r="CW342" s="167"/>
      <c r="CX342" s="167"/>
      <c r="CY342" s="167"/>
      <c r="CZ342" s="167"/>
      <c r="DA342" s="167"/>
      <c r="DB342" s="167"/>
      <c r="DC342" s="125"/>
      <c r="DD342" s="125"/>
      <c r="DE342" s="125"/>
      <c r="DF342" s="125"/>
      <c r="DG342" s="125"/>
      <c r="DH342" s="125"/>
      <c r="DI342" s="125"/>
      <c r="DJ342" s="125"/>
      <c r="DK342" s="125"/>
      <c r="DL342" s="125"/>
      <c r="DM342" s="125"/>
      <c r="DN342" s="125"/>
      <c r="DO342" s="125"/>
      <c r="DP342" s="125"/>
      <c r="DQ342" s="125"/>
      <c r="DR342" s="125"/>
      <c r="DS342" s="167"/>
      <c r="DT342" s="167"/>
      <c r="DU342" s="167"/>
      <c r="DV342" s="167"/>
      <c r="DW342" s="167"/>
      <c r="DX342" s="167"/>
      <c r="DY342" s="167"/>
      <c r="DZ342" s="167"/>
      <c r="EA342" s="125"/>
      <c r="EB342" s="125"/>
      <c r="EC342" s="125"/>
      <c r="ED342" s="125"/>
      <c r="EE342" s="125"/>
      <c r="EF342" s="125"/>
      <c r="EG342" s="125"/>
      <c r="EH342" s="125"/>
      <c r="EI342" s="125"/>
      <c r="EJ342" s="125"/>
      <c r="EK342" s="125"/>
      <c r="EL342" s="125"/>
      <c r="EM342" s="125"/>
      <c r="EN342" s="125"/>
      <c r="EO342" s="125"/>
      <c r="EP342" s="125"/>
      <c r="EQ342" s="167"/>
      <c r="ER342" s="167"/>
      <c r="ES342" s="167"/>
      <c r="ET342" s="167"/>
      <c r="EU342" s="167"/>
      <c r="EV342" s="167"/>
      <c r="EW342" s="167"/>
      <c r="EX342" s="167"/>
      <c r="EY342" s="125"/>
      <c r="EZ342" s="125"/>
      <c r="FA342" s="125"/>
      <c r="FB342" s="125"/>
      <c r="FC342" s="125"/>
      <c r="FD342" s="125"/>
      <c r="FE342" s="125"/>
      <c r="FF342" s="125"/>
      <c r="FG342" s="125"/>
      <c r="FH342" s="125"/>
      <c r="FI342" s="125"/>
      <c r="FJ342" s="125"/>
      <c r="FK342" s="125"/>
      <c r="FL342" s="125"/>
      <c r="FM342" s="125"/>
      <c r="FN342" s="125"/>
      <c r="FO342" s="167"/>
      <c r="FP342" s="167"/>
      <c r="FQ342" s="167"/>
      <c r="FR342" s="167"/>
      <c r="FS342" s="167"/>
      <c r="FT342" s="167"/>
      <c r="FU342" s="167"/>
      <c r="FV342" s="167"/>
      <c r="FW342" s="125"/>
      <c r="FX342" s="125"/>
      <c r="FY342" s="125"/>
      <c r="FZ342" s="125"/>
      <c r="GA342" s="125"/>
      <c r="GB342" s="125"/>
      <c r="GC342" s="125"/>
      <c r="GD342" s="125"/>
      <c r="GE342" s="125"/>
      <c r="GF342" s="125"/>
      <c r="GG342" s="125"/>
      <c r="GH342" s="125"/>
      <c r="GI342" s="125"/>
      <c r="GJ342" s="125"/>
      <c r="GK342" s="125"/>
      <c r="GL342" s="125"/>
      <c r="GM342" s="167"/>
      <c r="GN342" s="167"/>
      <c r="GO342" s="167"/>
      <c r="GP342" s="167"/>
      <c r="GQ342" s="167"/>
      <c r="GR342" s="167"/>
      <c r="GS342" s="167"/>
      <c r="GT342" s="167"/>
      <c r="GU342" s="125"/>
      <c r="GV342" s="125"/>
      <c r="GW342" s="125"/>
      <c r="GX342" s="125"/>
      <c r="GY342" s="125"/>
      <c r="GZ342" s="125"/>
      <c r="HA342" s="125"/>
      <c r="HB342" s="125"/>
      <c r="HC342" s="125"/>
      <c r="HD342" s="125"/>
      <c r="HE342" s="125"/>
      <c r="HF342" s="125"/>
      <c r="HG342" s="125"/>
      <c r="HH342" s="125"/>
      <c r="HI342" s="125"/>
      <c r="HJ342" s="125"/>
      <c r="HK342" s="167"/>
      <c r="HL342" s="167"/>
      <c r="HM342" s="167"/>
      <c r="HN342" s="167"/>
      <c r="HO342" s="167"/>
      <c r="HP342" s="167"/>
      <c r="HQ342" s="167"/>
      <c r="HR342" s="167"/>
      <c r="HS342" s="125"/>
      <c r="HT342" s="125"/>
      <c r="HU342" s="125"/>
      <c r="HV342" s="125"/>
      <c r="HW342" s="125"/>
      <c r="HX342" s="125"/>
      <c r="HY342" s="125"/>
      <c r="HZ342" s="125"/>
      <c r="IA342" s="125"/>
      <c r="IB342" s="125"/>
      <c r="IC342" s="125"/>
      <c r="ID342" s="125"/>
      <c r="IE342" s="125"/>
      <c r="IF342" s="125"/>
      <c r="IG342" s="125"/>
      <c r="IH342" s="125"/>
      <c r="II342" s="167"/>
      <c r="IJ342" s="167"/>
      <c r="IK342" s="167"/>
      <c r="IL342" s="167"/>
      <c r="IM342" s="167"/>
      <c r="IN342" s="167"/>
      <c r="IO342" s="167"/>
      <c r="IP342" s="167"/>
      <c r="IQ342" s="125"/>
      <c r="IR342" s="125"/>
      <c r="IS342" s="125"/>
      <c r="IT342" s="125"/>
      <c r="IU342" s="125"/>
      <c r="IV342" s="125"/>
    </row>
    <row r="343" spans="1:256" s="3" customFormat="1">
      <c r="A343" s="16">
        <v>127</v>
      </c>
      <c r="B343" s="83">
        <v>43084</v>
      </c>
      <c r="C343" s="18"/>
      <c r="D343" s="19" t="s">
        <v>479</v>
      </c>
      <c r="E343" s="20" t="s">
        <v>480</v>
      </c>
      <c r="F343" s="168" t="s">
        <v>481</v>
      </c>
      <c r="G343" s="63">
        <v>1708</v>
      </c>
      <c r="H343" s="121">
        <v>2630000</v>
      </c>
      <c r="I343" s="24"/>
      <c r="J343" s="24">
        <f>SUM(H343)/1.05</f>
        <v>2504761.9047619049</v>
      </c>
      <c r="K343" s="24">
        <f t="shared" si="26"/>
        <v>2504761.9047619049</v>
      </c>
      <c r="L343" s="123"/>
      <c r="M343" s="24">
        <f t="shared" si="27"/>
        <v>0</v>
      </c>
      <c r="N343" s="124">
        <f t="shared" si="28"/>
        <v>2504761.9047619049</v>
      </c>
      <c r="O343" s="85"/>
      <c r="AA343" s="130"/>
      <c r="AB343" s="130"/>
      <c r="AC343" s="130"/>
      <c r="AD343" s="130"/>
      <c r="AE343" s="130"/>
      <c r="AF343" s="167"/>
      <c r="AG343" s="167"/>
      <c r="AH343" s="167"/>
      <c r="AI343" s="125"/>
      <c r="AJ343" s="125"/>
      <c r="AK343" s="125"/>
      <c r="AL343" s="125"/>
      <c r="AM343" s="125"/>
      <c r="AN343" s="125"/>
      <c r="AO343" s="125"/>
      <c r="AP343" s="125"/>
      <c r="AQ343" s="125"/>
      <c r="AR343" s="125"/>
      <c r="AS343" s="125"/>
      <c r="AT343" s="125"/>
      <c r="AU343" s="125"/>
      <c r="AV343" s="125"/>
      <c r="AW343" s="125"/>
      <c r="AX343" s="125"/>
      <c r="AY343" s="167"/>
      <c r="AZ343" s="167"/>
      <c r="BA343" s="167"/>
      <c r="BB343" s="167"/>
      <c r="BC343" s="167"/>
      <c r="BD343" s="167"/>
      <c r="BE343" s="167"/>
      <c r="BF343" s="167"/>
      <c r="BG343" s="125"/>
      <c r="BH343" s="125"/>
      <c r="BI343" s="125"/>
      <c r="BJ343" s="125"/>
      <c r="BK343" s="125"/>
      <c r="BL343" s="125"/>
      <c r="BM343" s="125"/>
      <c r="BN343" s="125"/>
      <c r="BO343" s="125"/>
      <c r="BP343" s="125"/>
      <c r="BQ343" s="125"/>
      <c r="BR343" s="125"/>
      <c r="BS343" s="125"/>
      <c r="BT343" s="125"/>
      <c r="BU343" s="125"/>
      <c r="BV343" s="125"/>
      <c r="BW343" s="167"/>
      <c r="BX343" s="167"/>
      <c r="BY343" s="167"/>
      <c r="BZ343" s="167"/>
      <c r="CA343" s="167"/>
      <c r="CB343" s="167"/>
      <c r="CC343" s="167"/>
      <c r="CD343" s="167"/>
      <c r="CE343" s="125"/>
      <c r="CF343" s="125"/>
      <c r="CG343" s="125"/>
      <c r="CH343" s="125"/>
      <c r="CI343" s="125"/>
      <c r="CJ343" s="125"/>
      <c r="CK343" s="125"/>
      <c r="CL343" s="125"/>
      <c r="CM343" s="125"/>
      <c r="CN343" s="125"/>
      <c r="CO343" s="125"/>
      <c r="CP343" s="125"/>
      <c r="CQ343" s="125"/>
      <c r="CR343" s="125"/>
      <c r="CS343" s="125"/>
      <c r="CT343" s="125"/>
      <c r="CU343" s="167"/>
      <c r="CV343" s="167"/>
      <c r="CW343" s="167"/>
      <c r="CX343" s="167"/>
      <c r="CY343" s="167"/>
      <c r="CZ343" s="167"/>
      <c r="DA343" s="167"/>
      <c r="DB343" s="167"/>
      <c r="DC343" s="125"/>
      <c r="DD343" s="125"/>
      <c r="DE343" s="125"/>
      <c r="DF343" s="125"/>
      <c r="DG343" s="125"/>
      <c r="DH343" s="125"/>
      <c r="DI343" s="125"/>
      <c r="DJ343" s="125"/>
      <c r="DK343" s="125"/>
      <c r="DL343" s="125"/>
      <c r="DM343" s="125"/>
      <c r="DN343" s="125"/>
      <c r="DO343" s="125"/>
      <c r="DP343" s="125"/>
      <c r="DQ343" s="125"/>
      <c r="DR343" s="125"/>
      <c r="DS343" s="167"/>
      <c r="DT343" s="167"/>
      <c r="DU343" s="167"/>
      <c r="DV343" s="167"/>
      <c r="DW343" s="167"/>
      <c r="DX343" s="167"/>
      <c r="DY343" s="167"/>
      <c r="DZ343" s="167"/>
      <c r="EA343" s="125"/>
      <c r="EB343" s="125"/>
      <c r="EC343" s="125"/>
      <c r="ED343" s="125"/>
      <c r="EE343" s="125"/>
      <c r="EF343" s="125"/>
      <c r="EG343" s="125"/>
      <c r="EH343" s="125"/>
      <c r="EI343" s="125"/>
      <c r="EJ343" s="125"/>
      <c r="EK343" s="125"/>
      <c r="EL343" s="125"/>
      <c r="EM343" s="125"/>
      <c r="EN343" s="125"/>
      <c r="EO343" s="125"/>
      <c r="EP343" s="125"/>
      <c r="EQ343" s="167"/>
      <c r="ER343" s="167"/>
      <c r="ES343" s="167"/>
      <c r="ET343" s="167"/>
      <c r="EU343" s="167"/>
      <c r="EV343" s="167"/>
      <c r="EW343" s="167"/>
      <c r="EX343" s="167"/>
      <c r="EY343" s="125"/>
      <c r="EZ343" s="125"/>
      <c r="FA343" s="125"/>
      <c r="FB343" s="125"/>
      <c r="FC343" s="125"/>
      <c r="FD343" s="125"/>
      <c r="FE343" s="125"/>
      <c r="FF343" s="125"/>
      <c r="FG343" s="125"/>
      <c r="FH343" s="125"/>
      <c r="FI343" s="125"/>
      <c r="FJ343" s="125"/>
      <c r="FK343" s="125"/>
      <c r="FL343" s="125"/>
      <c r="FM343" s="125"/>
      <c r="FN343" s="125"/>
      <c r="FO343" s="167"/>
      <c r="FP343" s="167"/>
      <c r="FQ343" s="167"/>
      <c r="FR343" s="167"/>
      <c r="FS343" s="167"/>
      <c r="FT343" s="167"/>
      <c r="FU343" s="167"/>
      <c r="FV343" s="167"/>
      <c r="FW343" s="125"/>
      <c r="FX343" s="125"/>
      <c r="FY343" s="125"/>
      <c r="FZ343" s="125"/>
      <c r="GA343" s="125"/>
      <c r="GB343" s="125"/>
      <c r="GC343" s="125"/>
      <c r="GD343" s="125"/>
      <c r="GE343" s="125"/>
      <c r="GF343" s="125"/>
      <c r="GG343" s="125"/>
      <c r="GH343" s="125"/>
      <c r="GI343" s="125"/>
      <c r="GJ343" s="125"/>
      <c r="GK343" s="125"/>
      <c r="GL343" s="125"/>
      <c r="GM343" s="167"/>
      <c r="GN343" s="167"/>
      <c r="GO343" s="167"/>
      <c r="GP343" s="167"/>
      <c r="GQ343" s="167"/>
      <c r="GR343" s="167"/>
      <c r="GS343" s="167"/>
      <c r="GT343" s="167"/>
      <c r="GU343" s="125"/>
      <c r="GV343" s="125"/>
      <c r="GW343" s="125"/>
      <c r="GX343" s="125"/>
      <c r="GY343" s="125"/>
      <c r="GZ343" s="125"/>
      <c r="HA343" s="125"/>
      <c r="HB343" s="125"/>
      <c r="HC343" s="125"/>
      <c r="HD343" s="125"/>
      <c r="HE343" s="125"/>
      <c r="HF343" s="125"/>
      <c r="HG343" s="125"/>
      <c r="HH343" s="125"/>
      <c r="HI343" s="125"/>
      <c r="HJ343" s="125"/>
      <c r="HK343" s="167"/>
      <c r="HL343" s="167"/>
      <c r="HM343" s="167"/>
      <c r="HN343" s="167"/>
      <c r="HO343" s="167"/>
      <c r="HP343" s="167"/>
      <c r="HQ343" s="167"/>
      <c r="HR343" s="167"/>
      <c r="HS343" s="125"/>
      <c r="HT343" s="125"/>
      <c r="HU343" s="125"/>
      <c r="HV343" s="125"/>
      <c r="HW343" s="125"/>
      <c r="HX343" s="125"/>
      <c r="HY343" s="125"/>
      <c r="HZ343" s="125"/>
      <c r="IA343" s="125"/>
      <c r="IB343" s="125"/>
      <c r="IC343" s="125"/>
      <c r="ID343" s="125"/>
      <c r="IE343" s="125"/>
      <c r="IF343" s="125"/>
      <c r="IG343" s="125"/>
      <c r="IH343" s="125"/>
      <c r="II343" s="167"/>
      <c r="IJ343" s="167"/>
      <c r="IK343" s="167"/>
      <c r="IL343" s="167"/>
      <c r="IM343" s="167"/>
      <c r="IN343" s="167"/>
      <c r="IO343" s="167"/>
      <c r="IP343" s="167"/>
      <c r="IQ343" s="125"/>
      <c r="IR343" s="125"/>
      <c r="IS343" s="125"/>
      <c r="IT343" s="125"/>
      <c r="IU343" s="125"/>
      <c r="IV343" s="125"/>
    </row>
    <row r="344" spans="1:256" s="3" customFormat="1">
      <c r="A344" s="16">
        <v>128</v>
      </c>
      <c r="B344" s="56">
        <v>43098</v>
      </c>
      <c r="C344" s="18"/>
      <c r="D344" s="19" t="s">
        <v>479</v>
      </c>
      <c r="E344" s="20" t="s">
        <v>480</v>
      </c>
      <c r="F344" s="62" t="s">
        <v>482</v>
      </c>
      <c r="G344" s="63">
        <v>1709</v>
      </c>
      <c r="H344" s="121">
        <v>2630000</v>
      </c>
      <c r="I344" s="24"/>
      <c r="J344" s="24">
        <f>SUM(H344)/1.05</f>
        <v>2504761.9047619049</v>
      </c>
      <c r="K344" s="24">
        <f t="shared" si="26"/>
        <v>2504761.9047619049</v>
      </c>
      <c r="L344" s="123"/>
      <c r="M344" s="24">
        <f t="shared" si="27"/>
        <v>0</v>
      </c>
      <c r="N344" s="124">
        <f t="shared" si="28"/>
        <v>2504761.9047619049</v>
      </c>
      <c r="O344" s="87"/>
      <c r="AA344" s="130"/>
      <c r="AB344" s="130"/>
      <c r="AC344" s="130"/>
      <c r="AD344" s="130"/>
      <c r="AE344" s="130"/>
      <c r="AF344" s="167"/>
      <c r="AG344" s="167"/>
      <c r="AH344" s="167"/>
      <c r="AI344" s="125"/>
      <c r="AJ344" s="125"/>
      <c r="AK344" s="125"/>
      <c r="AL344" s="125"/>
      <c r="AM344" s="125"/>
      <c r="AN344" s="125"/>
      <c r="AO344" s="125"/>
      <c r="AP344" s="125"/>
      <c r="AQ344" s="125"/>
      <c r="AR344" s="125"/>
      <c r="AS344" s="125"/>
      <c r="AT344" s="125"/>
      <c r="AU344" s="125"/>
      <c r="AV344" s="125"/>
      <c r="AW344" s="125"/>
      <c r="AX344" s="125"/>
      <c r="AY344" s="167"/>
      <c r="AZ344" s="167"/>
      <c r="BA344" s="167"/>
      <c r="BB344" s="167"/>
      <c r="BC344" s="167"/>
      <c r="BD344" s="167"/>
      <c r="BE344" s="167"/>
      <c r="BF344" s="167"/>
      <c r="BG344" s="125"/>
      <c r="BH344" s="125"/>
      <c r="BI344" s="125"/>
      <c r="BJ344" s="125"/>
      <c r="BK344" s="125"/>
      <c r="BL344" s="125"/>
      <c r="BM344" s="125"/>
      <c r="BN344" s="125"/>
      <c r="BO344" s="125"/>
      <c r="BP344" s="125"/>
      <c r="BQ344" s="125"/>
      <c r="BR344" s="125"/>
      <c r="BS344" s="125"/>
      <c r="BT344" s="125"/>
      <c r="BU344" s="125"/>
      <c r="BV344" s="125"/>
      <c r="BW344" s="167"/>
      <c r="BX344" s="167"/>
      <c r="BY344" s="167"/>
      <c r="BZ344" s="167"/>
      <c r="CA344" s="167"/>
      <c r="CB344" s="167"/>
      <c r="CC344" s="167"/>
      <c r="CD344" s="167"/>
      <c r="CE344" s="125"/>
      <c r="CF344" s="125"/>
      <c r="CG344" s="125"/>
      <c r="CH344" s="125"/>
      <c r="CI344" s="125"/>
      <c r="CJ344" s="125"/>
      <c r="CK344" s="125"/>
      <c r="CL344" s="125"/>
      <c r="CM344" s="125"/>
      <c r="CN344" s="125"/>
      <c r="CO344" s="125"/>
      <c r="CP344" s="125"/>
      <c r="CQ344" s="125"/>
      <c r="CR344" s="125"/>
      <c r="CS344" s="125"/>
      <c r="CT344" s="125"/>
      <c r="CU344" s="167"/>
      <c r="CV344" s="167"/>
      <c r="CW344" s="167"/>
      <c r="CX344" s="167"/>
      <c r="CY344" s="167"/>
      <c r="CZ344" s="167"/>
      <c r="DA344" s="167"/>
      <c r="DB344" s="167"/>
      <c r="DC344" s="125"/>
      <c r="DD344" s="125"/>
      <c r="DE344" s="125"/>
      <c r="DF344" s="125"/>
      <c r="DG344" s="125"/>
      <c r="DH344" s="125"/>
      <c r="DI344" s="125"/>
      <c r="DJ344" s="125"/>
      <c r="DK344" s="125"/>
      <c r="DL344" s="125"/>
      <c r="DM344" s="125"/>
      <c r="DN344" s="125"/>
      <c r="DO344" s="125"/>
      <c r="DP344" s="125"/>
      <c r="DQ344" s="125"/>
      <c r="DR344" s="125"/>
      <c r="DS344" s="167"/>
      <c r="DT344" s="167"/>
      <c r="DU344" s="167"/>
      <c r="DV344" s="167"/>
      <c r="DW344" s="167"/>
      <c r="DX344" s="167"/>
      <c r="DY344" s="167"/>
      <c r="DZ344" s="167"/>
      <c r="EA344" s="125"/>
      <c r="EB344" s="125"/>
      <c r="EC344" s="125"/>
      <c r="ED344" s="125"/>
      <c r="EE344" s="125"/>
      <c r="EF344" s="125"/>
      <c r="EG344" s="125"/>
      <c r="EH344" s="125"/>
      <c r="EI344" s="125"/>
      <c r="EJ344" s="125"/>
      <c r="EK344" s="125"/>
      <c r="EL344" s="125"/>
      <c r="EM344" s="125"/>
      <c r="EN344" s="125"/>
      <c r="EO344" s="125"/>
      <c r="EP344" s="125"/>
      <c r="EQ344" s="167"/>
      <c r="ER344" s="167"/>
      <c r="ES344" s="167"/>
      <c r="ET344" s="167"/>
      <c r="EU344" s="167"/>
      <c r="EV344" s="167"/>
      <c r="EW344" s="167"/>
      <c r="EX344" s="167"/>
      <c r="EY344" s="125"/>
      <c r="EZ344" s="125"/>
      <c r="FA344" s="125"/>
      <c r="FB344" s="125"/>
      <c r="FC344" s="125"/>
      <c r="FD344" s="125"/>
      <c r="FE344" s="125"/>
      <c r="FF344" s="125"/>
      <c r="FG344" s="125"/>
      <c r="FH344" s="125"/>
      <c r="FI344" s="125"/>
      <c r="FJ344" s="125"/>
      <c r="FK344" s="125"/>
      <c r="FL344" s="125"/>
      <c r="FM344" s="125"/>
      <c r="FN344" s="125"/>
      <c r="FO344" s="167"/>
      <c r="FP344" s="167"/>
      <c r="FQ344" s="167"/>
      <c r="FR344" s="167"/>
      <c r="FS344" s="167"/>
      <c r="FT344" s="167"/>
      <c r="FU344" s="167"/>
      <c r="FV344" s="167"/>
      <c r="FW344" s="125"/>
      <c r="FX344" s="125"/>
      <c r="FY344" s="125"/>
      <c r="FZ344" s="125"/>
      <c r="GA344" s="125"/>
      <c r="GB344" s="125"/>
      <c r="GC344" s="125"/>
      <c r="GD344" s="125"/>
      <c r="GE344" s="125"/>
      <c r="GF344" s="125"/>
      <c r="GG344" s="125"/>
      <c r="GH344" s="125"/>
      <c r="GI344" s="125"/>
      <c r="GJ344" s="125"/>
      <c r="GK344" s="125"/>
      <c r="GL344" s="125"/>
      <c r="GM344" s="167"/>
      <c r="GN344" s="167"/>
      <c r="GO344" s="167"/>
      <c r="GP344" s="167"/>
      <c r="GQ344" s="167"/>
      <c r="GR344" s="167"/>
      <c r="GS344" s="167"/>
      <c r="GT344" s="167"/>
      <c r="GU344" s="125"/>
      <c r="GV344" s="125"/>
      <c r="GW344" s="125"/>
      <c r="GX344" s="125"/>
      <c r="GY344" s="125"/>
      <c r="GZ344" s="125"/>
      <c r="HA344" s="125"/>
      <c r="HB344" s="125"/>
      <c r="HC344" s="125"/>
      <c r="HD344" s="125"/>
      <c r="HE344" s="125"/>
      <c r="HF344" s="125"/>
      <c r="HG344" s="125"/>
      <c r="HH344" s="125"/>
      <c r="HI344" s="125"/>
      <c r="HJ344" s="125"/>
      <c r="HK344" s="167"/>
      <c r="HL344" s="167"/>
      <c r="HM344" s="167"/>
      <c r="HN344" s="167"/>
      <c r="HO344" s="167"/>
      <c r="HP344" s="167"/>
      <c r="HQ344" s="167"/>
      <c r="HR344" s="167"/>
      <c r="HS344" s="125"/>
      <c r="HT344" s="125"/>
      <c r="HU344" s="125"/>
      <c r="HV344" s="125"/>
      <c r="HW344" s="125"/>
      <c r="HX344" s="125"/>
      <c r="HY344" s="125"/>
      <c r="HZ344" s="125"/>
      <c r="IA344" s="125"/>
      <c r="IB344" s="125"/>
      <c r="IC344" s="125"/>
      <c r="ID344" s="125"/>
      <c r="IE344" s="125"/>
      <c r="IF344" s="125"/>
      <c r="IG344" s="125"/>
      <c r="IH344" s="125"/>
      <c r="II344" s="167"/>
      <c r="IJ344" s="167"/>
      <c r="IK344" s="167"/>
      <c r="IL344" s="167"/>
      <c r="IM344" s="167"/>
      <c r="IN344" s="167"/>
      <c r="IO344" s="167"/>
      <c r="IP344" s="167"/>
      <c r="IQ344" s="125"/>
      <c r="IR344" s="125"/>
      <c r="IS344" s="125"/>
      <c r="IT344" s="125"/>
      <c r="IU344" s="125"/>
      <c r="IV344" s="125"/>
    </row>
    <row r="345" spans="1:256" s="3" customFormat="1" ht="15" customHeight="1">
      <c r="A345" s="16">
        <v>129</v>
      </c>
      <c r="B345" s="60">
        <v>42986</v>
      </c>
      <c r="C345" s="18"/>
      <c r="D345" s="19" t="s">
        <v>479</v>
      </c>
      <c r="E345" s="20" t="s">
        <v>483</v>
      </c>
      <c r="F345" s="120" t="s">
        <v>484</v>
      </c>
      <c r="G345" s="63">
        <v>1704</v>
      </c>
      <c r="H345" s="121">
        <v>3251000</v>
      </c>
      <c r="I345" s="24">
        <v>3096190</v>
      </c>
      <c r="J345" s="24"/>
      <c r="K345" s="199">
        <f t="shared" ref="K345:K408" si="31">I345+J345</f>
        <v>3096190</v>
      </c>
      <c r="L345" s="123"/>
      <c r="M345" s="24">
        <f t="shared" ref="M345:M408" si="32">K345*L345</f>
        <v>0</v>
      </c>
      <c r="N345" s="124">
        <f t="shared" ref="N345:N408" si="33">K345-M345</f>
        <v>3096190</v>
      </c>
      <c r="O345" s="108"/>
      <c r="Y345" s="131"/>
      <c r="Z345" s="15"/>
      <c r="AA345" s="132"/>
      <c r="AB345" s="133"/>
      <c r="AC345" s="134"/>
      <c r="AD345" s="134"/>
      <c r="AE345" s="135"/>
      <c r="AF345" s="136"/>
      <c r="AG345" s="137"/>
      <c r="AH345" s="137"/>
      <c r="AJ345" s="138"/>
      <c r="AK345" s="2"/>
      <c r="AL345" s="139"/>
      <c r="AW345" s="131"/>
      <c r="AX345" s="15"/>
      <c r="AY345" s="132"/>
      <c r="AZ345" s="133"/>
      <c r="BA345" s="134"/>
      <c r="BB345" s="134"/>
      <c r="BC345" s="135"/>
      <c r="BD345" s="136"/>
      <c r="BE345" s="137"/>
      <c r="BF345" s="137"/>
      <c r="BH345" s="138"/>
      <c r="BI345" s="2"/>
      <c r="BJ345" s="139"/>
      <c r="BU345" s="131"/>
      <c r="BV345" s="15"/>
      <c r="BW345" s="132"/>
      <c r="BX345" s="133"/>
      <c r="BY345" s="134"/>
      <c r="BZ345" s="134"/>
      <c r="CA345" s="135"/>
      <c r="CB345" s="136"/>
      <c r="CC345" s="137"/>
      <c r="CD345" s="137"/>
      <c r="CF345" s="138"/>
      <c r="CG345" s="2"/>
      <c r="CH345" s="139"/>
      <c r="CS345" s="131"/>
      <c r="CT345" s="15"/>
      <c r="CU345" s="132"/>
      <c r="CV345" s="133"/>
      <c r="CW345" s="134"/>
      <c r="CX345" s="134"/>
      <c r="CY345" s="135"/>
      <c r="CZ345" s="136"/>
      <c r="DA345" s="137"/>
      <c r="DB345" s="137"/>
      <c r="DD345" s="138"/>
      <c r="DE345" s="2"/>
      <c r="DF345" s="139"/>
      <c r="DQ345" s="131"/>
      <c r="DR345" s="15"/>
      <c r="DS345" s="132"/>
      <c r="DT345" s="133"/>
      <c r="DU345" s="134"/>
      <c r="DV345" s="134"/>
      <c r="DW345" s="135"/>
      <c r="DX345" s="136"/>
      <c r="DY345" s="137"/>
      <c r="DZ345" s="137"/>
      <c r="EB345" s="138"/>
      <c r="EC345" s="2"/>
      <c r="ED345" s="139"/>
      <c r="EO345" s="131"/>
      <c r="EP345" s="15"/>
      <c r="EQ345" s="132"/>
      <c r="ER345" s="133"/>
      <c r="ES345" s="134"/>
      <c r="ET345" s="134"/>
      <c r="EU345" s="135"/>
      <c r="EV345" s="136"/>
      <c r="EW345" s="137"/>
      <c r="EX345" s="137"/>
      <c r="EZ345" s="138"/>
      <c r="FA345" s="2"/>
      <c r="FB345" s="139"/>
      <c r="FM345" s="131"/>
      <c r="FN345" s="15"/>
      <c r="FO345" s="132"/>
      <c r="FP345" s="133"/>
      <c r="FQ345" s="134"/>
      <c r="FR345" s="134"/>
      <c r="FS345" s="135"/>
      <c r="FT345" s="136"/>
      <c r="FU345" s="137"/>
      <c r="FV345" s="137"/>
      <c r="FX345" s="138"/>
      <c r="FY345" s="2"/>
      <c r="FZ345" s="139"/>
      <c r="GK345" s="131"/>
      <c r="GL345" s="15"/>
      <c r="GM345" s="132"/>
      <c r="GN345" s="133"/>
      <c r="GO345" s="134"/>
      <c r="GP345" s="134"/>
      <c r="GQ345" s="135"/>
      <c r="GR345" s="136"/>
      <c r="GS345" s="137"/>
      <c r="GT345" s="137"/>
      <c r="GV345" s="138"/>
      <c r="GW345" s="2"/>
      <c r="GX345" s="139"/>
      <c r="HI345" s="131"/>
      <c r="HJ345" s="15"/>
      <c r="HK345" s="132"/>
      <c r="HL345" s="133"/>
      <c r="HM345" s="134"/>
      <c r="HN345" s="134"/>
      <c r="HO345" s="135"/>
      <c r="HP345" s="136"/>
      <c r="HQ345" s="137"/>
      <c r="HR345" s="137"/>
      <c r="HT345" s="138"/>
      <c r="HU345" s="2"/>
      <c r="HV345" s="139"/>
      <c r="IG345" s="131"/>
      <c r="IH345" s="15"/>
      <c r="II345" s="132"/>
      <c r="IJ345" s="133"/>
      <c r="IK345" s="134"/>
      <c r="IL345" s="134"/>
      <c r="IM345" s="135"/>
      <c r="IN345" s="136"/>
      <c r="IO345" s="137"/>
      <c r="IP345" s="137"/>
      <c r="IR345" s="138"/>
      <c r="IS345" s="2"/>
      <c r="IT345" s="139"/>
    </row>
    <row r="346" spans="1:256" s="3" customFormat="1">
      <c r="A346" s="16">
        <v>130</v>
      </c>
      <c r="B346" s="60">
        <v>43096</v>
      </c>
      <c r="C346" s="18"/>
      <c r="D346" s="19" t="s">
        <v>479</v>
      </c>
      <c r="E346" s="20" t="s">
        <v>483</v>
      </c>
      <c r="F346" s="168" t="s">
        <v>485</v>
      </c>
      <c r="G346" s="63">
        <v>1708</v>
      </c>
      <c r="H346" s="121">
        <v>3040000</v>
      </c>
      <c r="I346" s="24"/>
      <c r="J346" s="24">
        <f>SUM(H346)/1.05</f>
        <v>2895238.0952380951</v>
      </c>
      <c r="K346" s="24">
        <f t="shared" si="31"/>
        <v>2895238.0952380951</v>
      </c>
      <c r="L346" s="123"/>
      <c r="M346" s="24">
        <f t="shared" si="32"/>
        <v>0</v>
      </c>
      <c r="N346" s="124">
        <f t="shared" si="33"/>
        <v>2895238.0952380951</v>
      </c>
      <c r="O346" s="108"/>
      <c r="AA346" s="130"/>
      <c r="AB346" s="130"/>
      <c r="AC346" s="130"/>
      <c r="AD346" s="130"/>
      <c r="AE346" s="130"/>
      <c r="AF346" s="167"/>
      <c r="AG346" s="167"/>
      <c r="AH346" s="167"/>
      <c r="AI346" s="125"/>
      <c r="AJ346" s="125"/>
      <c r="AK346" s="125"/>
      <c r="AL346" s="125"/>
      <c r="AM346" s="125"/>
      <c r="AN346" s="125"/>
      <c r="AO346" s="125"/>
      <c r="AP346" s="125"/>
      <c r="AQ346" s="125"/>
      <c r="AR346" s="125"/>
      <c r="AS346" s="125"/>
      <c r="AT346" s="125"/>
      <c r="AU346" s="125"/>
      <c r="AV346" s="125"/>
      <c r="AW346" s="125"/>
      <c r="AX346" s="125"/>
      <c r="AY346" s="167"/>
      <c r="AZ346" s="167"/>
      <c r="BA346" s="167"/>
      <c r="BB346" s="167"/>
      <c r="BC346" s="167"/>
      <c r="BD346" s="167"/>
      <c r="BE346" s="167"/>
      <c r="BF346" s="167"/>
      <c r="BG346" s="125"/>
      <c r="BH346" s="125"/>
      <c r="BI346" s="125"/>
      <c r="BJ346" s="125"/>
      <c r="BK346" s="125"/>
      <c r="BL346" s="125"/>
      <c r="BM346" s="125"/>
      <c r="BN346" s="125"/>
      <c r="BO346" s="125"/>
      <c r="BP346" s="125"/>
      <c r="BQ346" s="125"/>
      <c r="BR346" s="125"/>
      <c r="BS346" s="125"/>
      <c r="BT346" s="125"/>
      <c r="BU346" s="125"/>
      <c r="BV346" s="125"/>
      <c r="BW346" s="167"/>
      <c r="BX346" s="167"/>
      <c r="BY346" s="167"/>
      <c r="BZ346" s="167"/>
      <c r="CA346" s="167"/>
      <c r="CB346" s="167"/>
      <c r="CC346" s="167"/>
      <c r="CD346" s="167"/>
      <c r="CE346" s="125"/>
      <c r="CF346" s="125"/>
      <c r="CG346" s="125"/>
      <c r="CH346" s="125"/>
      <c r="CI346" s="125"/>
      <c r="CJ346" s="125"/>
      <c r="CK346" s="125"/>
      <c r="CL346" s="125"/>
      <c r="CM346" s="125"/>
      <c r="CN346" s="125"/>
      <c r="CO346" s="125"/>
      <c r="CP346" s="125"/>
      <c r="CQ346" s="125"/>
      <c r="CR346" s="125"/>
      <c r="CS346" s="125"/>
      <c r="CT346" s="125"/>
      <c r="CU346" s="167"/>
      <c r="CV346" s="167"/>
      <c r="CW346" s="167"/>
      <c r="CX346" s="167"/>
      <c r="CY346" s="167"/>
      <c r="CZ346" s="167"/>
      <c r="DA346" s="167"/>
      <c r="DB346" s="167"/>
      <c r="DC346" s="125"/>
      <c r="DD346" s="125"/>
      <c r="DE346" s="125"/>
      <c r="DF346" s="125"/>
      <c r="DG346" s="125"/>
      <c r="DH346" s="125"/>
      <c r="DI346" s="125"/>
      <c r="DJ346" s="125"/>
      <c r="DK346" s="125"/>
      <c r="DL346" s="125"/>
      <c r="DM346" s="125"/>
      <c r="DN346" s="125"/>
      <c r="DO346" s="125"/>
      <c r="DP346" s="125"/>
      <c r="DQ346" s="125"/>
      <c r="DR346" s="125"/>
      <c r="DS346" s="167"/>
      <c r="DT346" s="167"/>
      <c r="DU346" s="167"/>
      <c r="DV346" s="167"/>
      <c r="DW346" s="167"/>
      <c r="DX346" s="167"/>
      <c r="DY346" s="167"/>
      <c r="DZ346" s="167"/>
      <c r="EA346" s="125"/>
      <c r="EB346" s="125"/>
      <c r="EC346" s="125"/>
      <c r="ED346" s="125"/>
      <c r="EE346" s="125"/>
      <c r="EF346" s="125"/>
      <c r="EG346" s="125"/>
      <c r="EH346" s="125"/>
      <c r="EI346" s="125"/>
      <c r="EJ346" s="125"/>
      <c r="EK346" s="125"/>
      <c r="EL346" s="125"/>
      <c r="EM346" s="125"/>
      <c r="EN346" s="125"/>
      <c r="EO346" s="125"/>
      <c r="EP346" s="125"/>
      <c r="EQ346" s="167"/>
      <c r="ER346" s="167"/>
      <c r="ES346" s="167"/>
      <c r="ET346" s="167"/>
      <c r="EU346" s="167"/>
      <c r="EV346" s="167"/>
      <c r="EW346" s="167"/>
      <c r="EX346" s="167"/>
      <c r="EY346" s="125"/>
      <c r="EZ346" s="125"/>
      <c r="FA346" s="125"/>
      <c r="FB346" s="125"/>
      <c r="FC346" s="125"/>
      <c r="FD346" s="125"/>
      <c r="FE346" s="125"/>
      <c r="FF346" s="125"/>
      <c r="FG346" s="125"/>
      <c r="FH346" s="125"/>
      <c r="FI346" s="125"/>
      <c r="FJ346" s="125"/>
      <c r="FK346" s="125"/>
      <c r="FL346" s="125"/>
      <c r="FM346" s="125"/>
      <c r="FN346" s="125"/>
      <c r="FO346" s="167"/>
      <c r="FP346" s="167"/>
      <c r="FQ346" s="167"/>
      <c r="FR346" s="167"/>
      <c r="FS346" s="167"/>
      <c r="FT346" s="167"/>
      <c r="FU346" s="167"/>
      <c r="FV346" s="167"/>
      <c r="FW346" s="125"/>
      <c r="FX346" s="125"/>
      <c r="FY346" s="125"/>
      <c r="FZ346" s="125"/>
      <c r="GA346" s="125"/>
      <c r="GB346" s="125"/>
      <c r="GC346" s="125"/>
      <c r="GD346" s="125"/>
      <c r="GE346" s="125"/>
      <c r="GF346" s="125"/>
      <c r="GG346" s="125"/>
      <c r="GH346" s="125"/>
      <c r="GI346" s="125"/>
      <c r="GJ346" s="125"/>
      <c r="GK346" s="125"/>
      <c r="GL346" s="125"/>
      <c r="GM346" s="167"/>
      <c r="GN346" s="167"/>
      <c r="GO346" s="167"/>
      <c r="GP346" s="167"/>
      <c r="GQ346" s="167"/>
      <c r="GR346" s="167"/>
      <c r="GS346" s="167"/>
      <c r="GT346" s="167"/>
      <c r="GU346" s="125"/>
      <c r="GV346" s="125"/>
      <c r="GW346" s="125"/>
      <c r="GX346" s="125"/>
      <c r="GY346" s="125"/>
      <c r="GZ346" s="125"/>
      <c r="HA346" s="125"/>
      <c r="HB346" s="125"/>
      <c r="HC346" s="125"/>
      <c r="HD346" s="125"/>
      <c r="HE346" s="125"/>
      <c r="HF346" s="125"/>
      <c r="HG346" s="125"/>
      <c r="HH346" s="125"/>
      <c r="HI346" s="125"/>
      <c r="HJ346" s="125"/>
      <c r="HK346" s="167"/>
      <c r="HL346" s="167"/>
      <c r="HM346" s="167"/>
      <c r="HN346" s="167"/>
      <c r="HO346" s="167"/>
      <c r="HP346" s="167"/>
      <c r="HQ346" s="167"/>
      <c r="HR346" s="167"/>
      <c r="HS346" s="125"/>
      <c r="HT346" s="125"/>
      <c r="HU346" s="125"/>
      <c r="HV346" s="125"/>
      <c r="HW346" s="125"/>
      <c r="HX346" s="125"/>
      <c r="HY346" s="125"/>
      <c r="HZ346" s="125"/>
      <c r="IA346" s="125"/>
      <c r="IB346" s="125"/>
      <c r="IC346" s="125"/>
      <c r="ID346" s="125"/>
      <c r="IE346" s="125"/>
      <c r="IF346" s="125"/>
      <c r="IG346" s="125"/>
      <c r="IH346" s="125"/>
      <c r="II346" s="167"/>
      <c r="IJ346" s="167"/>
      <c r="IK346" s="167"/>
      <c r="IL346" s="167"/>
      <c r="IM346" s="167"/>
      <c r="IN346" s="167"/>
      <c r="IO346" s="167"/>
      <c r="IP346" s="167"/>
      <c r="IQ346" s="125"/>
      <c r="IR346" s="125"/>
      <c r="IS346" s="125"/>
      <c r="IT346" s="125"/>
      <c r="IU346" s="125"/>
      <c r="IV346" s="125"/>
    </row>
    <row r="347" spans="1:256" s="3" customFormat="1">
      <c r="A347" s="16">
        <v>131</v>
      </c>
      <c r="B347" s="60">
        <v>42964</v>
      </c>
      <c r="C347" s="18"/>
      <c r="D347" s="19" t="s">
        <v>486</v>
      </c>
      <c r="E347" s="20" t="s">
        <v>487</v>
      </c>
      <c r="F347" s="57" t="s">
        <v>488</v>
      </c>
      <c r="G347" s="58">
        <v>1706</v>
      </c>
      <c r="H347" s="121"/>
      <c r="I347" s="24">
        <v>3148571</v>
      </c>
      <c r="J347" s="24"/>
      <c r="K347" s="24">
        <f t="shared" si="31"/>
        <v>3148571</v>
      </c>
      <c r="L347" s="123"/>
      <c r="M347" s="24">
        <f t="shared" si="32"/>
        <v>0</v>
      </c>
      <c r="N347" s="124">
        <f t="shared" si="33"/>
        <v>3148571</v>
      </c>
      <c r="O347" s="108"/>
      <c r="AA347" s="141"/>
      <c r="AB347" s="142"/>
      <c r="AC347" s="142"/>
      <c r="AD347" s="142"/>
      <c r="AE347" s="142"/>
      <c r="AF347" s="142"/>
      <c r="AG347" s="142"/>
      <c r="AH347" s="143"/>
      <c r="AY347" s="141"/>
      <c r="AZ347" s="142"/>
      <c r="BA347" s="142"/>
      <c r="BB347" s="142"/>
      <c r="BC347" s="142"/>
      <c r="BD347" s="142"/>
      <c r="BE347" s="142"/>
      <c r="BF347" s="143"/>
      <c r="BW347" s="141"/>
      <c r="BX347" s="142"/>
      <c r="BY347" s="142"/>
      <c r="BZ347" s="142"/>
      <c r="CA347" s="142"/>
      <c r="CB347" s="142"/>
      <c r="CC347" s="142"/>
      <c r="CD347" s="143"/>
      <c r="CU347" s="141"/>
      <c r="CV347" s="142"/>
      <c r="CW347" s="142"/>
      <c r="CX347" s="142"/>
      <c r="CY347" s="142"/>
      <c r="CZ347" s="142"/>
      <c r="DA347" s="142"/>
      <c r="DB347" s="143"/>
      <c r="DS347" s="141"/>
      <c r="DT347" s="142"/>
      <c r="DU347" s="142"/>
      <c r="DV347" s="142"/>
      <c r="DW347" s="142"/>
      <c r="DX347" s="142"/>
      <c r="DY347" s="142"/>
      <c r="DZ347" s="143"/>
      <c r="EQ347" s="141"/>
      <c r="ER347" s="142"/>
      <c r="ES347" s="142"/>
      <c r="ET347" s="142"/>
      <c r="EU347" s="142"/>
      <c r="EV347" s="142"/>
      <c r="EW347" s="142"/>
      <c r="EX347" s="143"/>
      <c r="FO347" s="141"/>
      <c r="FP347" s="142"/>
      <c r="FQ347" s="142"/>
      <c r="FR347" s="142"/>
      <c r="FS347" s="142"/>
      <c r="FT347" s="142"/>
      <c r="FU347" s="142"/>
      <c r="FV347" s="143"/>
      <c r="GM347" s="141"/>
      <c r="GN347" s="142"/>
      <c r="GO347" s="142"/>
      <c r="GP347" s="142"/>
      <c r="GQ347" s="142"/>
      <c r="GR347" s="142"/>
      <c r="GS347" s="142"/>
      <c r="GT347" s="143"/>
      <c r="HK347" s="141"/>
      <c r="HL347" s="142"/>
      <c r="HM347" s="142"/>
      <c r="HN347" s="142"/>
      <c r="HO347" s="142"/>
      <c r="HP347" s="142"/>
      <c r="HQ347" s="142"/>
      <c r="HR347" s="143"/>
      <c r="II347" s="141"/>
      <c r="IJ347" s="142"/>
      <c r="IK347" s="142"/>
      <c r="IL347" s="142"/>
      <c r="IM347" s="142"/>
      <c r="IN347" s="142"/>
      <c r="IO347" s="142"/>
      <c r="IP347" s="143"/>
    </row>
    <row r="348" spans="1:256" s="3" customFormat="1">
      <c r="A348" s="16">
        <v>132</v>
      </c>
      <c r="B348" s="60">
        <v>43082</v>
      </c>
      <c r="C348" s="18"/>
      <c r="D348" s="19" t="s">
        <v>479</v>
      </c>
      <c r="E348" s="20" t="s">
        <v>489</v>
      </c>
      <c r="F348" s="82" t="s">
        <v>490</v>
      </c>
      <c r="G348" s="58">
        <v>1705</v>
      </c>
      <c r="H348" s="121">
        <v>3130000</v>
      </c>
      <c r="I348" s="24"/>
      <c r="J348" s="24">
        <f t="shared" ref="J348:J353" si="34">SUM(H348)/1.05</f>
        <v>2980952.3809523806</v>
      </c>
      <c r="K348" s="24">
        <f t="shared" si="31"/>
        <v>2980952.3809523806</v>
      </c>
      <c r="L348" s="123"/>
      <c r="M348" s="24">
        <f t="shared" si="32"/>
        <v>0</v>
      </c>
      <c r="N348" s="124">
        <f t="shared" si="33"/>
        <v>2980952.3809523806</v>
      </c>
      <c r="O348" s="107"/>
      <c r="Q348" s="140"/>
      <c r="AA348" s="141"/>
      <c r="AB348" s="142"/>
      <c r="AC348" s="142"/>
      <c r="AD348" s="142"/>
      <c r="AE348" s="142"/>
      <c r="AF348" s="177"/>
      <c r="AG348" s="177"/>
      <c r="AH348" s="178"/>
      <c r="AI348" s="125"/>
      <c r="AJ348" s="125"/>
      <c r="AK348" s="125"/>
      <c r="AL348" s="125"/>
      <c r="AM348" s="125"/>
      <c r="AN348" s="125"/>
      <c r="AO348" s="125"/>
      <c r="AP348" s="125"/>
      <c r="AQ348" s="125"/>
      <c r="AR348" s="125"/>
      <c r="AS348" s="125"/>
      <c r="AT348" s="125"/>
      <c r="AU348" s="125"/>
      <c r="AV348" s="125"/>
      <c r="AW348" s="125"/>
      <c r="AX348" s="125"/>
      <c r="AY348" s="179"/>
      <c r="AZ348" s="177"/>
      <c r="BA348" s="177"/>
      <c r="BB348" s="177"/>
      <c r="BC348" s="177"/>
      <c r="BD348" s="177"/>
      <c r="BE348" s="177"/>
      <c r="BF348" s="178"/>
      <c r="BG348" s="125"/>
      <c r="BH348" s="125"/>
      <c r="BI348" s="125"/>
      <c r="BJ348" s="125"/>
      <c r="BK348" s="125"/>
      <c r="BL348" s="125"/>
      <c r="BM348" s="125"/>
      <c r="BN348" s="125"/>
      <c r="BO348" s="125"/>
      <c r="BP348" s="125"/>
      <c r="BQ348" s="125"/>
      <c r="BR348" s="125"/>
      <c r="BS348" s="125"/>
      <c r="BT348" s="125"/>
      <c r="BU348" s="125"/>
      <c r="BV348" s="125"/>
      <c r="BW348" s="179"/>
      <c r="BX348" s="177"/>
      <c r="BY348" s="177"/>
      <c r="BZ348" s="177"/>
      <c r="CA348" s="177"/>
      <c r="CB348" s="177"/>
      <c r="CC348" s="177"/>
      <c r="CD348" s="178"/>
      <c r="CE348" s="125"/>
      <c r="CF348" s="125"/>
      <c r="CG348" s="125"/>
      <c r="CH348" s="125"/>
      <c r="CI348" s="125"/>
      <c r="CJ348" s="125"/>
      <c r="CK348" s="125"/>
      <c r="CL348" s="125"/>
      <c r="CM348" s="125"/>
      <c r="CN348" s="125"/>
      <c r="CO348" s="125"/>
      <c r="CP348" s="125"/>
      <c r="CQ348" s="125"/>
      <c r="CR348" s="125"/>
      <c r="CS348" s="125"/>
      <c r="CT348" s="125"/>
      <c r="CU348" s="179"/>
      <c r="CV348" s="177"/>
      <c r="CW348" s="177"/>
      <c r="CX348" s="177"/>
      <c r="CY348" s="177"/>
      <c r="CZ348" s="177"/>
      <c r="DA348" s="177"/>
      <c r="DB348" s="178"/>
      <c r="DC348" s="125"/>
      <c r="DD348" s="125"/>
      <c r="DE348" s="125"/>
      <c r="DF348" s="125"/>
      <c r="DG348" s="125"/>
      <c r="DH348" s="125"/>
      <c r="DI348" s="125"/>
      <c r="DJ348" s="125"/>
      <c r="DK348" s="125"/>
      <c r="DL348" s="125"/>
      <c r="DM348" s="125"/>
      <c r="DN348" s="125"/>
      <c r="DO348" s="125"/>
      <c r="DP348" s="125"/>
      <c r="DQ348" s="125"/>
      <c r="DR348" s="125"/>
      <c r="DS348" s="179"/>
      <c r="DT348" s="177"/>
      <c r="DU348" s="177"/>
      <c r="DV348" s="177"/>
      <c r="DW348" s="177"/>
      <c r="DX348" s="177"/>
      <c r="DY348" s="177"/>
      <c r="DZ348" s="178"/>
      <c r="EA348" s="125"/>
      <c r="EB348" s="125"/>
      <c r="EC348" s="125"/>
      <c r="ED348" s="125"/>
      <c r="EE348" s="125"/>
      <c r="EF348" s="125"/>
      <c r="EG348" s="125"/>
      <c r="EH348" s="125"/>
      <c r="EI348" s="125"/>
      <c r="EJ348" s="125"/>
      <c r="EK348" s="125"/>
      <c r="EL348" s="125"/>
      <c r="EM348" s="125"/>
      <c r="EN348" s="125"/>
      <c r="EO348" s="125"/>
      <c r="EP348" s="125"/>
      <c r="EQ348" s="179"/>
      <c r="ER348" s="177"/>
      <c r="ES348" s="177"/>
      <c r="ET348" s="177"/>
      <c r="EU348" s="177"/>
      <c r="EV348" s="177"/>
      <c r="EW348" s="177"/>
      <c r="EX348" s="178"/>
      <c r="EY348" s="125"/>
      <c r="EZ348" s="125"/>
      <c r="FA348" s="125"/>
      <c r="FB348" s="125"/>
      <c r="FC348" s="125"/>
      <c r="FD348" s="125"/>
      <c r="FE348" s="125"/>
      <c r="FF348" s="125"/>
      <c r="FG348" s="125"/>
      <c r="FH348" s="125"/>
      <c r="FI348" s="125"/>
      <c r="FJ348" s="125"/>
      <c r="FK348" s="125"/>
      <c r="FL348" s="125"/>
      <c r="FM348" s="125"/>
      <c r="FN348" s="125"/>
      <c r="FO348" s="179"/>
      <c r="FP348" s="177"/>
      <c r="FQ348" s="177"/>
      <c r="FR348" s="177"/>
      <c r="FS348" s="177"/>
      <c r="FT348" s="177"/>
      <c r="FU348" s="177"/>
      <c r="FV348" s="178"/>
      <c r="FW348" s="125"/>
      <c r="FX348" s="125"/>
      <c r="FY348" s="125"/>
      <c r="FZ348" s="125"/>
      <c r="GA348" s="125"/>
      <c r="GB348" s="125"/>
      <c r="GC348" s="125"/>
      <c r="GD348" s="125"/>
      <c r="GE348" s="125"/>
      <c r="GF348" s="125"/>
      <c r="GG348" s="125"/>
      <c r="GH348" s="125"/>
      <c r="GI348" s="125"/>
      <c r="GJ348" s="125"/>
      <c r="GK348" s="125"/>
      <c r="GL348" s="125"/>
      <c r="GM348" s="179"/>
      <c r="GN348" s="177"/>
      <c r="GO348" s="177"/>
      <c r="GP348" s="177"/>
      <c r="GQ348" s="177"/>
      <c r="GR348" s="177"/>
      <c r="GS348" s="177"/>
      <c r="GT348" s="178"/>
      <c r="GU348" s="125"/>
      <c r="GV348" s="125"/>
      <c r="GW348" s="125"/>
      <c r="GX348" s="125"/>
      <c r="GY348" s="125"/>
      <c r="GZ348" s="125"/>
      <c r="HA348" s="125"/>
      <c r="HB348" s="125"/>
      <c r="HC348" s="125"/>
      <c r="HD348" s="125"/>
      <c r="HE348" s="125"/>
      <c r="HF348" s="125"/>
      <c r="HG348" s="125"/>
      <c r="HH348" s="125"/>
      <c r="HI348" s="125"/>
      <c r="HJ348" s="125"/>
      <c r="HK348" s="179"/>
      <c r="HL348" s="177"/>
      <c r="HM348" s="177"/>
      <c r="HN348" s="177"/>
      <c r="HO348" s="177"/>
      <c r="HP348" s="177"/>
      <c r="HQ348" s="177"/>
      <c r="HR348" s="178"/>
      <c r="HS348" s="125"/>
      <c r="HT348" s="125"/>
      <c r="HU348" s="125"/>
      <c r="HV348" s="125"/>
      <c r="HW348" s="125"/>
      <c r="HX348" s="125"/>
      <c r="HY348" s="125"/>
      <c r="HZ348" s="125"/>
      <c r="IA348" s="125"/>
      <c r="IB348" s="125"/>
      <c r="IC348" s="125"/>
      <c r="ID348" s="125"/>
      <c r="IE348" s="125"/>
      <c r="IF348" s="125"/>
      <c r="IG348" s="125"/>
      <c r="IH348" s="125"/>
      <c r="II348" s="179"/>
      <c r="IJ348" s="177"/>
      <c r="IK348" s="177"/>
      <c r="IL348" s="177"/>
      <c r="IM348" s="177"/>
      <c r="IN348" s="177"/>
      <c r="IO348" s="177"/>
      <c r="IP348" s="178"/>
      <c r="IQ348" s="125"/>
      <c r="IR348" s="125"/>
      <c r="IS348" s="125"/>
      <c r="IT348" s="125"/>
      <c r="IU348" s="125"/>
      <c r="IV348" s="125"/>
    </row>
    <row r="349" spans="1:256" s="3" customFormat="1">
      <c r="A349" s="16">
        <v>133</v>
      </c>
      <c r="B349" s="60">
        <v>43082</v>
      </c>
      <c r="C349" s="18"/>
      <c r="D349" s="19" t="s">
        <v>479</v>
      </c>
      <c r="E349" s="20" t="s">
        <v>489</v>
      </c>
      <c r="F349" s="62" t="s">
        <v>491</v>
      </c>
      <c r="G349" s="63">
        <v>1705</v>
      </c>
      <c r="H349" s="121">
        <v>3130000</v>
      </c>
      <c r="I349" s="24"/>
      <c r="J349" s="24">
        <f t="shared" si="34"/>
        <v>2980952.3809523806</v>
      </c>
      <c r="K349" s="24">
        <f t="shared" si="31"/>
        <v>2980952.3809523806</v>
      </c>
      <c r="L349" s="123"/>
      <c r="M349" s="24">
        <f t="shared" si="32"/>
        <v>0</v>
      </c>
      <c r="N349" s="124">
        <f t="shared" si="33"/>
        <v>2980952.3809523806</v>
      </c>
      <c r="O349" s="107"/>
      <c r="Q349" s="140"/>
      <c r="AA349" s="130"/>
      <c r="AB349" s="130"/>
      <c r="AC349" s="130"/>
      <c r="AD349" s="130"/>
      <c r="AE349" s="130"/>
      <c r="AF349" s="130"/>
      <c r="AG349" s="130"/>
      <c r="AH349" s="130"/>
      <c r="AY349" s="130"/>
      <c r="AZ349" s="130"/>
      <c r="BA349" s="130"/>
      <c r="BB349" s="130"/>
      <c r="BC349" s="130"/>
      <c r="BD349" s="130"/>
      <c r="BE349" s="130"/>
      <c r="BF349" s="130"/>
      <c r="BW349" s="130"/>
      <c r="BX349" s="130"/>
      <c r="BY349" s="130"/>
      <c r="BZ349" s="130"/>
      <c r="CA349" s="130"/>
      <c r="CB349" s="130"/>
      <c r="CC349" s="130"/>
      <c r="CD349" s="130"/>
      <c r="CU349" s="130"/>
      <c r="CV349" s="130"/>
      <c r="CW349" s="130"/>
      <c r="CX349" s="130"/>
      <c r="CY349" s="130"/>
      <c r="CZ349" s="130"/>
      <c r="DA349" s="130"/>
      <c r="DB349" s="130"/>
      <c r="DS349" s="130"/>
      <c r="DT349" s="130"/>
      <c r="DU349" s="130"/>
      <c r="DV349" s="130"/>
      <c r="DW349" s="130"/>
      <c r="DX349" s="130"/>
      <c r="DY349" s="130"/>
      <c r="DZ349" s="130"/>
      <c r="EQ349" s="130"/>
      <c r="ER349" s="130"/>
      <c r="ES349" s="130"/>
      <c r="ET349" s="130"/>
      <c r="EU349" s="130"/>
      <c r="EV349" s="130"/>
      <c r="EW349" s="130"/>
      <c r="EX349" s="130"/>
      <c r="FO349" s="130"/>
      <c r="FP349" s="130"/>
      <c r="FQ349" s="130"/>
      <c r="FR349" s="130"/>
      <c r="FS349" s="130"/>
      <c r="FT349" s="130"/>
      <c r="FU349" s="130"/>
      <c r="FV349" s="130"/>
      <c r="GM349" s="130"/>
      <c r="GN349" s="130"/>
      <c r="GO349" s="130"/>
      <c r="GP349" s="130"/>
      <c r="GQ349" s="130"/>
      <c r="GR349" s="130"/>
      <c r="GS349" s="130"/>
      <c r="GT349" s="130"/>
      <c r="HK349" s="130"/>
      <c r="HL349" s="130"/>
      <c r="HM349" s="130"/>
      <c r="HN349" s="130"/>
      <c r="HO349" s="130"/>
      <c r="HP349" s="130"/>
      <c r="HQ349" s="130"/>
      <c r="HR349" s="130"/>
      <c r="II349" s="130"/>
      <c r="IJ349" s="130"/>
      <c r="IK349" s="130"/>
      <c r="IL349" s="130"/>
      <c r="IM349" s="130"/>
      <c r="IN349" s="130"/>
      <c r="IO349" s="130"/>
      <c r="IP349" s="130"/>
    </row>
    <row r="350" spans="1:256" s="3" customFormat="1">
      <c r="A350" s="16">
        <v>134</v>
      </c>
      <c r="B350" s="83">
        <v>43087</v>
      </c>
      <c r="C350" s="18"/>
      <c r="D350" s="19" t="s">
        <v>479</v>
      </c>
      <c r="E350" s="20" t="s">
        <v>489</v>
      </c>
      <c r="F350" s="168" t="s">
        <v>492</v>
      </c>
      <c r="G350" s="63">
        <v>1708</v>
      </c>
      <c r="H350" s="121">
        <v>3180000</v>
      </c>
      <c r="I350" s="24"/>
      <c r="J350" s="24">
        <f t="shared" si="34"/>
        <v>3028571.4285714286</v>
      </c>
      <c r="K350" s="24">
        <f t="shared" si="31"/>
        <v>3028571.4285714286</v>
      </c>
      <c r="L350" s="123"/>
      <c r="M350" s="24">
        <f t="shared" si="32"/>
        <v>0</v>
      </c>
      <c r="N350" s="124">
        <f t="shared" si="33"/>
        <v>3028571.4285714286</v>
      </c>
      <c r="O350" s="85"/>
      <c r="Y350" s="131"/>
      <c r="Z350" s="15"/>
      <c r="AA350" s="170"/>
      <c r="AB350" s="171"/>
      <c r="AC350" s="172"/>
      <c r="AD350" s="172"/>
      <c r="AE350" s="173"/>
      <c r="AF350" s="200"/>
      <c r="AG350" s="201"/>
      <c r="AH350" s="202"/>
      <c r="AI350" s="125"/>
      <c r="AJ350" s="184"/>
      <c r="AK350" s="185"/>
      <c r="AL350" s="186"/>
      <c r="AM350" s="125"/>
      <c r="AN350" s="125"/>
      <c r="AO350" s="125"/>
      <c r="AP350" s="125"/>
      <c r="AQ350" s="125"/>
      <c r="AR350" s="125"/>
      <c r="AS350" s="125"/>
      <c r="AT350" s="125"/>
      <c r="AU350" s="125"/>
      <c r="AV350" s="125"/>
      <c r="AW350" s="187"/>
      <c r="AX350" s="188"/>
      <c r="AY350" s="203"/>
      <c r="AZ350" s="204"/>
      <c r="BA350" s="205"/>
      <c r="BB350" s="205"/>
      <c r="BC350" s="206"/>
      <c r="BD350" s="200"/>
      <c r="BE350" s="201"/>
      <c r="BF350" s="202"/>
      <c r="BG350" s="125"/>
      <c r="BH350" s="184"/>
      <c r="BI350" s="185"/>
      <c r="BJ350" s="186"/>
      <c r="BK350" s="125"/>
      <c r="BL350" s="125"/>
      <c r="BM350" s="125"/>
      <c r="BN350" s="125"/>
      <c r="BO350" s="125"/>
      <c r="BP350" s="125"/>
      <c r="BQ350" s="125"/>
      <c r="BR350" s="125"/>
      <c r="BS350" s="125"/>
      <c r="BT350" s="125"/>
      <c r="BU350" s="187"/>
      <c r="BV350" s="188"/>
      <c r="BW350" s="203"/>
      <c r="BX350" s="204"/>
      <c r="BY350" s="205"/>
      <c r="BZ350" s="205"/>
      <c r="CA350" s="206"/>
      <c r="CB350" s="200"/>
      <c r="CC350" s="201"/>
      <c r="CD350" s="202"/>
      <c r="CE350" s="125"/>
      <c r="CF350" s="184"/>
      <c r="CG350" s="185"/>
      <c r="CH350" s="186"/>
      <c r="CI350" s="125"/>
      <c r="CJ350" s="125"/>
      <c r="CK350" s="125"/>
      <c r="CL350" s="125"/>
      <c r="CM350" s="125"/>
      <c r="CN350" s="125"/>
      <c r="CO350" s="125"/>
      <c r="CP350" s="125"/>
      <c r="CQ350" s="125"/>
      <c r="CR350" s="125"/>
      <c r="CS350" s="187"/>
      <c r="CT350" s="188"/>
      <c r="CU350" s="203"/>
      <c r="CV350" s="204"/>
      <c r="CW350" s="205"/>
      <c r="CX350" s="205"/>
      <c r="CY350" s="206"/>
      <c r="CZ350" s="200"/>
      <c r="DA350" s="201"/>
      <c r="DB350" s="202"/>
      <c r="DC350" s="125"/>
      <c r="DD350" s="184"/>
      <c r="DE350" s="185"/>
      <c r="DF350" s="186"/>
      <c r="DG350" s="125"/>
      <c r="DH350" s="125"/>
      <c r="DI350" s="125"/>
      <c r="DJ350" s="125"/>
      <c r="DK350" s="125"/>
      <c r="DL350" s="125"/>
      <c r="DM350" s="125"/>
      <c r="DN350" s="125"/>
      <c r="DO350" s="125"/>
      <c r="DP350" s="125"/>
      <c r="DQ350" s="187"/>
      <c r="DR350" s="188"/>
      <c r="DS350" s="203"/>
      <c r="DT350" s="204"/>
      <c r="DU350" s="205"/>
      <c r="DV350" s="205"/>
      <c r="DW350" s="206"/>
      <c r="DX350" s="200"/>
      <c r="DY350" s="201"/>
      <c r="DZ350" s="202"/>
      <c r="EA350" s="125"/>
      <c r="EB350" s="184"/>
      <c r="EC350" s="185"/>
      <c r="ED350" s="186"/>
      <c r="EE350" s="125"/>
      <c r="EF350" s="125"/>
      <c r="EG350" s="125"/>
      <c r="EH350" s="125"/>
      <c r="EI350" s="125"/>
      <c r="EJ350" s="125"/>
      <c r="EK350" s="125"/>
      <c r="EL350" s="125"/>
      <c r="EM350" s="125"/>
      <c r="EN350" s="125"/>
      <c r="EO350" s="187"/>
      <c r="EP350" s="188"/>
      <c r="EQ350" s="203"/>
      <c r="ER350" s="204"/>
      <c r="ES350" s="205"/>
      <c r="ET350" s="205"/>
      <c r="EU350" s="206"/>
      <c r="EV350" s="200"/>
      <c r="EW350" s="201"/>
      <c r="EX350" s="202"/>
      <c r="EY350" s="125"/>
      <c r="EZ350" s="184"/>
      <c r="FA350" s="185"/>
      <c r="FB350" s="186"/>
      <c r="FC350" s="125"/>
      <c r="FD350" s="125"/>
      <c r="FE350" s="125"/>
      <c r="FF350" s="125"/>
      <c r="FG350" s="125"/>
      <c r="FH350" s="125"/>
      <c r="FI350" s="125"/>
      <c r="FJ350" s="125"/>
      <c r="FK350" s="125"/>
      <c r="FL350" s="125"/>
      <c r="FM350" s="187"/>
      <c r="FN350" s="188"/>
      <c r="FO350" s="203"/>
      <c r="FP350" s="204"/>
      <c r="FQ350" s="205"/>
      <c r="FR350" s="205"/>
      <c r="FS350" s="206"/>
      <c r="FT350" s="200"/>
      <c r="FU350" s="201"/>
      <c r="FV350" s="202"/>
      <c r="FW350" s="125"/>
      <c r="FX350" s="184"/>
      <c r="FY350" s="185"/>
      <c r="FZ350" s="186"/>
      <c r="GA350" s="125"/>
      <c r="GB350" s="125"/>
      <c r="GC350" s="125"/>
      <c r="GD350" s="125"/>
      <c r="GE350" s="125"/>
      <c r="GF350" s="125"/>
      <c r="GG350" s="125"/>
      <c r="GH350" s="125"/>
      <c r="GI350" s="125"/>
      <c r="GJ350" s="125"/>
      <c r="GK350" s="187"/>
      <c r="GL350" s="188"/>
      <c r="GM350" s="203"/>
      <c r="GN350" s="204"/>
      <c r="GO350" s="205"/>
      <c r="GP350" s="205"/>
      <c r="GQ350" s="206"/>
      <c r="GR350" s="200"/>
      <c r="GS350" s="201"/>
      <c r="GT350" s="202"/>
      <c r="GU350" s="125"/>
      <c r="GV350" s="184"/>
      <c r="GW350" s="185"/>
      <c r="GX350" s="186"/>
      <c r="GY350" s="125"/>
      <c r="GZ350" s="125"/>
      <c r="HA350" s="125"/>
      <c r="HB350" s="125"/>
      <c r="HC350" s="125"/>
      <c r="HD350" s="125"/>
      <c r="HE350" s="125"/>
      <c r="HF350" s="125"/>
      <c r="HG350" s="125"/>
      <c r="HH350" s="125"/>
      <c r="HI350" s="187"/>
      <c r="HJ350" s="188"/>
      <c r="HK350" s="203"/>
      <c r="HL350" s="204"/>
      <c r="HM350" s="205"/>
      <c r="HN350" s="205"/>
      <c r="HO350" s="206"/>
      <c r="HP350" s="200"/>
      <c r="HQ350" s="201"/>
      <c r="HR350" s="202"/>
      <c r="HS350" s="125"/>
      <c r="HT350" s="184"/>
      <c r="HU350" s="185"/>
      <c r="HV350" s="186"/>
      <c r="HW350" s="125"/>
      <c r="HX350" s="125"/>
      <c r="HY350" s="125"/>
      <c r="HZ350" s="125"/>
      <c r="IA350" s="125"/>
      <c r="IB350" s="125"/>
      <c r="IC350" s="125"/>
      <c r="ID350" s="125"/>
      <c r="IE350" s="125"/>
      <c r="IF350" s="125"/>
      <c r="IG350" s="187"/>
      <c r="IH350" s="188"/>
      <c r="II350" s="203"/>
      <c r="IJ350" s="204"/>
      <c r="IK350" s="205"/>
      <c r="IL350" s="205"/>
      <c r="IM350" s="206"/>
      <c r="IN350" s="200"/>
      <c r="IO350" s="201"/>
      <c r="IP350" s="202"/>
      <c r="IQ350" s="125"/>
      <c r="IR350" s="184"/>
      <c r="IS350" s="185"/>
      <c r="IT350" s="186"/>
      <c r="IU350" s="125"/>
      <c r="IV350" s="125"/>
    </row>
    <row r="351" spans="1:256" s="125" customFormat="1">
      <c r="A351" s="16">
        <v>135</v>
      </c>
      <c r="B351" s="60">
        <v>43096</v>
      </c>
      <c r="C351" s="18"/>
      <c r="D351" s="19" t="s">
        <v>479</v>
      </c>
      <c r="E351" s="20" t="s">
        <v>489</v>
      </c>
      <c r="F351" s="62" t="s">
        <v>493</v>
      </c>
      <c r="G351" s="63">
        <v>1709</v>
      </c>
      <c r="H351" s="121">
        <v>3180000</v>
      </c>
      <c r="I351" s="24"/>
      <c r="J351" s="24">
        <f t="shared" si="34"/>
        <v>3028571.4285714286</v>
      </c>
      <c r="K351" s="24">
        <f t="shared" si="31"/>
        <v>3028571.4285714286</v>
      </c>
      <c r="L351" s="123"/>
      <c r="M351" s="24">
        <f t="shared" si="32"/>
        <v>0</v>
      </c>
      <c r="N351" s="124">
        <f t="shared" si="33"/>
        <v>3028571.4285714286</v>
      </c>
      <c r="O351" s="28"/>
      <c r="P351" s="3"/>
      <c r="Q351" s="140"/>
      <c r="R351" s="3"/>
      <c r="S351" s="3"/>
      <c r="T351" s="3"/>
      <c r="U351" s="3"/>
      <c r="V351" s="3"/>
      <c r="W351" s="3"/>
      <c r="X351" s="3"/>
      <c r="Y351" s="3"/>
      <c r="Z351" s="3"/>
      <c r="AA351" s="130"/>
      <c r="AB351" s="130"/>
      <c r="AC351" s="130"/>
      <c r="AD351" s="130"/>
      <c r="AE351" s="130"/>
      <c r="AF351" s="130"/>
      <c r="AG351" s="130"/>
      <c r="AH351" s="130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130"/>
      <c r="AZ351" s="130"/>
      <c r="BA351" s="130"/>
      <c r="BB351" s="130"/>
      <c r="BC351" s="130"/>
      <c r="BD351" s="130"/>
      <c r="BE351" s="130"/>
      <c r="BF351" s="130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130"/>
      <c r="BX351" s="130"/>
      <c r="BY351" s="130"/>
      <c r="BZ351" s="130"/>
      <c r="CA351" s="130"/>
      <c r="CB351" s="130"/>
      <c r="CC351" s="130"/>
      <c r="CD351" s="130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130"/>
      <c r="CV351" s="130"/>
      <c r="CW351" s="130"/>
      <c r="CX351" s="130"/>
      <c r="CY351" s="130"/>
      <c r="CZ351" s="130"/>
      <c r="DA351" s="130"/>
      <c r="DB351" s="130"/>
      <c r="DC351" s="3"/>
      <c r="DD351" s="3"/>
      <c r="DE351" s="3"/>
      <c r="DF351" s="3"/>
      <c r="DG351" s="3"/>
      <c r="DH351" s="3"/>
      <c r="DI351" s="3"/>
      <c r="DJ351" s="3"/>
      <c r="DK351" s="3"/>
      <c r="DL351" s="3"/>
      <c r="DM351" s="3"/>
      <c r="DN351" s="3"/>
      <c r="DO351" s="3"/>
      <c r="DP351" s="3"/>
      <c r="DQ351" s="3"/>
      <c r="DR351" s="3"/>
      <c r="DS351" s="130"/>
      <c r="DT351" s="130"/>
      <c r="DU351" s="130"/>
      <c r="DV351" s="130"/>
      <c r="DW351" s="130"/>
      <c r="DX351" s="130"/>
      <c r="DY351" s="130"/>
      <c r="DZ351" s="130"/>
      <c r="EA351" s="3"/>
      <c r="EB351" s="3"/>
      <c r="EC351" s="3"/>
      <c r="ED351" s="3"/>
      <c r="EE351" s="3"/>
      <c r="EF351" s="3"/>
      <c r="EG351" s="3"/>
      <c r="EH351" s="3"/>
      <c r="EI351" s="3"/>
      <c r="EJ351" s="3"/>
      <c r="EK351" s="3"/>
      <c r="EL351" s="3"/>
      <c r="EM351" s="3"/>
      <c r="EN351" s="3"/>
      <c r="EO351" s="3"/>
      <c r="EP351" s="3"/>
      <c r="EQ351" s="130"/>
      <c r="ER351" s="130"/>
      <c r="ES351" s="130"/>
      <c r="ET351" s="130"/>
      <c r="EU351" s="130"/>
      <c r="EV351" s="130"/>
      <c r="EW351" s="130"/>
      <c r="EX351" s="130"/>
      <c r="EY351" s="3"/>
      <c r="EZ351" s="3"/>
      <c r="FA351" s="3"/>
      <c r="FB351" s="3"/>
      <c r="FC351" s="3"/>
      <c r="FD351" s="3"/>
      <c r="FE351" s="3"/>
      <c r="FF351" s="3"/>
      <c r="FG351" s="3"/>
      <c r="FH351" s="3"/>
      <c r="FI351" s="3"/>
      <c r="FJ351" s="3"/>
      <c r="FK351" s="3"/>
      <c r="FL351" s="3"/>
      <c r="FM351" s="3"/>
      <c r="FN351" s="3"/>
      <c r="FO351" s="130"/>
      <c r="FP351" s="130"/>
      <c r="FQ351" s="130"/>
      <c r="FR351" s="130"/>
      <c r="FS351" s="130"/>
      <c r="FT351" s="130"/>
      <c r="FU351" s="130"/>
      <c r="FV351" s="130"/>
      <c r="FW351" s="3"/>
      <c r="FX351" s="3"/>
      <c r="FY351" s="3"/>
      <c r="FZ351" s="3"/>
      <c r="GA351" s="3"/>
      <c r="GB351" s="3"/>
      <c r="GC351" s="3"/>
      <c r="GD351" s="3"/>
      <c r="GE351" s="3"/>
      <c r="GF351" s="3"/>
      <c r="GG351" s="3"/>
      <c r="GH351" s="3"/>
      <c r="GI351" s="3"/>
      <c r="GJ351" s="3"/>
      <c r="GK351" s="3"/>
      <c r="GL351" s="3"/>
      <c r="GM351" s="130"/>
      <c r="GN351" s="130"/>
      <c r="GO351" s="130"/>
      <c r="GP351" s="130"/>
      <c r="GQ351" s="130"/>
      <c r="GR351" s="130"/>
      <c r="GS351" s="130"/>
      <c r="GT351" s="130"/>
      <c r="GU351" s="3"/>
      <c r="GV351" s="3"/>
      <c r="GW351" s="3"/>
      <c r="GX351" s="3"/>
      <c r="GY351" s="3"/>
      <c r="GZ351" s="3"/>
      <c r="HA351" s="3"/>
      <c r="HB351" s="3"/>
      <c r="HC351" s="3"/>
      <c r="HD351" s="3"/>
      <c r="HE351" s="3"/>
      <c r="HF351" s="3"/>
      <c r="HG351" s="3"/>
      <c r="HH351" s="3"/>
      <c r="HI351" s="3"/>
      <c r="HJ351" s="3"/>
      <c r="HK351" s="130"/>
      <c r="HL351" s="130"/>
      <c r="HM351" s="130"/>
      <c r="HN351" s="130"/>
      <c r="HO351" s="130"/>
      <c r="HP351" s="130"/>
      <c r="HQ351" s="130"/>
      <c r="HR351" s="130"/>
      <c r="HS351" s="3"/>
      <c r="HT351" s="3"/>
      <c r="HU351" s="3"/>
      <c r="HV351" s="3"/>
      <c r="HW351" s="3"/>
      <c r="HX351" s="3"/>
      <c r="HY351" s="3"/>
      <c r="HZ351" s="3"/>
      <c r="IA351" s="3"/>
      <c r="IB351" s="3"/>
      <c r="IC351" s="3"/>
      <c r="ID351" s="3"/>
      <c r="IE351" s="3"/>
      <c r="IF351" s="3"/>
      <c r="IG351" s="3"/>
      <c r="IH351" s="3"/>
      <c r="II351" s="130"/>
      <c r="IJ351" s="130"/>
      <c r="IK351" s="130"/>
      <c r="IL351" s="130"/>
      <c r="IM351" s="130"/>
      <c r="IN351" s="130"/>
      <c r="IO351" s="130"/>
      <c r="IP351" s="130"/>
      <c r="IQ351" s="3"/>
      <c r="IR351" s="3"/>
      <c r="IS351" s="3"/>
      <c r="IT351" s="3"/>
      <c r="IU351" s="3"/>
      <c r="IV351" s="3"/>
    </row>
    <row r="352" spans="1:256" s="3" customFormat="1">
      <c r="A352" s="16">
        <v>136</v>
      </c>
      <c r="B352" s="60">
        <v>43081</v>
      </c>
      <c r="C352" s="18"/>
      <c r="D352" s="19" t="s">
        <v>494</v>
      </c>
      <c r="E352" s="20" t="s">
        <v>495</v>
      </c>
      <c r="F352" s="120" t="s">
        <v>496</v>
      </c>
      <c r="G352" s="63">
        <v>1708</v>
      </c>
      <c r="H352" s="121">
        <v>3320100</v>
      </c>
      <c r="I352" s="24"/>
      <c r="J352" s="24">
        <f t="shared" si="34"/>
        <v>3162000</v>
      </c>
      <c r="K352" s="24">
        <f t="shared" si="31"/>
        <v>3162000</v>
      </c>
      <c r="L352" s="123"/>
      <c r="M352" s="24">
        <f t="shared" si="32"/>
        <v>0</v>
      </c>
      <c r="N352" s="124">
        <f t="shared" si="33"/>
        <v>3162000</v>
      </c>
      <c r="O352" s="107"/>
      <c r="Q352" s="140"/>
      <c r="Y352" s="131"/>
      <c r="Z352" s="15"/>
      <c r="AA352" s="207"/>
      <c r="AB352" s="208"/>
      <c r="AC352" s="172"/>
      <c r="AD352" s="172"/>
      <c r="AE352" s="175"/>
      <c r="AF352" s="209"/>
      <c r="AG352" s="201"/>
      <c r="AH352" s="202"/>
      <c r="AI352" s="125"/>
      <c r="AJ352" s="184"/>
      <c r="AK352" s="185"/>
      <c r="AL352" s="186"/>
      <c r="AM352" s="125"/>
      <c r="AN352" s="125"/>
      <c r="AO352" s="125"/>
      <c r="AP352" s="125"/>
      <c r="AQ352" s="125"/>
      <c r="AR352" s="125"/>
      <c r="AS352" s="125"/>
      <c r="AT352" s="125"/>
      <c r="AU352" s="125"/>
      <c r="AV352" s="125"/>
      <c r="AW352" s="187"/>
      <c r="AX352" s="188"/>
      <c r="AY352" s="210"/>
      <c r="AZ352" s="211"/>
      <c r="BA352" s="205"/>
      <c r="BB352" s="205"/>
      <c r="BC352" s="201"/>
      <c r="BD352" s="209"/>
      <c r="BE352" s="201"/>
      <c r="BF352" s="202"/>
      <c r="BG352" s="125"/>
      <c r="BH352" s="184"/>
      <c r="BI352" s="185"/>
      <c r="BJ352" s="186"/>
      <c r="BK352" s="125"/>
      <c r="BL352" s="125"/>
      <c r="BM352" s="125"/>
      <c r="BN352" s="125"/>
      <c r="BO352" s="125"/>
      <c r="BP352" s="125"/>
      <c r="BQ352" s="125"/>
      <c r="BR352" s="125"/>
      <c r="BS352" s="125"/>
      <c r="BT352" s="125"/>
      <c r="BU352" s="187"/>
      <c r="BV352" s="188"/>
      <c r="BW352" s="210"/>
      <c r="BX352" s="211"/>
      <c r="BY352" s="205"/>
      <c r="BZ352" s="205"/>
      <c r="CA352" s="201"/>
      <c r="CB352" s="209"/>
      <c r="CC352" s="201"/>
      <c r="CD352" s="202"/>
      <c r="CE352" s="125"/>
      <c r="CF352" s="184"/>
      <c r="CG352" s="185"/>
      <c r="CH352" s="186"/>
      <c r="CI352" s="125"/>
      <c r="CJ352" s="125"/>
      <c r="CK352" s="125"/>
      <c r="CL352" s="125"/>
      <c r="CM352" s="125"/>
      <c r="CN352" s="125"/>
      <c r="CO352" s="125"/>
      <c r="CP352" s="125"/>
      <c r="CQ352" s="125"/>
      <c r="CR352" s="125"/>
      <c r="CS352" s="187"/>
      <c r="CT352" s="188"/>
      <c r="CU352" s="210"/>
      <c r="CV352" s="211"/>
      <c r="CW352" s="205"/>
      <c r="CX352" s="205"/>
      <c r="CY352" s="201"/>
      <c r="CZ352" s="209"/>
      <c r="DA352" s="201"/>
      <c r="DB352" s="202"/>
      <c r="DC352" s="125"/>
      <c r="DD352" s="184"/>
      <c r="DE352" s="185"/>
      <c r="DF352" s="186"/>
      <c r="DG352" s="125"/>
      <c r="DH352" s="125"/>
      <c r="DI352" s="125"/>
      <c r="DJ352" s="125"/>
      <c r="DK352" s="125"/>
      <c r="DL352" s="125"/>
      <c r="DM352" s="125"/>
      <c r="DN352" s="125"/>
      <c r="DO352" s="125"/>
      <c r="DP352" s="125"/>
      <c r="DQ352" s="187"/>
      <c r="DR352" s="188"/>
      <c r="DS352" s="210"/>
      <c r="DT352" s="211"/>
      <c r="DU352" s="205"/>
      <c r="DV352" s="205"/>
      <c r="DW352" s="201"/>
      <c r="DX352" s="209"/>
      <c r="DY352" s="201"/>
      <c r="DZ352" s="202"/>
      <c r="EA352" s="125"/>
      <c r="EB352" s="184"/>
      <c r="EC352" s="185"/>
      <c r="ED352" s="186"/>
      <c r="EE352" s="125"/>
      <c r="EF352" s="125"/>
      <c r="EG352" s="125"/>
      <c r="EH352" s="125"/>
      <c r="EI352" s="125"/>
      <c r="EJ352" s="125"/>
      <c r="EK352" s="125"/>
      <c r="EL352" s="125"/>
      <c r="EM352" s="125"/>
      <c r="EN352" s="125"/>
      <c r="EO352" s="187"/>
      <c r="EP352" s="188"/>
      <c r="EQ352" s="210"/>
      <c r="ER352" s="211"/>
      <c r="ES352" s="205"/>
      <c r="ET352" s="205"/>
      <c r="EU352" s="201"/>
      <c r="EV352" s="209"/>
      <c r="EW352" s="201"/>
      <c r="EX352" s="202"/>
      <c r="EY352" s="125"/>
      <c r="EZ352" s="184"/>
      <c r="FA352" s="185"/>
      <c r="FB352" s="186"/>
      <c r="FC352" s="125"/>
      <c r="FD352" s="125"/>
      <c r="FE352" s="125"/>
      <c r="FF352" s="125"/>
      <c r="FG352" s="125"/>
      <c r="FH352" s="125"/>
      <c r="FI352" s="125"/>
      <c r="FJ352" s="125"/>
      <c r="FK352" s="125"/>
      <c r="FL352" s="125"/>
      <c r="FM352" s="187"/>
      <c r="FN352" s="188"/>
      <c r="FO352" s="210"/>
      <c r="FP352" s="211"/>
      <c r="FQ352" s="205"/>
      <c r="FR352" s="205"/>
      <c r="FS352" s="201"/>
      <c r="FT352" s="209"/>
      <c r="FU352" s="201"/>
      <c r="FV352" s="202"/>
      <c r="FW352" s="125"/>
      <c r="FX352" s="184"/>
      <c r="FY352" s="185"/>
      <c r="FZ352" s="186"/>
      <c r="GA352" s="125"/>
      <c r="GB352" s="125"/>
      <c r="GC352" s="125"/>
      <c r="GD352" s="125"/>
      <c r="GE352" s="125"/>
      <c r="GF352" s="125"/>
      <c r="GG352" s="125"/>
      <c r="GH352" s="125"/>
      <c r="GI352" s="125"/>
      <c r="GJ352" s="125"/>
      <c r="GK352" s="187"/>
      <c r="GL352" s="188"/>
      <c r="GM352" s="210"/>
      <c r="GN352" s="211"/>
      <c r="GO352" s="205"/>
      <c r="GP352" s="205"/>
      <c r="GQ352" s="201"/>
      <c r="GR352" s="209"/>
      <c r="GS352" s="201"/>
      <c r="GT352" s="202"/>
      <c r="GU352" s="125"/>
      <c r="GV352" s="184"/>
      <c r="GW352" s="185"/>
      <c r="GX352" s="186"/>
      <c r="GY352" s="125"/>
      <c r="GZ352" s="125"/>
      <c r="HA352" s="125"/>
      <c r="HB352" s="125"/>
      <c r="HC352" s="125"/>
      <c r="HD352" s="125"/>
      <c r="HE352" s="125"/>
      <c r="HF352" s="125"/>
      <c r="HG352" s="125"/>
      <c r="HH352" s="125"/>
      <c r="HI352" s="187"/>
      <c r="HJ352" s="188"/>
      <c r="HK352" s="210"/>
      <c r="HL352" s="211"/>
      <c r="HM352" s="205"/>
      <c r="HN352" s="205"/>
      <c r="HO352" s="201"/>
      <c r="HP352" s="209"/>
      <c r="HQ352" s="201"/>
      <c r="HR352" s="202"/>
      <c r="HS352" s="125"/>
      <c r="HT352" s="184"/>
      <c r="HU352" s="185"/>
      <c r="HV352" s="186"/>
      <c r="HW352" s="125"/>
      <c r="HX352" s="125"/>
      <c r="HY352" s="125"/>
      <c r="HZ352" s="125"/>
      <c r="IA352" s="125"/>
      <c r="IB352" s="125"/>
      <c r="IC352" s="125"/>
      <c r="ID352" s="125"/>
      <c r="IE352" s="125"/>
      <c r="IF352" s="125"/>
      <c r="IG352" s="187"/>
      <c r="IH352" s="188"/>
      <c r="II352" s="210"/>
      <c r="IJ352" s="211"/>
      <c r="IK352" s="205"/>
      <c r="IL352" s="205"/>
      <c r="IM352" s="201"/>
      <c r="IN352" s="209"/>
      <c r="IO352" s="201"/>
      <c r="IP352" s="202"/>
      <c r="IQ352" s="125"/>
      <c r="IR352" s="184"/>
      <c r="IS352" s="185"/>
      <c r="IT352" s="186"/>
      <c r="IU352" s="125"/>
      <c r="IV352" s="125"/>
    </row>
    <row r="353" spans="1:256" s="3" customFormat="1">
      <c r="A353" s="16">
        <v>137</v>
      </c>
      <c r="B353" s="56">
        <v>43081</v>
      </c>
      <c r="C353" s="18"/>
      <c r="D353" s="19" t="s">
        <v>494</v>
      </c>
      <c r="E353" s="20" t="s">
        <v>495</v>
      </c>
      <c r="F353" s="62" t="s">
        <v>497</v>
      </c>
      <c r="G353" s="63">
        <v>1708</v>
      </c>
      <c r="H353" s="121">
        <v>3320100</v>
      </c>
      <c r="I353" s="24"/>
      <c r="J353" s="24">
        <f t="shared" si="34"/>
        <v>3162000</v>
      </c>
      <c r="K353" s="24">
        <f t="shared" si="31"/>
        <v>3162000</v>
      </c>
      <c r="L353" s="123"/>
      <c r="M353" s="24">
        <f t="shared" si="32"/>
        <v>0</v>
      </c>
      <c r="N353" s="124">
        <f t="shared" si="33"/>
        <v>3162000</v>
      </c>
      <c r="O353" s="107"/>
      <c r="Q353" s="140"/>
      <c r="AA353" s="130"/>
      <c r="AB353" s="130"/>
      <c r="AC353" s="130"/>
      <c r="AD353" s="130"/>
      <c r="AE353" s="130"/>
      <c r="AF353" s="130"/>
      <c r="AG353" s="130"/>
      <c r="AH353" s="130"/>
      <c r="AY353" s="130"/>
      <c r="AZ353" s="130"/>
      <c r="BA353" s="130"/>
      <c r="BB353" s="130"/>
      <c r="BC353" s="130"/>
      <c r="BD353" s="130"/>
      <c r="BE353" s="130"/>
      <c r="BF353" s="130"/>
      <c r="BW353" s="130"/>
      <c r="BX353" s="130"/>
      <c r="BY353" s="130"/>
      <c r="BZ353" s="130"/>
      <c r="CA353" s="130"/>
      <c r="CB353" s="130"/>
      <c r="CC353" s="130"/>
      <c r="CD353" s="130"/>
      <c r="CU353" s="130"/>
      <c r="CV353" s="130"/>
      <c r="CW353" s="130"/>
      <c r="CX353" s="130"/>
      <c r="CY353" s="130"/>
      <c r="CZ353" s="130"/>
      <c r="DA353" s="130"/>
      <c r="DB353" s="130"/>
      <c r="DS353" s="130"/>
      <c r="DT353" s="130"/>
      <c r="DU353" s="130"/>
      <c r="DV353" s="130"/>
      <c r="DW353" s="130"/>
      <c r="DX353" s="130"/>
      <c r="DY353" s="130"/>
      <c r="DZ353" s="130"/>
      <c r="EQ353" s="130"/>
      <c r="ER353" s="130"/>
      <c r="ES353" s="130"/>
      <c r="ET353" s="130"/>
      <c r="EU353" s="130"/>
      <c r="EV353" s="130"/>
      <c r="EW353" s="130"/>
      <c r="EX353" s="130"/>
      <c r="FO353" s="130"/>
      <c r="FP353" s="130"/>
      <c r="FQ353" s="130"/>
      <c r="FR353" s="130"/>
      <c r="FS353" s="130"/>
      <c r="FT353" s="130"/>
      <c r="FU353" s="130"/>
      <c r="FV353" s="130"/>
      <c r="GM353" s="130"/>
      <c r="GN353" s="130"/>
      <c r="GO353" s="130"/>
      <c r="GP353" s="130"/>
      <c r="GQ353" s="130"/>
      <c r="GR353" s="130"/>
      <c r="GS353" s="130"/>
      <c r="GT353" s="130"/>
      <c r="HK353" s="130"/>
      <c r="HL353" s="130"/>
      <c r="HM353" s="130"/>
      <c r="HN353" s="130"/>
      <c r="HO353" s="130"/>
      <c r="HP353" s="130"/>
      <c r="HQ353" s="130"/>
      <c r="HR353" s="130"/>
      <c r="II353" s="130"/>
      <c r="IJ353" s="130"/>
      <c r="IK353" s="130"/>
      <c r="IL353" s="130"/>
      <c r="IM353" s="130"/>
      <c r="IN353" s="130"/>
      <c r="IO353" s="130"/>
      <c r="IP353" s="130"/>
    </row>
    <row r="354" spans="1:256" s="3" customFormat="1">
      <c r="A354" s="80">
        <v>1</v>
      </c>
      <c r="B354" s="60">
        <v>43039</v>
      </c>
      <c r="C354" s="18"/>
      <c r="D354" s="19" t="s">
        <v>284</v>
      </c>
      <c r="E354" s="20" t="s">
        <v>285</v>
      </c>
      <c r="F354" s="61" t="s">
        <v>498</v>
      </c>
      <c r="G354" s="63">
        <v>1707</v>
      </c>
      <c r="H354" s="121">
        <f>1406000-30000</f>
        <v>1376000</v>
      </c>
      <c r="I354" s="24">
        <v>1310476</v>
      </c>
      <c r="J354" s="24"/>
      <c r="K354" s="24">
        <f t="shared" si="31"/>
        <v>1310476</v>
      </c>
      <c r="L354" s="123">
        <v>1</v>
      </c>
      <c r="M354" s="24">
        <f t="shared" si="32"/>
        <v>1310476</v>
      </c>
      <c r="N354" s="124">
        <f t="shared" si="33"/>
        <v>0</v>
      </c>
      <c r="O354" s="107" t="s">
        <v>499</v>
      </c>
      <c r="Q354" s="140"/>
      <c r="AA354" s="141"/>
      <c r="AB354" s="142"/>
      <c r="AC354" s="142"/>
      <c r="AD354" s="142"/>
      <c r="AE354" s="142"/>
      <c r="AF354" s="142"/>
      <c r="AG354" s="142"/>
      <c r="AH354" s="143"/>
      <c r="AY354" s="141"/>
      <c r="AZ354" s="142"/>
      <c r="BA354" s="142"/>
      <c r="BB354" s="142"/>
      <c r="BC354" s="142"/>
      <c r="BD354" s="142"/>
      <c r="BE354" s="142"/>
      <c r="BF354" s="143"/>
      <c r="BW354" s="141"/>
      <c r="BX354" s="142"/>
      <c r="BY354" s="142"/>
      <c r="BZ354" s="142"/>
      <c r="CA354" s="142"/>
      <c r="CB354" s="142"/>
      <c r="CC354" s="142"/>
      <c r="CD354" s="143"/>
      <c r="CU354" s="141"/>
      <c r="CV354" s="142"/>
      <c r="CW354" s="142"/>
      <c r="CX354" s="142"/>
      <c r="CY354" s="142"/>
      <c r="CZ354" s="142"/>
      <c r="DA354" s="142"/>
      <c r="DB354" s="143"/>
      <c r="DS354" s="141"/>
      <c r="DT354" s="142"/>
      <c r="DU354" s="142"/>
      <c r="DV354" s="142"/>
      <c r="DW354" s="142"/>
      <c r="DX354" s="142"/>
      <c r="DY354" s="142"/>
      <c r="DZ354" s="143"/>
      <c r="EQ354" s="141"/>
      <c r="ER354" s="142"/>
      <c r="ES354" s="142"/>
      <c r="ET354" s="142"/>
      <c r="EU354" s="142"/>
      <c r="EV354" s="142"/>
      <c r="EW354" s="142"/>
      <c r="EX354" s="143"/>
      <c r="FO354" s="141"/>
      <c r="FP354" s="142"/>
      <c r="FQ354" s="142"/>
      <c r="FR354" s="142"/>
      <c r="FS354" s="142"/>
      <c r="FT354" s="142"/>
      <c r="FU354" s="142"/>
      <c r="FV354" s="143"/>
      <c r="GM354" s="141"/>
      <c r="GN354" s="142"/>
      <c r="GO354" s="142"/>
      <c r="GP354" s="142"/>
      <c r="GQ354" s="142"/>
      <c r="GR354" s="142"/>
      <c r="GS354" s="142"/>
      <c r="GT354" s="143"/>
      <c r="HK354" s="141"/>
      <c r="HL354" s="142"/>
      <c r="HM354" s="142"/>
      <c r="HN354" s="142"/>
      <c r="HO354" s="142"/>
      <c r="HP354" s="142"/>
      <c r="HQ354" s="142"/>
      <c r="HR354" s="143"/>
      <c r="II354" s="141"/>
      <c r="IJ354" s="142"/>
      <c r="IK354" s="142"/>
      <c r="IL354" s="142"/>
      <c r="IM354" s="142"/>
      <c r="IN354" s="142"/>
      <c r="IO354" s="142"/>
      <c r="IP354" s="143"/>
    </row>
    <row r="355" spans="1:256" s="3" customFormat="1">
      <c r="A355" s="80">
        <v>2</v>
      </c>
      <c r="B355" s="56">
        <v>43077</v>
      </c>
      <c r="C355" s="18" t="s">
        <v>235</v>
      </c>
      <c r="D355" s="198">
        <v>1</v>
      </c>
      <c r="E355" s="20" t="s">
        <v>500</v>
      </c>
      <c r="F355" s="62" t="s">
        <v>501</v>
      </c>
      <c r="G355" s="63">
        <v>1707</v>
      </c>
      <c r="H355" s="121">
        <f>1406000+7400</f>
        <v>1413400</v>
      </c>
      <c r="I355" s="24"/>
      <c r="J355" s="24">
        <v>1317524</v>
      </c>
      <c r="K355" s="24">
        <f t="shared" si="31"/>
        <v>1317524</v>
      </c>
      <c r="L355" s="123">
        <v>1</v>
      </c>
      <c r="M355" s="24">
        <f t="shared" si="32"/>
        <v>1317524</v>
      </c>
      <c r="N355" s="124">
        <f t="shared" si="33"/>
        <v>0</v>
      </c>
      <c r="O355" s="107" t="s">
        <v>499</v>
      </c>
      <c r="Q355" s="140"/>
      <c r="AA355" s="130"/>
      <c r="AB355" s="130"/>
      <c r="AC355" s="130"/>
      <c r="AD355" s="130"/>
      <c r="AE355" s="130"/>
      <c r="AF355" s="130"/>
      <c r="AG355" s="130"/>
      <c r="AH355" s="130"/>
      <c r="AL355" s="125"/>
      <c r="AM355" s="125"/>
      <c r="AN355" s="125"/>
      <c r="AO355" s="125"/>
      <c r="AP355" s="125"/>
      <c r="AQ355" s="125"/>
      <c r="AR355" s="125"/>
      <c r="AS355" s="125"/>
      <c r="AT355" s="125"/>
      <c r="AU355" s="125"/>
      <c r="AV355" s="125"/>
      <c r="AW355" s="125"/>
      <c r="AX355" s="125"/>
      <c r="AY355" s="167"/>
      <c r="AZ355" s="167"/>
      <c r="BA355" s="167"/>
      <c r="BB355" s="167"/>
      <c r="BC355" s="167"/>
      <c r="BD355" s="167"/>
      <c r="BE355" s="167"/>
      <c r="BF355" s="167"/>
      <c r="BG355" s="125"/>
      <c r="BH355" s="125"/>
      <c r="BI355" s="125"/>
      <c r="BJ355" s="125"/>
      <c r="BK355" s="125"/>
      <c r="BL355" s="125"/>
      <c r="BM355" s="125"/>
      <c r="BN355" s="125"/>
      <c r="BO355" s="125"/>
      <c r="BP355" s="125"/>
      <c r="BQ355" s="125"/>
      <c r="BR355" s="125"/>
      <c r="BS355" s="125"/>
      <c r="BT355" s="125"/>
      <c r="BU355" s="125"/>
      <c r="BV355" s="125"/>
      <c r="BW355" s="167"/>
      <c r="BX355" s="167"/>
      <c r="BY355" s="167"/>
      <c r="BZ355" s="167"/>
      <c r="CA355" s="167"/>
      <c r="CB355" s="167"/>
      <c r="CC355" s="167"/>
      <c r="CD355" s="167"/>
      <c r="CE355" s="125"/>
      <c r="CF355" s="125"/>
      <c r="CG355" s="125"/>
      <c r="CH355" s="125"/>
      <c r="CI355" s="125"/>
      <c r="CJ355" s="125"/>
      <c r="CK355" s="125"/>
      <c r="CL355" s="125"/>
      <c r="CM355" s="125"/>
      <c r="CN355" s="125"/>
      <c r="CO355" s="125"/>
      <c r="CP355" s="125"/>
      <c r="CQ355" s="125"/>
      <c r="CR355" s="125"/>
      <c r="CS355" s="125"/>
      <c r="CT355" s="125"/>
      <c r="CU355" s="167"/>
      <c r="CV355" s="167"/>
      <c r="CW355" s="167"/>
      <c r="CX355" s="167"/>
      <c r="CY355" s="167"/>
      <c r="CZ355" s="167"/>
      <c r="DA355" s="167"/>
      <c r="DB355" s="167"/>
      <c r="DC355" s="125"/>
      <c r="DD355" s="125"/>
      <c r="DE355" s="125"/>
      <c r="DF355" s="125"/>
      <c r="DG355" s="125"/>
      <c r="DH355" s="125"/>
      <c r="DI355" s="125"/>
      <c r="DJ355" s="125"/>
      <c r="DK355" s="125"/>
      <c r="DL355" s="125"/>
      <c r="DM355" s="125"/>
      <c r="DN355" s="125"/>
      <c r="DO355" s="125"/>
      <c r="DP355" s="125"/>
      <c r="DQ355" s="125"/>
      <c r="DR355" s="125"/>
      <c r="DS355" s="167"/>
      <c r="DT355" s="167"/>
      <c r="DU355" s="167"/>
      <c r="DV355" s="167"/>
      <c r="DW355" s="167"/>
      <c r="DX355" s="167"/>
      <c r="DY355" s="167"/>
      <c r="DZ355" s="167"/>
      <c r="EA355" s="125"/>
      <c r="EB355" s="125"/>
      <c r="EC355" s="125"/>
      <c r="ED355" s="125"/>
      <c r="EE355" s="125"/>
      <c r="EF355" s="125"/>
      <c r="EG355" s="125"/>
      <c r="EH355" s="125"/>
      <c r="EI355" s="125"/>
      <c r="EJ355" s="125"/>
      <c r="EK355" s="125"/>
      <c r="EL355" s="125"/>
      <c r="EM355" s="125"/>
      <c r="EN355" s="125"/>
      <c r="EO355" s="125"/>
      <c r="EP355" s="125"/>
      <c r="EQ355" s="167"/>
      <c r="ER355" s="167"/>
      <c r="ES355" s="167"/>
      <c r="ET355" s="167"/>
      <c r="EU355" s="167"/>
      <c r="EV355" s="167"/>
      <c r="EW355" s="167"/>
      <c r="EX355" s="167"/>
      <c r="EY355" s="125"/>
      <c r="EZ355" s="125"/>
      <c r="FA355" s="125"/>
      <c r="FB355" s="125"/>
      <c r="FC355" s="125"/>
      <c r="FD355" s="125"/>
      <c r="FE355" s="125"/>
      <c r="FF355" s="125"/>
      <c r="FG355" s="125"/>
      <c r="FH355" s="125"/>
      <c r="FI355" s="125"/>
      <c r="FJ355" s="125"/>
      <c r="FK355" s="125"/>
      <c r="FL355" s="125"/>
      <c r="FM355" s="125"/>
      <c r="FN355" s="125"/>
      <c r="FO355" s="167"/>
      <c r="FP355" s="167"/>
      <c r="FQ355" s="167"/>
      <c r="FR355" s="167"/>
      <c r="FS355" s="167"/>
      <c r="FT355" s="167"/>
      <c r="FU355" s="167"/>
      <c r="FV355" s="167"/>
      <c r="FW355" s="125"/>
      <c r="FX355" s="125"/>
      <c r="FY355" s="125"/>
      <c r="FZ355" s="125"/>
      <c r="GA355" s="125"/>
      <c r="GB355" s="125"/>
      <c r="GC355" s="125"/>
      <c r="GD355" s="125"/>
      <c r="GE355" s="125"/>
      <c r="GF355" s="125"/>
      <c r="GG355" s="125"/>
      <c r="GH355" s="125"/>
      <c r="GI355" s="125"/>
      <c r="GJ355" s="125"/>
      <c r="GK355" s="125"/>
      <c r="GL355" s="125"/>
      <c r="GM355" s="167"/>
      <c r="GN355" s="167"/>
      <c r="GO355" s="167"/>
      <c r="GP355" s="167"/>
      <c r="GQ355" s="167"/>
      <c r="GR355" s="167"/>
      <c r="GS355" s="167"/>
      <c r="GT355" s="167"/>
      <c r="GU355" s="125"/>
      <c r="GV355" s="125"/>
      <c r="GW355" s="125"/>
      <c r="GX355" s="125"/>
      <c r="GY355" s="125"/>
      <c r="GZ355" s="125"/>
      <c r="HA355" s="125"/>
      <c r="HB355" s="125"/>
      <c r="HC355" s="125"/>
      <c r="HD355" s="125"/>
      <c r="HE355" s="125"/>
      <c r="HF355" s="125"/>
      <c r="HG355" s="125"/>
      <c r="HH355" s="125"/>
      <c r="HI355" s="125"/>
      <c r="HJ355" s="125"/>
      <c r="HK355" s="167"/>
      <c r="HL355" s="167"/>
      <c r="HM355" s="167"/>
      <c r="HN355" s="167"/>
      <c r="HO355" s="167"/>
      <c r="HP355" s="167"/>
      <c r="HQ355" s="167"/>
      <c r="HR355" s="167"/>
      <c r="HS355" s="125"/>
      <c r="HT355" s="125"/>
      <c r="HU355" s="125"/>
      <c r="HV355" s="125"/>
      <c r="HW355" s="125"/>
      <c r="HX355" s="125"/>
      <c r="HY355" s="125"/>
      <c r="HZ355" s="125"/>
      <c r="IA355" s="125"/>
      <c r="IB355" s="125"/>
      <c r="IC355" s="125"/>
      <c r="ID355" s="125"/>
      <c r="IE355" s="125"/>
      <c r="IF355" s="125"/>
      <c r="IG355" s="125"/>
      <c r="IH355" s="125"/>
      <c r="II355" s="167"/>
      <c r="IJ355" s="167"/>
      <c r="IK355" s="167"/>
      <c r="IL355" s="167"/>
      <c r="IM355" s="167"/>
      <c r="IN355" s="167"/>
      <c r="IO355" s="167"/>
      <c r="IP355" s="167"/>
      <c r="IQ355" s="125"/>
      <c r="IR355" s="125"/>
      <c r="IS355" s="125"/>
      <c r="IT355" s="125"/>
      <c r="IU355" s="125"/>
      <c r="IV355" s="125"/>
    </row>
    <row r="356" spans="1:256" s="125" customFormat="1">
      <c r="A356" s="80">
        <v>3</v>
      </c>
      <c r="B356" s="83">
        <v>43068</v>
      </c>
      <c r="C356" s="18"/>
      <c r="D356" s="19" t="s">
        <v>284</v>
      </c>
      <c r="E356" s="20" t="s">
        <v>285</v>
      </c>
      <c r="F356" s="62" t="s">
        <v>502</v>
      </c>
      <c r="G356" s="63">
        <v>1708</v>
      </c>
      <c r="H356" s="121">
        <v>1406000</v>
      </c>
      <c r="I356" s="24">
        <v>1339048</v>
      </c>
      <c r="J356" s="24"/>
      <c r="K356" s="24">
        <f t="shared" si="31"/>
        <v>1339048</v>
      </c>
      <c r="L356" s="123">
        <v>1</v>
      </c>
      <c r="M356" s="24">
        <f t="shared" si="32"/>
        <v>1339048</v>
      </c>
      <c r="N356" s="124">
        <f t="shared" si="33"/>
        <v>0</v>
      </c>
      <c r="O356" s="107" t="s">
        <v>499</v>
      </c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130"/>
      <c r="AB356" s="130"/>
      <c r="AC356" s="130"/>
      <c r="AD356" s="130"/>
      <c r="AE356" s="130"/>
      <c r="AF356" s="130"/>
      <c r="AG356" s="130"/>
      <c r="AH356" s="130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130"/>
      <c r="AZ356" s="130"/>
      <c r="BA356" s="130"/>
      <c r="BB356" s="130"/>
      <c r="BC356" s="130"/>
      <c r="BD356" s="130"/>
      <c r="BE356" s="130"/>
      <c r="BF356" s="130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130"/>
      <c r="BX356" s="130"/>
      <c r="BY356" s="130"/>
      <c r="BZ356" s="130"/>
      <c r="CA356" s="130"/>
      <c r="CB356" s="130"/>
      <c r="CC356" s="130"/>
      <c r="CD356" s="130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130"/>
      <c r="CV356" s="130"/>
      <c r="CW356" s="130"/>
      <c r="CX356" s="130"/>
      <c r="CY356" s="130"/>
      <c r="CZ356" s="130"/>
      <c r="DA356" s="130"/>
      <c r="DB356" s="130"/>
      <c r="DC356" s="3"/>
      <c r="DD356" s="3"/>
      <c r="DE356" s="3"/>
      <c r="DF356" s="3"/>
      <c r="DG356" s="3"/>
      <c r="DH356" s="3"/>
      <c r="DI356" s="3"/>
      <c r="DJ356" s="3"/>
      <c r="DK356" s="3"/>
      <c r="DL356" s="3"/>
      <c r="DM356" s="3"/>
      <c r="DN356" s="3"/>
      <c r="DO356" s="3"/>
      <c r="DP356" s="3"/>
      <c r="DQ356" s="3"/>
      <c r="DR356" s="3"/>
      <c r="DS356" s="130"/>
      <c r="DT356" s="130"/>
      <c r="DU356" s="130"/>
      <c r="DV356" s="130"/>
      <c r="DW356" s="130"/>
      <c r="DX356" s="130"/>
      <c r="DY356" s="130"/>
      <c r="DZ356" s="130"/>
      <c r="EA356" s="3"/>
      <c r="EB356" s="3"/>
      <c r="EC356" s="3"/>
      <c r="ED356" s="3"/>
      <c r="EE356" s="3"/>
      <c r="EF356" s="3"/>
      <c r="EG356" s="3"/>
      <c r="EH356" s="3"/>
      <c r="EI356" s="3"/>
      <c r="EJ356" s="3"/>
      <c r="EK356" s="3"/>
      <c r="EL356" s="3"/>
      <c r="EM356" s="3"/>
      <c r="EN356" s="3"/>
      <c r="EO356" s="3"/>
      <c r="EP356" s="3"/>
      <c r="EQ356" s="130"/>
      <c r="ER356" s="130"/>
      <c r="ES356" s="130"/>
      <c r="ET356" s="130"/>
      <c r="EU356" s="130"/>
      <c r="EV356" s="130"/>
      <c r="EW356" s="130"/>
      <c r="EX356" s="130"/>
      <c r="EY356" s="3"/>
      <c r="EZ356" s="3"/>
      <c r="FA356" s="3"/>
      <c r="FB356" s="3"/>
      <c r="FC356" s="3"/>
      <c r="FD356" s="3"/>
      <c r="FE356" s="3"/>
      <c r="FF356" s="3"/>
      <c r="FG356" s="3"/>
      <c r="FH356" s="3"/>
      <c r="FI356" s="3"/>
      <c r="FJ356" s="3"/>
      <c r="FK356" s="3"/>
      <c r="FL356" s="3"/>
      <c r="FM356" s="3"/>
      <c r="FN356" s="3"/>
      <c r="FO356" s="130"/>
      <c r="FP356" s="130"/>
      <c r="FQ356" s="130"/>
      <c r="FR356" s="130"/>
      <c r="FS356" s="130"/>
      <c r="FT356" s="130"/>
      <c r="FU356" s="130"/>
      <c r="FV356" s="130"/>
      <c r="FW356" s="3"/>
      <c r="FX356" s="3"/>
      <c r="FY356" s="3"/>
      <c r="FZ356" s="3"/>
      <c r="GA356" s="3"/>
      <c r="GB356" s="3"/>
      <c r="GC356" s="3"/>
      <c r="GD356" s="3"/>
      <c r="GE356" s="3"/>
      <c r="GF356" s="3"/>
      <c r="GG356" s="3"/>
      <c r="GH356" s="3"/>
      <c r="GI356" s="3"/>
      <c r="GJ356" s="3"/>
      <c r="GK356" s="3"/>
      <c r="GL356" s="3"/>
      <c r="GM356" s="130"/>
      <c r="GN356" s="130"/>
      <c r="GO356" s="130"/>
      <c r="GP356" s="130"/>
      <c r="GQ356" s="130"/>
      <c r="GR356" s="130"/>
      <c r="GS356" s="130"/>
      <c r="GT356" s="130"/>
      <c r="GU356" s="3"/>
      <c r="GV356" s="3"/>
      <c r="GW356" s="3"/>
      <c r="GX356" s="3"/>
      <c r="GY356" s="3"/>
      <c r="GZ356" s="3"/>
      <c r="HA356" s="3"/>
      <c r="HB356" s="3"/>
      <c r="HC356" s="3"/>
      <c r="HD356" s="3"/>
      <c r="HE356" s="3"/>
      <c r="HF356" s="3"/>
      <c r="HG356" s="3"/>
      <c r="HH356" s="3"/>
      <c r="HI356" s="3"/>
      <c r="HJ356" s="3"/>
      <c r="HK356" s="130"/>
      <c r="HL356" s="130"/>
      <c r="HM356" s="130"/>
      <c r="HN356" s="130"/>
      <c r="HO356" s="130"/>
      <c r="HP356" s="130"/>
      <c r="HQ356" s="130"/>
      <c r="HR356" s="130"/>
      <c r="HS356" s="3"/>
      <c r="HT356" s="3"/>
      <c r="HU356" s="3"/>
      <c r="HV356" s="3"/>
      <c r="HW356" s="3"/>
      <c r="HX356" s="3"/>
      <c r="HY356" s="3"/>
      <c r="HZ356" s="3"/>
      <c r="IA356" s="3"/>
      <c r="IB356" s="3"/>
      <c r="IC356" s="3"/>
      <c r="ID356" s="3"/>
      <c r="IE356" s="3"/>
      <c r="IF356" s="3"/>
      <c r="IG356" s="3"/>
      <c r="IH356" s="3"/>
      <c r="II356" s="130"/>
      <c r="IJ356" s="130"/>
      <c r="IK356" s="130"/>
      <c r="IL356" s="130"/>
      <c r="IM356" s="130"/>
      <c r="IN356" s="130"/>
      <c r="IO356" s="130"/>
      <c r="IP356" s="130"/>
      <c r="IQ356" s="3"/>
      <c r="IR356" s="3"/>
      <c r="IS356" s="3"/>
      <c r="IT356" s="3"/>
      <c r="IU356" s="3"/>
      <c r="IV356" s="3"/>
    </row>
    <row r="357" spans="1:256" s="3" customFormat="1">
      <c r="A357" s="80">
        <v>4</v>
      </c>
      <c r="B357" s="56">
        <v>43084</v>
      </c>
      <c r="C357" s="18"/>
      <c r="D357" s="19" t="s">
        <v>503</v>
      </c>
      <c r="E357" s="20" t="s">
        <v>285</v>
      </c>
      <c r="F357" s="62" t="s">
        <v>504</v>
      </c>
      <c r="G357" s="63">
        <v>1709</v>
      </c>
      <c r="H357" s="121">
        <v>1406000</v>
      </c>
      <c r="I357" s="24"/>
      <c r="J357" s="24">
        <f>SUM(H357)/1.05</f>
        <v>1339047.6190476189</v>
      </c>
      <c r="K357" s="24">
        <f t="shared" si="31"/>
        <v>1339047.6190476189</v>
      </c>
      <c r="L357" s="123">
        <v>1</v>
      </c>
      <c r="M357" s="24">
        <f t="shared" si="32"/>
        <v>1339047.6190476189</v>
      </c>
      <c r="N357" s="124">
        <f t="shared" si="33"/>
        <v>0</v>
      </c>
      <c r="O357" s="107" t="s">
        <v>499</v>
      </c>
      <c r="Q357" s="140"/>
      <c r="AA357" s="130"/>
      <c r="AB357" s="130"/>
      <c r="AC357" s="130"/>
      <c r="AD357" s="130"/>
      <c r="AE357" s="130"/>
      <c r="AF357" s="130"/>
      <c r="AG357" s="130"/>
      <c r="AH357" s="130"/>
      <c r="AY357" s="130"/>
      <c r="AZ357" s="130"/>
      <c r="BA357" s="130"/>
      <c r="BB357" s="130"/>
      <c r="BC357" s="130"/>
      <c r="BD357" s="130"/>
      <c r="BE357" s="130"/>
      <c r="BF357" s="130"/>
      <c r="BW357" s="130"/>
      <c r="BX357" s="130"/>
      <c r="BY357" s="130"/>
      <c r="BZ357" s="130"/>
      <c r="CA357" s="130"/>
      <c r="CB357" s="130"/>
      <c r="CC357" s="130"/>
      <c r="CD357" s="130"/>
      <c r="CU357" s="130"/>
      <c r="CV357" s="130"/>
      <c r="CW357" s="130"/>
      <c r="CX357" s="130"/>
      <c r="CY357" s="130"/>
      <c r="CZ357" s="130"/>
      <c r="DA357" s="130"/>
      <c r="DB357" s="130"/>
      <c r="DS357" s="130"/>
      <c r="DT357" s="130"/>
      <c r="DU357" s="130"/>
      <c r="DV357" s="130"/>
      <c r="DW357" s="130"/>
      <c r="DX357" s="130"/>
      <c r="DY357" s="130"/>
      <c r="DZ357" s="130"/>
      <c r="EQ357" s="130"/>
      <c r="ER357" s="130"/>
      <c r="ES357" s="130"/>
      <c r="ET357" s="130"/>
      <c r="EU357" s="130"/>
      <c r="EV357" s="130"/>
      <c r="EW357" s="130"/>
      <c r="EX357" s="130"/>
      <c r="FO357" s="130"/>
      <c r="FP357" s="130"/>
      <c r="FQ357" s="130"/>
      <c r="FR357" s="130"/>
      <c r="FS357" s="130"/>
      <c r="FT357" s="130"/>
      <c r="FU357" s="130"/>
      <c r="FV357" s="130"/>
      <c r="GM357" s="130"/>
      <c r="GN357" s="130"/>
      <c r="GO357" s="130"/>
      <c r="GP357" s="130"/>
      <c r="GQ357" s="130"/>
      <c r="GR357" s="130"/>
      <c r="GS357" s="130"/>
      <c r="GT357" s="130"/>
      <c r="HK357" s="130"/>
      <c r="HL357" s="130"/>
      <c r="HM357" s="130"/>
      <c r="HN357" s="130"/>
      <c r="HO357" s="130"/>
      <c r="HP357" s="130"/>
      <c r="HQ357" s="130"/>
      <c r="HR357" s="130"/>
      <c r="II357" s="130"/>
      <c r="IJ357" s="130"/>
      <c r="IK357" s="130"/>
      <c r="IL357" s="130"/>
      <c r="IM357" s="130"/>
      <c r="IN357" s="130"/>
      <c r="IO357" s="130"/>
      <c r="IP357" s="130"/>
    </row>
    <row r="358" spans="1:256" s="3" customFormat="1">
      <c r="A358" s="80">
        <v>5</v>
      </c>
      <c r="B358" s="56">
        <v>43062</v>
      </c>
      <c r="C358" s="18"/>
      <c r="D358" s="19" t="s">
        <v>503</v>
      </c>
      <c r="E358" s="20" t="s">
        <v>285</v>
      </c>
      <c r="F358" s="82" t="s">
        <v>505</v>
      </c>
      <c r="G358" s="58">
        <v>1709</v>
      </c>
      <c r="H358" s="121">
        <v>1406000</v>
      </c>
      <c r="I358" s="24">
        <v>1339048</v>
      </c>
      <c r="J358" s="24"/>
      <c r="K358" s="24">
        <f t="shared" si="31"/>
        <v>1339048</v>
      </c>
      <c r="L358" s="123">
        <v>1</v>
      </c>
      <c r="M358" s="24">
        <f t="shared" si="32"/>
        <v>1339048</v>
      </c>
      <c r="N358" s="124">
        <f t="shared" si="33"/>
        <v>0</v>
      </c>
      <c r="O358" s="107" t="s">
        <v>499</v>
      </c>
      <c r="Q358" s="140"/>
      <c r="AA358" s="130"/>
      <c r="AB358" s="130"/>
      <c r="AC358" s="130"/>
      <c r="AD358" s="130"/>
      <c r="AE358" s="130"/>
      <c r="AF358" s="167"/>
      <c r="AG358" s="167"/>
      <c r="AH358" s="167"/>
      <c r="AI358" s="125"/>
      <c r="AJ358" s="125"/>
      <c r="AK358" s="125"/>
      <c r="AL358" s="125"/>
      <c r="AM358" s="125"/>
      <c r="AN358" s="125"/>
      <c r="AO358" s="125"/>
      <c r="AP358" s="125"/>
      <c r="AQ358" s="125"/>
      <c r="AR358" s="125"/>
      <c r="AS358" s="125"/>
      <c r="AT358" s="125"/>
      <c r="AU358" s="125"/>
      <c r="AV358" s="125"/>
      <c r="AW358" s="125"/>
      <c r="AX358" s="125"/>
      <c r="AY358" s="167"/>
      <c r="AZ358" s="167"/>
      <c r="BA358" s="167"/>
      <c r="BB358" s="167"/>
      <c r="BC358" s="167"/>
      <c r="BD358" s="167"/>
      <c r="BE358" s="167"/>
      <c r="BF358" s="167"/>
      <c r="BG358" s="125"/>
      <c r="BH358" s="125"/>
      <c r="BI358" s="125"/>
      <c r="BJ358" s="125"/>
      <c r="BK358" s="125"/>
      <c r="BL358" s="125"/>
      <c r="BM358" s="125"/>
      <c r="BN358" s="125"/>
      <c r="BO358" s="125"/>
      <c r="BP358" s="125"/>
      <c r="BQ358" s="125"/>
      <c r="BR358" s="125"/>
      <c r="BS358" s="125"/>
      <c r="BT358" s="125"/>
      <c r="BU358" s="125"/>
      <c r="BV358" s="125"/>
      <c r="BW358" s="167"/>
      <c r="BX358" s="167"/>
      <c r="BY358" s="167"/>
      <c r="BZ358" s="167"/>
      <c r="CA358" s="167"/>
      <c r="CB358" s="167"/>
      <c r="CC358" s="167"/>
      <c r="CD358" s="167"/>
      <c r="CE358" s="125"/>
      <c r="CF358" s="125"/>
      <c r="CG358" s="125"/>
      <c r="CH358" s="125"/>
      <c r="CI358" s="125"/>
      <c r="CJ358" s="125"/>
      <c r="CK358" s="125"/>
      <c r="CL358" s="125"/>
      <c r="CM358" s="125"/>
      <c r="CN358" s="125"/>
      <c r="CO358" s="125"/>
      <c r="CP358" s="125"/>
      <c r="CQ358" s="125"/>
      <c r="CR358" s="125"/>
      <c r="CS358" s="125"/>
      <c r="CT358" s="125"/>
      <c r="CU358" s="167"/>
      <c r="CV358" s="167"/>
      <c r="CW358" s="167"/>
      <c r="CX358" s="167"/>
      <c r="CY358" s="167"/>
      <c r="CZ358" s="167"/>
      <c r="DA358" s="167"/>
      <c r="DB358" s="167"/>
      <c r="DC358" s="125"/>
      <c r="DD358" s="125"/>
      <c r="DE358" s="125"/>
      <c r="DF358" s="125"/>
      <c r="DG358" s="125"/>
      <c r="DH358" s="125"/>
      <c r="DI358" s="125"/>
      <c r="DJ358" s="125"/>
      <c r="DK358" s="125"/>
      <c r="DL358" s="125"/>
      <c r="DM358" s="125"/>
      <c r="DN358" s="125"/>
      <c r="DO358" s="125"/>
      <c r="DP358" s="125"/>
      <c r="DQ358" s="125"/>
      <c r="DR358" s="125"/>
      <c r="DS358" s="167"/>
      <c r="DT358" s="167"/>
      <c r="DU358" s="167"/>
      <c r="DV358" s="167"/>
      <c r="DW358" s="167"/>
      <c r="DX358" s="167"/>
      <c r="DY358" s="167"/>
      <c r="DZ358" s="167"/>
      <c r="EA358" s="125"/>
      <c r="EB358" s="125"/>
      <c r="EC358" s="125"/>
      <c r="ED358" s="125"/>
      <c r="EE358" s="125"/>
      <c r="EF358" s="125"/>
      <c r="EG358" s="125"/>
      <c r="EH358" s="125"/>
      <c r="EI358" s="125"/>
      <c r="EJ358" s="125"/>
      <c r="EK358" s="125"/>
      <c r="EL358" s="125"/>
      <c r="EM358" s="125"/>
      <c r="EN358" s="125"/>
      <c r="EO358" s="125"/>
      <c r="EP358" s="125"/>
      <c r="EQ358" s="167"/>
      <c r="ER358" s="167"/>
      <c r="ES358" s="167"/>
      <c r="ET358" s="167"/>
      <c r="EU358" s="167"/>
      <c r="EV358" s="167"/>
      <c r="EW358" s="167"/>
      <c r="EX358" s="167"/>
      <c r="EY358" s="125"/>
      <c r="EZ358" s="125"/>
      <c r="FA358" s="125"/>
      <c r="FB358" s="125"/>
      <c r="FC358" s="125"/>
      <c r="FD358" s="125"/>
      <c r="FE358" s="125"/>
      <c r="FF358" s="125"/>
      <c r="FG358" s="125"/>
      <c r="FH358" s="125"/>
      <c r="FI358" s="125"/>
      <c r="FJ358" s="125"/>
      <c r="FK358" s="125"/>
      <c r="FL358" s="125"/>
      <c r="FM358" s="125"/>
      <c r="FN358" s="125"/>
      <c r="FO358" s="167"/>
      <c r="FP358" s="167"/>
      <c r="FQ358" s="167"/>
      <c r="FR358" s="167"/>
      <c r="FS358" s="167"/>
      <c r="FT358" s="167"/>
      <c r="FU358" s="167"/>
      <c r="FV358" s="167"/>
      <c r="FW358" s="125"/>
      <c r="FX358" s="125"/>
      <c r="FY358" s="125"/>
      <c r="FZ358" s="125"/>
      <c r="GA358" s="125"/>
      <c r="GB358" s="125"/>
      <c r="GC358" s="125"/>
      <c r="GD358" s="125"/>
      <c r="GE358" s="125"/>
      <c r="GF358" s="125"/>
      <c r="GG358" s="125"/>
      <c r="GH358" s="125"/>
      <c r="GI358" s="125"/>
      <c r="GJ358" s="125"/>
      <c r="GK358" s="125"/>
      <c r="GL358" s="125"/>
      <c r="GM358" s="167"/>
      <c r="GN358" s="167"/>
      <c r="GO358" s="167"/>
      <c r="GP358" s="167"/>
      <c r="GQ358" s="167"/>
      <c r="GR358" s="167"/>
      <c r="GS358" s="167"/>
      <c r="GT358" s="167"/>
      <c r="GU358" s="125"/>
      <c r="GV358" s="125"/>
      <c r="GW358" s="125"/>
      <c r="GX358" s="125"/>
      <c r="GY358" s="125"/>
      <c r="GZ358" s="125"/>
      <c r="HA358" s="125"/>
      <c r="HB358" s="125"/>
      <c r="HC358" s="125"/>
      <c r="HD358" s="125"/>
      <c r="HE358" s="125"/>
      <c r="HF358" s="125"/>
      <c r="HG358" s="125"/>
      <c r="HH358" s="125"/>
      <c r="HI358" s="125"/>
      <c r="HJ358" s="125"/>
      <c r="HK358" s="167"/>
      <c r="HL358" s="167"/>
      <c r="HM358" s="167"/>
      <c r="HN358" s="167"/>
      <c r="HO358" s="167"/>
      <c r="HP358" s="167"/>
      <c r="HQ358" s="167"/>
      <c r="HR358" s="167"/>
      <c r="HS358" s="125"/>
      <c r="HT358" s="125"/>
      <c r="HU358" s="125"/>
      <c r="HV358" s="125"/>
      <c r="HW358" s="125"/>
      <c r="HX358" s="125"/>
      <c r="HY358" s="125"/>
      <c r="HZ358" s="125"/>
      <c r="IA358" s="125"/>
      <c r="IB358" s="125"/>
      <c r="IC358" s="125"/>
      <c r="ID358" s="125"/>
      <c r="IE358" s="125"/>
      <c r="IF358" s="125"/>
      <c r="IG358" s="125"/>
      <c r="IH358" s="125"/>
      <c r="II358" s="167"/>
      <c r="IJ358" s="167"/>
      <c r="IK358" s="167"/>
      <c r="IL358" s="167"/>
      <c r="IM358" s="167"/>
      <c r="IN358" s="167"/>
      <c r="IO358" s="167"/>
      <c r="IP358" s="167"/>
      <c r="IQ358" s="125"/>
      <c r="IR358" s="125"/>
      <c r="IS358" s="125"/>
      <c r="IT358" s="125"/>
      <c r="IU358" s="125"/>
      <c r="IV358" s="125"/>
    </row>
    <row r="359" spans="1:256" s="3" customFormat="1">
      <c r="A359" s="80">
        <v>6</v>
      </c>
      <c r="B359" s="60">
        <v>43095</v>
      </c>
      <c r="C359" s="18" t="s">
        <v>311</v>
      </c>
      <c r="D359" s="19" t="s">
        <v>503</v>
      </c>
      <c r="E359" s="20" t="s">
        <v>506</v>
      </c>
      <c r="F359" s="168" t="s">
        <v>507</v>
      </c>
      <c r="G359" s="63">
        <v>1706</v>
      </c>
      <c r="H359" s="121">
        <v>1341900</v>
      </c>
      <c r="I359" s="24"/>
      <c r="J359" s="24">
        <f>SUM(H359)/1.05</f>
        <v>1278000</v>
      </c>
      <c r="K359" s="24">
        <f t="shared" si="31"/>
        <v>1278000</v>
      </c>
      <c r="L359" s="123">
        <v>1</v>
      </c>
      <c r="M359" s="24">
        <f t="shared" si="32"/>
        <v>1278000</v>
      </c>
      <c r="N359" s="124">
        <f t="shared" si="33"/>
        <v>0</v>
      </c>
      <c r="O359" s="107" t="s">
        <v>499</v>
      </c>
      <c r="Q359" s="140"/>
      <c r="AA359" s="130"/>
      <c r="AB359" s="130"/>
      <c r="AC359" s="130"/>
      <c r="AD359" s="130"/>
      <c r="AE359" s="130"/>
      <c r="AF359" s="130"/>
      <c r="AG359" s="130"/>
      <c r="AH359" s="130"/>
      <c r="AY359" s="130"/>
      <c r="AZ359" s="130"/>
      <c r="BA359" s="130"/>
      <c r="BB359" s="130"/>
      <c r="BC359" s="130"/>
      <c r="BD359" s="130"/>
      <c r="BE359" s="130"/>
      <c r="BF359" s="130"/>
      <c r="BW359" s="130"/>
      <c r="BX359" s="130"/>
      <c r="BY359" s="130"/>
      <c r="BZ359" s="130"/>
      <c r="CA359" s="130"/>
      <c r="CB359" s="130"/>
      <c r="CC359" s="130"/>
      <c r="CD359" s="130"/>
      <c r="CU359" s="130"/>
      <c r="CV359" s="130"/>
      <c r="CW359" s="130"/>
      <c r="CX359" s="130"/>
      <c r="CY359" s="130"/>
      <c r="CZ359" s="130"/>
      <c r="DA359" s="130"/>
      <c r="DB359" s="130"/>
      <c r="DS359" s="130"/>
      <c r="DT359" s="130"/>
      <c r="DU359" s="130"/>
      <c r="DV359" s="130"/>
      <c r="DW359" s="130"/>
      <c r="DX359" s="130"/>
      <c r="DY359" s="130"/>
      <c r="DZ359" s="130"/>
      <c r="EQ359" s="130"/>
      <c r="ER359" s="130"/>
      <c r="ES359" s="130"/>
      <c r="ET359" s="130"/>
      <c r="EU359" s="130"/>
      <c r="EV359" s="130"/>
      <c r="EW359" s="130"/>
      <c r="EX359" s="130"/>
      <c r="FO359" s="130"/>
      <c r="FP359" s="130"/>
      <c r="FQ359" s="130"/>
      <c r="FR359" s="130"/>
      <c r="FS359" s="130"/>
      <c r="FT359" s="130"/>
      <c r="FU359" s="130"/>
      <c r="FV359" s="130"/>
      <c r="GM359" s="130"/>
      <c r="GN359" s="130"/>
      <c r="GO359" s="130"/>
      <c r="GP359" s="130"/>
      <c r="GQ359" s="130"/>
      <c r="GR359" s="130"/>
      <c r="GS359" s="130"/>
      <c r="GT359" s="130"/>
      <c r="HK359" s="130"/>
      <c r="HL359" s="130"/>
      <c r="HM359" s="130"/>
      <c r="HN359" s="130"/>
      <c r="HO359" s="130"/>
      <c r="HP359" s="130"/>
      <c r="HQ359" s="130"/>
      <c r="HR359" s="130"/>
      <c r="II359" s="130"/>
      <c r="IJ359" s="130"/>
      <c r="IK359" s="130"/>
      <c r="IL359" s="130"/>
      <c r="IM359" s="130"/>
      <c r="IN359" s="130"/>
      <c r="IO359" s="130"/>
      <c r="IP359" s="130"/>
    </row>
    <row r="360" spans="1:256" s="3" customFormat="1">
      <c r="A360" s="80">
        <v>7</v>
      </c>
      <c r="B360" s="56">
        <v>43066</v>
      </c>
      <c r="C360" s="18"/>
      <c r="D360" s="19" t="s">
        <v>503</v>
      </c>
      <c r="E360" s="20" t="s">
        <v>291</v>
      </c>
      <c r="F360" s="82" t="s">
        <v>508</v>
      </c>
      <c r="G360" s="58">
        <v>1709</v>
      </c>
      <c r="H360" s="121">
        <v>1212600</v>
      </c>
      <c r="I360" s="24">
        <v>1154857</v>
      </c>
      <c r="J360" s="24"/>
      <c r="K360" s="24">
        <f t="shared" si="31"/>
        <v>1154857</v>
      </c>
      <c r="L360" s="123">
        <v>1</v>
      </c>
      <c r="M360" s="24">
        <f t="shared" si="32"/>
        <v>1154857</v>
      </c>
      <c r="N360" s="124">
        <f t="shared" si="33"/>
        <v>0</v>
      </c>
      <c r="O360" s="107" t="s">
        <v>499</v>
      </c>
      <c r="Q360" s="140"/>
      <c r="AA360" s="130"/>
      <c r="AB360" s="130"/>
      <c r="AC360" s="130"/>
      <c r="AD360" s="130"/>
      <c r="AE360" s="130"/>
      <c r="AF360" s="130"/>
      <c r="AG360" s="130"/>
      <c r="AH360" s="130"/>
      <c r="AY360" s="130"/>
      <c r="AZ360" s="130"/>
      <c r="BA360" s="130"/>
      <c r="BB360" s="130"/>
      <c r="BC360" s="130"/>
      <c r="BD360" s="130"/>
      <c r="BE360" s="130"/>
      <c r="BF360" s="130"/>
      <c r="BW360" s="130"/>
      <c r="BX360" s="130"/>
      <c r="BY360" s="130"/>
      <c r="BZ360" s="130"/>
      <c r="CA360" s="130"/>
      <c r="CB360" s="130"/>
      <c r="CC360" s="130"/>
      <c r="CD360" s="130"/>
      <c r="CU360" s="130"/>
      <c r="CV360" s="130"/>
      <c r="CW360" s="130"/>
      <c r="CX360" s="130"/>
      <c r="CY360" s="130"/>
      <c r="CZ360" s="130"/>
      <c r="DA360" s="130"/>
      <c r="DB360" s="130"/>
      <c r="DS360" s="130"/>
      <c r="DT360" s="130"/>
      <c r="DU360" s="130"/>
      <c r="DV360" s="130"/>
      <c r="DW360" s="130"/>
      <c r="DX360" s="130"/>
      <c r="DY360" s="130"/>
      <c r="DZ360" s="130"/>
      <c r="EQ360" s="130"/>
      <c r="ER360" s="130"/>
      <c r="ES360" s="130"/>
      <c r="ET360" s="130"/>
      <c r="EU360" s="130"/>
      <c r="EV360" s="130"/>
      <c r="EW360" s="130"/>
      <c r="EX360" s="130"/>
      <c r="FO360" s="130"/>
      <c r="FP360" s="130"/>
      <c r="FQ360" s="130"/>
      <c r="FR360" s="130"/>
      <c r="FS360" s="130"/>
      <c r="FT360" s="130"/>
      <c r="FU360" s="130"/>
      <c r="FV360" s="130"/>
      <c r="GM360" s="130"/>
      <c r="GN360" s="130"/>
      <c r="GO360" s="130"/>
      <c r="GP360" s="130"/>
      <c r="GQ360" s="130"/>
      <c r="GR360" s="130"/>
      <c r="GS360" s="130"/>
      <c r="GT360" s="130"/>
      <c r="HK360" s="130"/>
      <c r="HL360" s="130"/>
      <c r="HM360" s="130"/>
      <c r="HN360" s="130"/>
      <c r="HO360" s="130"/>
      <c r="HP360" s="130"/>
      <c r="HQ360" s="130"/>
      <c r="HR360" s="130"/>
      <c r="II360" s="130"/>
      <c r="IJ360" s="130"/>
      <c r="IK360" s="130"/>
      <c r="IL360" s="130"/>
      <c r="IM360" s="130"/>
      <c r="IN360" s="130"/>
      <c r="IO360" s="130"/>
      <c r="IP360" s="130"/>
    </row>
    <row r="361" spans="1:256" s="3" customFormat="1">
      <c r="A361" s="80">
        <v>8</v>
      </c>
      <c r="B361" s="56">
        <v>43088</v>
      </c>
      <c r="C361" s="18"/>
      <c r="D361" s="19" t="s">
        <v>503</v>
      </c>
      <c r="E361" s="20" t="s">
        <v>291</v>
      </c>
      <c r="F361" s="62" t="s">
        <v>509</v>
      </c>
      <c r="G361" s="63">
        <v>1709</v>
      </c>
      <c r="H361" s="121">
        <v>1212600</v>
      </c>
      <c r="I361" s="24"/>
      <c r="J361" s="24">
        <f>SUM(H361)/1.05</f>
        <v>1154857.1428571427</v>
      </c>
      <c r="K361" s="24">
        <f t="shared" si="31"/>
        <v>1154857.1428571427</v>
      </c>
      <c r="L361" s="123">
        <v>1</v>
      </c>
      <c r="M361" s="24">
        <f t="shared" si="32"/>
        <v>1154857.1428571427</v>
      </c>
      <c r="N361" s="124">
        <f t="shared" si="33"/>
        <v>0</v>
      </c>
      <c r="O361" s="107" t="s">
        <v>499</v>
      </c>
      <c r="Y361" s="131"/>
      <c r="Z361" s="15"/>
      <c r="AA361" s="132"/>
      <c r="AB361" s="133"/>
      <c r="AC361" s="134"/>
      <c r="AD361" s="134"/>
      <c r="AE361" s="135"/>
      <c r="AF361" s="136"/>
      <c r="AG361" s="137"/>
      <c r="AH361" s="137"/>
      <c r="AJ361" s="138"/>
      <c r="AK361" s="2"/>
      <c r="AL361" s="139"/>
      <c r="AW361" s="131"/>
      <c r="AX361" s="15"/>
      <c r="AY361" s="132"/>
      <c r="AZ361" s="133"/>
      <c r="BA361" s="134"/>
      <c r="BB361" s="134"/>
      <c r="BC361" s="135"/>
      <c r="BD361" s="136"/>
      <c r="BE361" s="137"/>
      <c r="BF361" s="137"/>
      <c r="BH361" s="138"/>
      <c r="BI361" s="2"/>
      <c r="BJ361" s="139"/>
      <c r="BU361" s="131"/>
      <c r="BV361" s="15"/>
      <c r="BW361" s="132"/>
      <c r="BX361" s="133"/>
      <c r="BY361" s="134"/>
      <c r="BZ361" s="134"/>
      <c r="CA361" s="135"/>
      <c r="CB361" s="136"/>
      <c r="CC361" s="137"/>
      <c r="CD361" s="137"/>
      <c r="CF361" s="138"/>
      <c r="CG361" s="2"/>
      <c r="CH361" s="139"/>
      <c r="CS361" s="131"/>
      <c r="CT361" s="15"/>
      <c r="CU361" s="132"/>
      <c r="CV361" s="133"/>
      <c r="CW361" s="134"/>
      <c r="CX361" s="134"/>
      <c r="CY361" s="135"/>
      <c r="CZ361" s="136"/>
      <c r="DA361" s="137"/>
      <c r="DB361" s="137"/>
      <c r="DD361" s="138"/>
      <c r="DE361" s="2"/>
      <c r="DF361" s="139"/>
      <c r="DQ361" s="131"/>
      <c r="DR361" s="15"/>
      <c r="DS361" s="132"/>
      <c r="DT361" s="133"/>
      <c r="DU361" s="134"/>
      <c r="DV361" s="134"/>
      <c r="DW361" s="135"/>
      <c r="DX361" s="136"/>
      <c r="DY361" s="137"/>
      <c r="DZ361" s="137"/>
      <c r="EB361" s="138"/>
      <c r="EC361" s="2"/>
      <c r="ED361" s="139"/>
      <c r="EO361" s="131"/>
      <c r="EP361" s="15"/>
      <c r="EQ361" s="132"/>
      <c r="ER361" s="133"/>
      <c r="ES361" s="134"/>
      <c r="ET361" s="134"/>
      <c r="EU361" s="135"/>
      <c r="EV361" s="136"/>
      <c r="EW361" s="137"/>
      <c r="EX361" s="137"/>
      <c r="EZ361" s="138"/>
      <c r="FA361" s="2"/>
      <c r="FB361" s="139"/>
      <c r="FM361" s="131"/>
      <c r="FN361" s="15"/>
      <c r="FO361" s="132"/>
      <c r="FP361" s="133"/>
      <c r="FQ361" s="134"/>
      <c r="FR361" s="134"/>
      <c r="FS361" s="135"/>
      <c r="FT361" s="136"/>
      <c r="FU361" s="137"/>
      <c r="FV361" s="137"/>
      <c r="FX361" s="138"/>
      <c r="FY361" s="2"/>
      <c r="FZ361" s="139"/>
      <c r="GK361" s="131"/>
      <c r="GL361" s="15"/>
      <c r="GM361" s="132"/>
      <c r="GN361" s="133"/>
      <c r="GO361" s="134"/>
      <c r="GP361" s="134"/>
      <c r="GQ361" s="135"/>
      <c r="GR361" s="136"/>
      <c r="GS361" s="137"/>
      <c r="GT361" s="137"/>
      <c r="GV361" s="138"/>
      <c r="GW361" s="2"/>
      <c r="GX361" s="139"/>
      <c r="HI361" s="131"/>
      <c r="HJ361" s="15"/>
      <c r="HK361" s="132"/>
      <c r="HL361" s="133"/>
      <c r="HM361" s="134"/>
      <c r="HN361" s="134"/>
      <c r="HO361" s="135"/>
      <c r="HP361" s="136"/>
      <c r="HQ361" s="137"/>
      <c r="HR361" s="137"/>
      <c r="HT361" s="138"/>
      <c r="HU361" s="2"/>
      <c r="HV361" s="139"/>
      <c r="IG361" s="131"/>
      <c r="IH361" s="15"/>
      <c r="II361" s="132"/>
      <c r="IJ361" s="133"/>
      <c r="IK361" s="134"/>
      <c r="IL361" s="134"/>
      <c r="IM361" s="135"/>
      <c r="IN361" s="136"/>
      <c r="IO361" s="137"/>
      <c r="IP361" s="137"/>
      <c r="IR361" s="138"/>
      <c r="IS361" s="2"/>
      <c r="IT361" s="139"/>
    </row>
    <row r="362" spans="1:256" s="3" customFormat="1">
      <c r="A362" s="80">
        <v>9</v>
      </c>
      <c r="B362" s="56">
        <v>43088</v>
      </c>
      <c r="C362" s="18"/>
      <c r="D362" s="19" t="s">
        <v>503</v>
      </c>
      <c r="E362" s="20" t="s">
        <v>295</v>
      </c>
      <c r="F362" s="82" t="s">
        <v>510</v>
      </c>
      <c r="G362" s="58">
        <v>1709</v>
      </c>
      <c r="H362" s="121">
        <f>50000+1567500</f>
        <v>1617500</v>
      </c>
      <c r="I362" s="24"/>
      <c r="J362" s="24">
        <f>SUM(H362)/1.05</f>
        <v>1540476.1904761903</v>
      </c>
      <c r="K362" s="24">
        <f t="shared" si="31"/>
        <v>1540476.1904761903</v>
      </c>
      <c r="L362" s="123">
        <v>1</v>
      </c>
      <c r="M362" s="24">
        <f t="shared" si="32"/>
        <v>1540476.1904761903</v>
      </c>
      <c r="N362" s="124">
        <f t="shared" si="33"/>
        <v>0</v>
      </c>
      <c r="O362" s="107" t="s">
        <v>511</v>
      </c>
      <c r="Q362" s="140"/>
      <c r="AA362" s="130"/>
      <c r="AB362" s="130"/>
      <c r="AC362" s="130"/>
      <c r="AD362" s="130"/>
      <c r="AE362" s="130"/>
      <c r="AF362" s="130"/>
      <c r="AG362" s="130"/>
      <c r="AH362" s="130"/>
      <c r="AY362" s="130"/>
      <c r="AZ362" s="130"/>
      <c r="BA362" s="130"/>
      <c r="BB362" s="130"/>
      <c r="BC362" s="130"/>
      <c r="BD362" s="130"/>
      <c r="BE362" s="130"/>
      <c r="BF362" s="130"/>
      <c r="BW362" s="130"/>
      <c r="BX362" s="130"/>
      <c r="BY362" s="130"/>
      <c r="BZ362" s="130"/>
      <c r="CA362" s="130"/>
      <c r="CB362" s="130"/>
      <c r="CC362" s="130"/>
      <c r="CD362" s="130"/>
      <c r="CU362" s="130"/>
      <c r="CV362" s="130"/>
      <c r="CW362" s="130"/>
      <c r="CX362" s="130"/>
      <c r="CY362" s="130"/>
      <c r="CZ362" s="130"/>
      <c r="DA362" s="130"/>
      <c r="DB362" s="130"/>
      <c r="DS362" s="130"/>
      <c r="DT362" s="130"/>
      <c r="DU362" s="130"/>
      <c r="DV362" s="130"/>
      <c r="DW362" s="130"/>
      <c r="DX362" s="130"/>
      <c r="DY362" s="130"/>
      <c r="DZ362" s="130"/>
      <c r="EQ362" s="130"/>
      <c r="ER362" s="130"/>
      <c r="ES362" s="130"/>
      <c r="ET362" s="130"/>
      <c r="EU362" s="130"/>
      <c r="EV362" s="130"/>
      <c r="EW362" s="130"/>
      <c r="EX362" s="130"/>
      <c r="FO362" s="130"/>
      <c r="FP362" s="130"/>
      <c r="FQ362" s="130"/>
      <c r="FR362" s="130"/>
      <c r="FS362" s="130"/>
      <c r="FT362" s="130"/>
      <c r="FU362" s="130"/>
      <c r="FV362" s="130"/>
      <c r="GM362" s="130"/>
      <c r="GN362" s="130"/>
      <c r="GO362" s="130"/>
      <c r="GP362" s="130"/>
      <c r="GQ362" s="130"/>
      <c r="GR362" s="130"/>
      <c r="GS362" s="130"/>
      <c r="GT362" s="130"/>
      <c r="HK362" s="130"/>
      <c r="HL362" s="130"/>
      <c r="HM362" s="130"/>
      <c r="HN362" s="130"/>
      <c r="HO362" s="130"/>
      <c r="HP362" s="130"/>
      <c r="HQ362" s="130"/>
      <c r="HR362" s="130"/>
      <c r="II362" s="130"/>
      <c r="IJ362" s="130"/>
      <c r="IK362" s="130"/>
      <c r="IL362" s="130"/>
      <c r="IM362" s="130"/>
      <c r="IN362" s="130"/>
      <c r="IO362" s="130"/>
      <c r="IP362" s="130"/>
    </row>
    <row r="363" spans="1:256" s="3" customFormat="1">
      <c r="A363" s="80">
        <v>10</v>
      </c>
      <c r="B363" s="83">
        <v>43083</v>
      </c>
      <c r="C363" s="18"/>
      <c r="D363" s="19" t="s">
        <v>512</v>
      </c>
      <c r="E363" s="20" t="s">
        <v>380</v>
      </c>
      <c r="F363" s="62" t="s">
        <v>513</v>
      </c>
      <c r="G363" s="63">
        <v>1708</v>
      </c>
      <c r="H363" s="121">
        <v>1530000</v>
      </c>
      <c r="I363" s="24"/>
      <c r="J363" s="24">
        <f>SUM(H363)/1.05</f>
        <v>1457142.857142857</v>
      </c>
      <c r="K363" s="24">
        <f t="shared" si="31"/>
        <v>1457142.857142857</v>
      </c>
      <c r="L363" s="26">
        <v>1</v>
      </c>
      <c r="M363" s="24">
        <f t="shared" si="32"/>
        <v>1457142.857142857</v>
      </c>
      <c r="N363" s="124">
        <f t="shared" si="33"/>
        <v>0</v>
      </c>
      <c r="O363" s="107" t="s">
        <v>511</v>
      </c>
      <c r="Q363" s="140"/>
      <c r="AA363" s="130"/>
      <c r="AB363" s="130"/>
      <c r="AC363" s="130"/>
      <c r="AD363" s="130"/>
      <c r="AE363" s="130"/>
      <c r="AF363" s="167"/>
      <c r="AG363" s="167"/>
      <c r="AH363" s="167"/>
      <c r="AI363" s="125"/>
      <c r="AJ363" s="125"/>
      <c r="AK363" s="125"/>
      <c r="AL363" s="125"/>
      <c r="AM363" s="125"/>
      <c r="AN363" s="125"/>
      <c r="AO363" s="125"/>
      <c r="AP363" s="125"/>
      <c r="AQ363" s="125"/>
      <c r="AR363" s="125"/>
      <c r="AS363" s="125"/>
      <c r="AT363" s="125"/>
      <c r="AU363" s="125"/>
      <c r="AV363" s="125"/>
      <c r="AW363" s="125"/>
      <c r="AX363" s="125"/>
      <c r="AY363" s="167"/>
      <c r="AZ363" s="167"/>
      <c r="BA363" s="167"/>
      <c r="BB363" s="167"/>
      <c r="BC363" s="167"/>
      <c r="BD363" s="167"/>
      <c r="BE363" s="167"/>
      <c r="BF363" s="167"/>
      <c r="BG363" s="125"/>
      <c r="BH363" s="125"/>
      <c r="BI363" s="125"/>
      <c r="BJ363" s="125"/>
      <c r="BK363" s="125"/>
      <c r="BL363" s="125"/>
      <c r="BM363" s="125"/>
      <c r="BN363" s="125"/>
      <c r="BO363" s="125"/>
      <c r="BP363" s="125"/>
      <c r="BQ363" s="125"/>
      <c r="BR363" s="125"/>
      <c r="BS363" s="125"/>
      <c r="BT363" s="125"/>
      <c r="BU363" s="125"/>
      <c r="BV363" s="125"/>
      <c r="BW363" s="167"/>
      <c r="BX363" s="167"/>
      <c r="BY363" s="167"/>
      <c r="BZ363" s="167"/>
      <c r="CA363" s="167"/>
      <c r="CB363" s="167"/>
      <c r="CC363" s="167"/>
      <c r="CD363" s="167"/>
      <c r="CE363" s="125"/>
      <c r="CF363" s="125"/>
      <c r="CG363" s="125"/>
      <c r="CH363" s="125"/>
      <c r="CI363" s="125"/>
      <c r="CJ363" s="125"/>
      <c r="CK363" s="125"/>
      <c r="CL363" s="125"/>
      <c r="CM363" s="125"/>
      <c r="CN363" s="125"/>
      <c r="CO363" s="125"/>
      <c r="CP363" s="125"/>
      <c r="CQ363" s="125"/>
      <c r="CR363" s="125"/>
      <c r="CS363" s="125"/>
      <c r="CT363" s="125"/>
      <c r="CU363" s="167"/>
      <c r="CV363" s="167"/>
      <c r="CW363" s="167"/>
      <c r="CX363" s="167"/>
      <c r="CY363" s="167"/>
      <c r="CZ363" s="167"/>
      <c r="DA363" s="167"/>
      <c r="DB363" s="167"/>
      <c r="DC363" s="125"/>
      <c r="DD363" s="125"/>
      <c r="DE363" s="125"/>
      <c r="DF363" s="125"/>
      <c r="DG363" s="125"/>
      <c r="DH363" s="125"/>
      <c r="DI363" s="125"/>
      <c r="DJ363" s="125"/>
      <c r="DK363" s="125"/>
      <c r="DL363" s="125"/>
      <c r="DM363" s="125"/>
      <c r="DN363" s="125"/>
      <c r="DO363" s="125"/>
      <c r="DP363" s="125"/>
      <c r="DQ363" s="125"/>
      <c r="DR363" s="125"/>
      <c r="DS363" s="167"/>
      <c r="DT363" s="167"/>
      <c r="DU363" s="167"/>
      <c r="DV363" s="167"/>
      <c r="DW363" s="167"/>
      <c r="DX363" s="167"/>
      <c r="DY363" s="167"/>
      <c r="DZ363" s="167"/>
      <c r="EA363" s="125"/>
      <c r="EB363" s="125"/>
      <c r="EC363" s="125"/>
      <c r="ED363" s="125"/>
      <c r="EE363" s="125"/>
      <c r="EF363" s="125"/>
      <c r="EG363" s="125"/>
      <c r="EH363" s="125"/>
      <c r="EI363" s="125"/>
      <c r="EJ363" s="125"/>
      <c r="EK363" s="125"/>
      <c r="EL363" s="125"/>
      <c r="EM363" s="125"/>
      <c r="EN363" s="125"/>
      <c r="EO363" s="125"/>
      <c r="EP363" s="125"/>
      <c r="EQ363" s="167"/>
      <c r="ER363" s="167"/>
      <c r="ES363" s="167"/>
      <c r="ET363" s="167"/>
      <c r="EU363" s="167"/>
      <c r="EV363" s="167"/>
      <c r="EW363" s="167"/>
      <c r="EX363" s="167"/>
      <c r="EY363" s="125"/>
      <c r="EZ363" s="125"/>
      <c r="FA363" s="125"/>
      <c r="FB363" s="125"/>
      <c r="FC363" s="125"/>
      <c r="FD363" s="125"/>
      <c r="FE363" s="125"/>
      <c r="FF363" s="125"/>
      <c r="FG363" s="125"/>
      <c r="FH363" s="125"/>
      <c r="FI363" s="125"/>
      <c r="FJ363" s="125"/>
      <c r="FK363" s="125"/>
      <c r="FL363" s="125"/>
      <c r="FM363" s="125"/>
      <c r="FN363" s="125"/>
      <c r="FO363" s="167"/>
      <c r="FP363" s="167"/>
      <c r="FQ363" s="167"/>
      <c r="FR363" s="167"/>
      <c r="FS363" s="167"/>
      <c r="FT363" s="167"/>
      <c r="FU363" s="167"/>
      <c r="FV363" s="167"/>
      <c r="FW363" s="125"/>
      <c r="FX363" s="125"/>
      <c r="FY363" s="125"/>
      <c r="FZ363" s="125"/>
      <c r="GA363" s="125"/>
      <c r="GB363" s="125"/>
      <c r="GC363" s="125"/>
      <c r="GD363" s="125"/>
      <c r="GE363" s="125"/>
      <c r="GF363" s="125"/>
      <c r="GG363" s="125"/>
      <c r="GH363" s="125"/>
      <c r="GI363" s="125"/>
      <c r="GJ363" s="125"/>
      <c r="GK363" s="125"/>
      <c r="GL363" s="125"/>
      <c r="GM363" s="167"/>
      <c r="GN363" s="167"/>
      <c r="GO363" s="167"/>
      <c r="GP363" s="167"/>
      <c r="GQ363" s="167"/>
      <c r="GR363" s="167"/>
      <c r="GS363" s="167"/>
      <c r="GT363" s="167"/>
      <c r="GU363" s="125"/>
      <c r="GV363" s="125"/>
      <c r="GW363" s="125"/>
      <c r="GX363" s="125"/>
      <c r="GY363" s="125"/>
      <c r="GZ363" s="125"/>
      <c r="HA363" s="125"/>
      <c r="HB363" s="125"/>
      <c r="HC363" s="125"/>
      <c r="HD363" s="125"/>
      <c r="HE363" s="125"/>
      <c r="HF363" s="125"/>
      <c r="HG363" s="125"/>
      <c r="HH363" s="125"/>
      <c r="HI363" s="125"/>
      <c r="HJ363" s="125"/>
      <c r="HK363" s="167"/>
      <c r="HL363" s="167"/>
      <c r="HM363" s="167"/>
      <c r="HN363" s="167"/>
      <c r="HO363" s="167"/>
      <c r="HP363" s="167"/>
      <c r="HQ363" s="167"/>
      <c r="HR363" s="167"/>
      <c r="HS363" s="125"/>
      <c r="HT363" s="125"/>
      <c r="HU363" s="125"/>
      <c r="HV363" s="125"/>
      <c r="HW363" s="125"/>
      <c r="HX363" s="125"/>
      <c r="HY363" s="125"/>
      <c r="HZ363" s="125"/>
      <c r="IA363" s="125"/>
      <c r="IB363" s="125"/>
      <c r="IC363" s="125"/>
      <c r="ID363" s="125"/>
      <c r="IE363" s="125"/>
      <c r="IF363" s="125"/>
      <c r="IG363" s="125"/>
      <c r="IH363" s="125"/>
      <c r="II363" s="167"/>
      <c r="IJ363" s="167"/>
      <c r="IK363" s="167"/>
      <c r="IL363" s="167"/>
      <c r="IM363" s="167"/>
      <c r="IN363" s="167"/>
      <c r="IO363" s="167"/>
      <c r="IP363" s="167"/>
      <c r="IQ363" s="125"/>
      <c r="IR363" s="125"/>
      <c r="IS363" s="125"/>
      <c r="IT363" s="125"/>
      <c r="IU363" s="125"/>
      <c r="IV363" s="125"/>
    </row>
    <row r="364" spans="1:256" s="3" customFormat="1">
      <c r="A364" s="80">
        <v>11</v>
      </c>
      <c r="B364" s="56">
        <v>43076</v>
      </c>
      <c r="C364" s="18" t="s">
        <v>514</v>
      </c>
      <c r="D364" s="19" t="s">
        <v>515</v>
      </c>
      <c r="E364" s="20" t="s">
        <v>516</v>
      </c>
      <c r="F364" s="168" t="s">
        <v>517</v>
      </c>
      <c r="G364" s="63">
        <v>1702</v>
      </c>
      <c r="H364" s="121">
        <v>1600000</v>
      </c>
      <c r="I364" s="24"/>
      <c r="J364" s="24">
        <f>SUM(H364)/1.05</f>
        <v>1523809.5238095238</v>
      </c>
      <c r="K364" s="24">
        <f t="shared" si="31"/>
        <v>1523809.5238095238</v>
      </c>
      <c r="L364" s="123">
        <v>1</v>
      </c>
      <c r="M364" s="24">
        <f t="shared" si="32"/>
        <v>1523809.5238095238</v>
      </c>
      <c r="N364" s="124">
        <f t="shared" si="33"/>
        <v>0</v>
      </c>
      <c r="O364" s="107" t="s">
        <v>511</v>
      </c>
      <c r="Y364" s="131"/>
      <c r="Z364" s="15"/>
      <c r="AA364" s="132"/>
      <c r="AB364" s="133"/>
      <c r="AC364" s="134"/>
      <c r="AD364" s="134"/>
      <c r="AE364" s="135"/>
      <c r="AF364" s="182"/>
      <c r="AG364" s="183"/>
      <c r="AH364" s="183"/>
      <c r="AI364" s="125"/>
      <c r="AJ364" s="184"/>
      <c r="AK364" s="185"/>
      <c r="AL364" s="186"/>
      <c r="AM364" s="125"/>
      <c r="AN364" s="125"/>
      <c r="AO364" s="125"/>
      <c r="AP364" s="125"/>
      <c r="AQ364" s="125"/>
      <c r="AR364" s="125"/>
      <c r="AS364" s="125"/>
      <c r="AT364" s="125"/>
      <c r="AU364" s="125"/>
      <c r="AV364" s="125"/>
      <c r="AW364" s="187"/>
      <c r="AX364" s="188"/>
      <c r="AY364" s="189"/>
      <c r="AZ364" s="190"/>
      <c r="BA364" s="191"/>
      <c r="BB364" s="191"/>
      <c r="BC364" s="192"/>
      <c r="BD364" s="182"/>
      <c r="BE364" s="183"/>
      <c r="BF364" s="183"/>
      <c r="BG364" s="125"/>
      <c r="BH364" s="184"/>
      <c r="BI364" s="185"/>
      <c r="BJ364" s="186"/>
      <c r="BK364" s="125"/>
      <c r="BL364" s="125"/>
      <c r="BM364" s="125"/>
      <c r="BN364" s="125"/>
      <c r="BO364" s="125"/>
      <c r="BP364" s="125"/>
      <c r="BQ364" s="125"/>
      <c r="BR364" s="125"/>
      <c r="BS364" s="125"/>
      <c r="BT364" s="125"/>
      <c r="BU364" s="187"/>
      <c r="BV364" s="188"/>
      <c r="BW364" s="189"/>
      <c r="BX364" s="190"/>
      <c r="BY364" s="191"/>
      <c r="BZ364" s="191"/>
      <c r="CA364" s="192"/>
      <c r="CB364" s="182"/>
      <c r="CC364" s="183"/>
      <c r="CD364" s="183"/>
      <c r="CE364" s="125"/>
      <c r="CF364" s="184"/>
      <c r="CG364" s="185"/>
      <c r="CH364" s="186"/>
      <c r="CI364" s="125"/>
      <c r="CJ364" s="125"/>
      <c r="CK364" s="125"/>
      <c r="CL364" s="125"/>
      <c r="CM364" s="125"/>
      <c r="CN364" s="125"/>
      <c r="CO364" s="125"/>
      <c r="CP364" s="125"/>
      <c r="CQ364" s="125"/>
      <c r="CR364" s="125"/>
      <c r="CS364" s="187"/>
      <c r="CT364" s="188"/>
      <c r="CU364" s="189"/>
      <c r="CV364" s="190"/>
      <c r="CW364" s="191"/>
      <c r="CX364" s="191"/>
      <c r="CY364" s="192"/>
      <c r="CZ364" s="182"/>
      <c r="DA364" s="183"/>
      <c r="DB364" s="183"/>
      <c r="DC364" s="125"/>
      <c r="DD364" s="184"/>
      <c r="DE364" s="185"/>
      <c r="DF364" s="186"/>
      <c r="DG364" s="125"/>
      <c r="DH364" s="125"/>
      <c r="DI364" s="125"/>
      <c r="DJ364" s="125"/>
      <c r="DK364" s="125"/>
      <c r="DL364" s="125"/>
      <c r="DM364" s="125"/>
      <c r="DN364" s="125"/>
      <c r="DO364" s="125"/>
      <c r="DP364" s="125"/>
      <c r="DQ364" s="187"/>
      <c r="DR364" s="188"/>
      <c r="DS364" s="189"/>
      <c r="DT364" s="190"/>
      <c r="DU364" s="191"/>
      <c r="DV364" s="191"/>
      <c r="DW364" s="192"/>
      <c r="DX364" s="182"/>
      <c r="DY364" s="183"/>
      <c r="DZ364" s="183"/>
      <c r="EA364" s="125"/>
      <c r="EB364" s="184"/>
      <c r="EC364" s="185"/>
      <c r="ED364" s="186"/>
      <c r="EE364" s="125"/>
      <c r="EF364" s="125"/>
      <c r="EG364" s="125"/>
      <c r="EH364" s="125"/>
      <c r="EI364" s="125"/>
      <c r="EJ364" s="125"/>
      <c r="EK364" s="125"/>
      <c r="EL364" s="125"/>
      <c r="EM364" s="125"/>
      <c r="EN364" s="125"/>
      <c r="EO364" s="187"/>
      <c r="EP364" s="188"/>
      <c r="EQ364" s="189"/>
      <c r="ER364" s="190"/>
      <c r="ES364" s="191"/>
      <c r="ET364" s="191"/>
      <c r="EU364" s="192"/>
      <c r="EV364" s="182"/>
      <c r="EW364" s="183"/>
      <c r="EX364" s="183"/>
      <c r="EY364" s="125"/>
      <c r="EZ364" s="184"/>
      <c r="FA364" s="185"/>
      <c r="FB364" s="186"/>
      <c r="FC364" s="125"/>
      <c r="FD364" s="125"/>
      <c r="FE364" s="125"/>
      <c r="FF364" s="125"/>
      <c r="FG364" s="125"/>
      <c r="FH364" s="125"/>
      <c r="FI364" s="125"/>
      <c r="FJ364" s="125"/>
      <c r="FK364" s="125"/>
      <c r="FL364" s="125"/>
      <c r="FM364" s="187"/>
      <c r="FN364" s="188"/>
      <c r="FO364" s="189"/>
      <c r="FP364" s="190"/>
      <c r="FQ364" s="191"/>
      <c r="FR364" s="191"/>
      <c r="FS364" s="192"/>
      <c r="FT364" s="182"/>
      <c r="FU364" s="183"/>
      <c r="FV364" s="183"/>
      <c r="FW364" s="125"/>
      <c r="FX364" s="184"/>
      <c r="FY364" s="185"/>
      <c r="FZ364" s="186"/>
      <c r="GA364" s="125"/>
      <c r="GB364" s="125"/>
      <c r="GC364" s="125"/>
      <c r="GD364" s="125"/>
      <c r="GE364" s="125"/>
      <c r="GF364" s="125"/>
      <c r="GG364" s="125"/>
      <c r="GH364" s="125"/>
      <c r="GI364" s="125"/>
      <c r="GJ364" s="125"/>
      <c r="GK364" s="187"/>
      <c r="GL364" s="188"/>
      <c r="GM364" s="189"/>
      <c r="GN364" s="190"/>
      <c r="GO364" s="191"/>
      <c r="GP364" s="191"/>
      <c r="GQ364" s="192"/>
      <c r="GR364" s="182"/>
      <c r="GS364" s="183"/>
      <c r="GT364" s="183"/>
      <c r="GU364" s="125"/>
      <c r="GV364" s="184"/>
      <c r="GW364" s="185"/>
      <c r="GX364" s="186"/>
      <c r="GY364" s="125"/>
      <c r="GZ364" s="125"/>
      <c r="HA364" s="125"/>
      <c r="HB364" s="125"/>
      <c r="HC364" s="125"/>
      <c r="HD364" s="125"/>
      <c r="HE364" s="125"/>
      <c r="HF364" s="125"/>
      <c r="HG364" s="125"/>
      <c r="HH364" s="125"/>
      <c r="HI364" s="187"/>
      <c r="HJ364" s="188"/>
      <c r="HK364" s="189"/>
      <c r="HL364" s="190"/>
      <c r="HM364" s="191"/>
      <c r="HN364" s="191"/>
      <c r="HO364" s="192"/>
      <c r="HP364" s="182"/>
      <c r="HQ364" s="183"/>
      <c r="HR364" s="183"/>
      <c r="HS364" s="125"/>
      <c r="HT364" s="184"/>
      <c r="HU364" s="185"/>
      <c r="HV364" s="186"/>
      <c r="HW364" s="125"/>
      <c r="HX364" s="125"/>
      <c r="HY364" s="125"/>
      <c r="HZ364" s="125"/>
      <c r="IA364" s="125"/>
      <c r="IB364" s="125"/>
      <c r="IC364" s="125"/>
      <c r="ID364" s="125"/>
      <c r="IE364" s="125"/>
      <c r="IF364" s="125"/>
      <c r="IG364" s="187"/>
      <c r="IH364" s="188"/>
      <c r="II364" s="189"/>
      <c r="IJ364" s="190"/>
      <c r="IK364" s="191"/>
      <c r="IL364" s="191"/>
      <c r="IM364" s="192"/>
      <c r="IN364" s="182"/>
      <c r="IO364" s="183"/>
      <c r="IP364" s="183"/>
      <c r="IQ364" s="125"/>
      <c r="IR364" s="184"/>
      <c r="IS364" s="185"/>
      <c r="IT364" s="186"/>
      <c r="IU364" s="125"/>
      <c r="IV364" s="125"/>
    </row>
    <row r="365" spans="1:256" s="3" customFormat="1">
      <c r="A365" s="80">
        <v>12</v>
      </c>
      <c r="B365" s="60">
        <v>43076</v>
      </c>
      <c r="C365" s="18" t="s">
        <v>514</v>
      </c>
      <c r="D365" s="19" t="s">
        <v>515</v>
      </c>
      <c r="E365" s="20" t="s">
        <v>518</v>
      </c>
      <c r="F365" s="62" t="s">
        <v>519</v>
      </c>
      <c r="G365" s="63">
        <v>1703</v>
      </c>
      <c r="H365" s="121">
        <v>1600000</v>
      </c>
      <c r="I365" s="24"/>
      <c r="J365" s="24">
        <f>SUM(H365)/1.05</f>
        <v>1523809.5238095238</v>
      </c>
      <c r="K365" s="24">
        <f t="shared" si="31"/>
        <v>1523809.5238095238</v>
      </c>
      <c r="L365" s="123">
        <v>1</v>
      </c>
      <c r="M365" s="24">
        <f t="shared" si="32"/>
        <v>1523809.5238095238</v>
      </c>
      <c r="N365" s="124">
        <f t="shared" si="33"/>
        <v>0</v>
      </c>
      <c r="O365" s="107" t="s">
        <v>511</v>
      </c>
      <c r="Q365" s="140"/>
      <c r="AA365" s="130"/>
      <c r="AB365" s="130"/>
      <c r="AC365" s="130"/>
      <c r="AD365" s="130"/>
      <c r="AE365" s="130"/>
      <c r="AF365" s="130"/>
      <c r="AG365" s="130"/>
      <c r="AH365" s="130"/>
      <c r="AY365" s="130"/>
      <c r="AZ365" s="130"/>
      <c r="BA365" s="130"/>
      <c r="BB365" s="130"/>
      <c r="BC365" s="130"/>
      <c r="BD365" s="130"/>
      <c r="BE365" s="130"/>
      <c r="BF365" s="130"/>
      <c r="BW365" s="130"/>
      <c r="BX365" s="130"/>
      <c r="BY365" s="130"/>
      <c r="BZ365" s="130"/>
      <c r="CA365" s="130"/>
      <c r="CB365" s="130"/>
      <c r="CC365" s="130"/>
      <c r="CD365" s="130"/>
      <c r="CU365" s="130"/>
      <c r="CV365" s="130"/>
      <c r="CW365" s="130"/>
      <c r="CX365" s="130"/>
      <c r="CY365" s="130"/>
      <c r="CZ365" s="130"/>
      <c r="DA365" s="130"/>
      <c r="DB365" s="130"/>
      <c r="DS365" s="130"/>
      <c r="DT365" s="130"/>
      <c r="DU365" s="130"/>
      <c r="DV365" s="130"/>
      <c r="DW365" s="130"/>
      <c r="DX365" s="130"/>
      <c r="DY365" s="130"/>
      <c r="DZ365" s="130"/>
      <c r="EQ365" s="130"/>
      <c r="ER365" s="130"/>
      <c r="ES365" s="130"/>
      <c r="ET365" s="130"/>
      <c r="EU365" s="130"/>
      <c r="EV365" s="130"/>
      <c r="EW365" s="130"/>
      <c r="EX365" s="130"/>
      <c r="FO365" s="130"/>
      <c r="FP365" s="130"/>
      <c r="FQ365" s="130"/>
      <c r="FR365" s="130"/>
      <c r="FS365" s="130"/>
      <c r="FT365" s="130"/>
      <c r="FU365" s="130"/>
      <c r="FV365" s="130"/>
      <c r="GM365" s="130"/>
      <c r="GN365" s="130"/>
      <c r="GO365" s="130"/>
      <c r="GP365" s="130"/>
      <c r="GQ365" s="130"/>
      <c r="GR365" s="130"/>
      <c r="GS365" s="130"/>
      <c r="GT365" s="130"/>
      <c r="HK365" s="130"/>
      <c r="HL365" s="130"/>
      <c r="HM365" s="130"/>
      <c r="HN365" s="130"/>
      <c r="HO365" s="130"/>
      <c r="HP365" s="130"/>
      <c r="HQ365" s="130"/>
      <c r="HR365" s="130"/>
      <c r="II365" s="130"/>
      <c r="IJ365" s="130"/>
      <c r="IK365" s="130"/>
      <c r="IL365" s="130"/>
      <c r="IM365" s="130"/>
      <c r="IN365" s="130"/>
      <c r="IO365" s="130"/>
      <c r="IP365" s="130"/>
    </row>
    <row r="366" spans="1:256" s="3" customFormat="1">
      <c r="A366" s="80">
        <v>13</v>
      </c>
      <c r="B366" s="17">
        <v>43066</v>
      </c>
      <c r="C366" s="18"/>
      <c r="D366" s="19" t="s">
        <v>512</v>
      </c>
      <c r="E366" s="20" t="s">
        <v>383</v>
      </c>
      <c r="F366" s="62" t="s">
        <v>520</v>
      </c>
      <c r="G366" s="63">
        <v>1707</v>
      </c>
      <c r="H366" s="121">
        <f>1410000-30000</f>
        <v>1380000</v>
      </c>
      <c r="I366" s="24">
        <v>1314286</v>
      </c>
      <c r="J366" s="24"/>
      <c r="K366" s="24">
        <f t="shared" si="31"/>
        <v>1314286</v>
      </c>
      <c r="L366" s="123">
        <v>1</v>
      </c>
      <c r="M366" s="24">
        <f t="shared" si="32"/>
        <v>1314286</v>
      </c>
      <c r="N366" s="124">
        <f t="shared" si="33"/>
        <v>0</v>
      </c>
      <c r="O366" s="107" t="s">
        <v>499</v>
      </c>
      <c r="AA366" s="130"/>
      <c r="AB366" s="130"/>
      <c r="AC366" s="130"/>
      <c r="AD366" s="130"/>
      <c r="AE366" s="130"/>
      <c r="AF366" s="130"/>
      <c r="AG366" s="130"/>
      <c r="AH366" s="130"/>
      <c r="AY366" s="130"/>
      <c r="AZ366" s="130"/>
      <c r="BA366" s="130"/>
      <c r="BB366" s="130"/>
      <c r="BC366" s="130"/>
      <c r="BD366" s="130"/>
      <c r="BE366" s="130"/>
      <c r="BF366" s="130"/>
      <c r="BW366" s="130"/>
      <c r="BX366" s="130"/>
      <c r="BY366" s="130"/>
      <c r="BZ366" s="130"/>
      <c r="CA366" s="130"/>
      <c r="CB366" s="130"/>
      <c r="CC366" s="130"/>
      <c r="CD366" s="130"/>
      <c r="CU366" s="130"/>
      <c r="CV366" s="130"/>
      <c r="CW366" s="130"/>
      <c r="CX366" s="130"/>
      <c r="CY366" s="130"/>
      <c r="CZ366" s="130"/>
      <c r="DA366" s="130"/>
      <c r="DB366" s="130"/>
      <c r="DS366" s="130"/>
      <c r="DT366" s="130"/>
      <c r="DU366" s="130"/>
      <c r="DV366" s="130"/>
      <c r="DW366" s="130"/>
      <c r="DX366" s="130"/>
      <c r="DY366" s="130"/>
      <c r="DZ366" s="130"/>
      <c r="EQ366" s="130"/>
      <c r="ER366" s="130"/>
      <c r="ES366" s="130"/>
      <c r="ET366" s="130"/>
      <c r="EU366" s="130"/>
      <c r="EV366" s="130"/>
      <c r="EW366" s="130"/>
      <c r="EX366" s="130"/>
      <c r="FO366" s="130"/>
      <c r="FP366" s="130"/>
      <c r="FQ366" s="130"/>
      <c r="FR366" s="130"/>
      <c r="FS366" s="130"/>
      <c r="FT366" s="130"/>
      <c r="FU366" s="130"/>
      <c r="FV366" s="130"/>
      <c r="GM366" s="130"/>
      <c r="GN366" s="130"/>
      <c r="GO366" s="130"/>
      <c r="GP366" s="130"/>
      <c r="GQ366" s="130"/>
      <c r="GR366" s="130"/>
      <c r="GS366" s="130"/>
      <c r="GT366" s="130"/>
      <c r="HK366" s="130"/>
      <c r="HL366" s="130"/>
      <c r="HM366" s="130"/>
      <c r="HN366" s="130"/>
      <c r="HO366" s="130"/>
      <c r="HP366" s="130"/>
      <c r="HQ366" s="130"/>
      <c r="HR366" s="130"/>
      <c r="II366" s="130"/>
      <c r="IJ366" s="130"/>
      <c r="IK366" s="130"/>
      <c r="IL366" s="130"/>
      <c r="IM366" s="130"/>
      <c r="IN366" s="130"/>
      <c r="IO366" s="130"/>
      <c r="IP366" s="130"/>
    </row>
    <row r="367" spans="1:256" s="3" customFormat="1">
      <c r="A367" s="80">
        <v>14</v>
      </c>
      <c r="B367" s="56">
        <v>43074</v>
      </c>
      <c r="C367" s="18"/>
      <c r="D367" s="19" t="s">
        <v>379</v>
      </c>
      <c r="E367" s="20" t="s">
        <v>383</v>
      </c>
      <c r="F367" s="82" t="s">
        <v>521</v>
      </c>
      <c r="G367" s="63">
        <v>1707</v>
      </c>
      <c r="H367" s="121">
        <f>1410000-30000</f>
        <v>1380000</v>
      </c>
      <c r="I367" s="24"/>
      <c r="J367" s="24">
        <f>SUM(H367)/1.05</f>
        <v>1314285.7142857143</v>
      </c>
      <c r="K367" s="199">
        <f t="shared" si="31"/>
        <v>1314285.7142857143</v>
      </c>
      <c r="L367" s="123">
        <v>1</v>
      </c>
      <c r="M367" s="24">
        <f t="shared" si="32"/>
        <v>1314285.7142857143</v>
      </c>
      <c r="N367" s="124">
        <f t="shared" si="33"/>
        <v>0</v>
      </c>
      <c r="O367" s="107" t="s">
        <v>499</v>
      </c>
      <c r="AA367" s="130"/>
      <c r="AB367" s="130"/>
      <c r="AC367" s="130"/>
      <c r="AD367" s="130"/>
      <c r="AE367" s="130"/>
      <c r="AF367" s="167"/>
      <c r="AG367" s="167"/>
      <c r="AH367" s="167"/>
      <c r="AI367" s="125"/>
      <c r="AJ367" s="125"/>
      <c r="AK367" s="125"/>
      <c r="AL367" s="125"/>
      <c r="AM367" s="125"/>
      <c r="AN367" s="125"/>
      <c r="AO367" s="125"/>
      <c r="AP367" s="125"/>
      <c r="AQ367" s="125"/>
      <c r="AR367" s="125"/>
      <c r="AS367" s="125"/>
      <c r="AT367" s="125"/>
      <c r="AU367" s="125"/>
      <c r="AV367" s="125"/>
      <c r="AW367" s="125"/>
      <c r="AX367" s="125"/>
      <c r="AY367" s="167"/>
      <c r="AZ367" s="167"/>
      <c r="BA367" s="167"/>
      <c r="BB367" s="167"/>
      <c r="BC367" s="167"/>
      <c r="BD367" s="167"/>
      <c r="BE367" s="167"/>
      <c r="BF367" s="167"/>
      <c r="BG367" s="125"/>
      <c r="BH367" s="125"/>
      <c r="BI367" s="125"/>
      <c r="BJ367" s="125"/>
      <c r="BK367" s="125"/>
      <c r="BL367" s="125"/>
      <c r="BM367" s="125"/>
      <c r="BN367" s="125"/>
      <c r="BO367" s="125"/>
      <c r="BP367" s="125"/>
      <c r="BQ367" s="125"/>
      <c r="BR367" s="125"/>
      <c r="BS367" s="125"/>
      <c r="BT367" s="125"/>
      <c r="BU367" s="125"/>
      <c r="BV367" s="125"/>
      <c r="BW367" s="167"/>
      <c r="BX367" s="167"/>
      <c r="BY367" s="167"/>
      <c r="BZ367" s="167"/>
      <c r="CA367" s="167"/>
      <c r="CB367" s="167"/>
      <c r="CC367" s="167"/>
      <c r="CD367" s="167"/>
      <c r="CE367" s="125"/>
      <c r="CF367" s="125"/>
      <c r="CG367" s="125"/>
      <c r="CH367" s="125"/>
      <c r="CI367" s="125"/>
      <c r="CJ367" s="125"/>
      <c r="CK367" s="125"/>
      <c r="CL367" s="125"/>
      <c r="CM367" s="125"/>
      <c r="CN367" s="125"/>
      <c r="CO367" s="125"/>
      <c r="CP367" s="125"/>
      <c r="CQ367" s="125"/>
      <c r="CR367" s="125"/>
      <c r="CS367" s="125"/>
      <c r="CT367" s="125"/>
      <c r="CU367" s="167"/>
      <c r="CV367" s="167"/>
      <c r="CW367" s="167"/>
      <c r="CX367" s="167"/>
      <c r="CY367" s="167"/>
      <c r="CZ367" s="167"/>
      <c r="DA367" s="167"/>
      <c r="DB367" s="167"/>
      <c r="DC367" s="125"/>
      <c r="DD367" s="125"/>
      <c r="DE367" s="125"/>
      <c r="DF367" s="125"/>
      <c r="DG367" s="125"/>
      <c r="DH367" s="125"/>
      <c r="DI367" s="125"/>
      <c r="DJ367" s="125"/>
      <c r="DK367" s="125"/>
      <c r="DL367" s="125"/>
      <c r="DM367" s="125"/>
      <c r="DN367" s="125"/>
      <c r="DO367" s="125"/>
      <c r="DP367" s="125"/>
      <c r="DQ367" s="125"/>
      <c r="DR367" s="125"/>
      <c r="DS367" s="167"/>
      <c r="DT367" s="167"/>
      <c r="DU367" s="167"/>
      <c r="DV367" s="167"/>
      <c r="DW367" s="167"/>
      <c r="DX367" s="167"/>
      <c r="DY367" s="167"/>
      <c r="DZ367" s="167"/>
      <c r="EA367" s="125"/>
      <c r="EB367" s="125"/>
      <c r="EC367" s="125"/>
      <c r="ED367" s="125"/>
      <c r="EE367" s="125"/>
      <c r="EF367" s="125"/>
      <c r="EG367" s="125"/>
      <c r="EH367" s="125"/>
      <c r="EI367" s="125"/>
      <c r="EJ367" s="125"/>
      <c r="EK367" s="125"/>
      <c r="EL367" s="125"/>
      <c r="EM367" s="125"/>
      <c r="EN367" s="125"/>
      <c r="EO367" s="125"/>
      <c r="EP367" s="125"/>
      <c r="EQ367" s="167"/>
      <c r="ER367" s="167"/>
      <c r="ES367" s="167"/>
      <c r="ET367" s="167"/>
      <c r="EU367" s="167"/>
      <c r="EV367" s="167"/>
      <c r="EW367" s="167"/>
      <c r="EX367" s="167"/>
      <c r="EY367" s="125"/>
      <c r="EZ367" s="125"/>
      <c r="FA367" s="125"/>
      <c r="FB367" s="125"/>
      <c r="FC367" s="125"/>
      <c r="FD367" s="125"/>
      <c r="FE367" s="125"/>
      <c r="FF367" s="125"/>
      <c r="FG367" s="125"/>
      <c r="FH367" s="125"/>
      <c r="FI367" s="125"/>
      <c r="FJ367" s="125"/>
      <c r="FK367" s="125"/>
      <c r="FL367" s="125"/>
      <c r="FM367" s="125"/>
      <c r="FN367" s="125"/>
      <c r="FO367" s="167"/>
      <c r="FP367" s="167"/>
      <c r="FQ367" s="167"/>
      <c r="FR367" s="167"/>
      <c r="FS367" s="167"/>
      <c r="FT367" s="167"/>
      <c r="FU367" s="167"/>
      <c r="FV367" s="167"/>
      <c r="FW367" s="125"/>
      <c r="FX367" s="125"/>
      <c r="FY367" s="125"/>
      <c r="FZ367" s="125"/>
      <c r="GA367" s="125"/>
      <c r="GB367" s="125"/>
      <c r="GC367" s="125"/>
      <c r="GD367" s="125"/>
      <c r="GE367" s="125"/>
      <c r="GF367" s="125"/>
      <c r="GG367" s="125"/>
      <c r="GH367" s="125"/>
      <c r="GI367" s="125"/>
      <c r="GJ367" s="125"/>
      <c r="GK367" s="125"/>
      <c r="GL367" s="125"/>
      <c r="GM367" s="167"/>
      <c r="GN367" s="167"/>
      <c r="GO367" s="167"/>
      <c r="GP367" s="167"/>
      <c r="GQ367" s="167"/>
      <c r="GR367" s="167"/>
      <c r="GS367" s="167"/>
      <c r="GT367" s="167"/>
      <c r="GU367" s="125"/>
      <c r="GV367" s="125"/>
      <c r="GW367" s="125"/>
      <c r="GX367" s="125"/>
      <c r="GY367" s="125"/>
      <c r="GZ367" s="125"/>
      <c r="HA367" s="125"/>
      <c r="HB367" s="125"/>
      <c r="HC367" s="125"/>
      <c r="HD367" s="125"/>
      <c r="HE367" s="125"/>
      <c r="HF367" s="125"/>
      <c r="HG367" s="125"/>
      <c r="HH367" s="125"/>
      <c r="HI367" s="125"/>
      <c r="HJ367" s="125"/>
      <c r="HK367" s="167"/>
      <c r="HL367" s="167"/>
      <c r="HM367" s="167"/>
      <c r="HN367" s="167"/>
      <c r="HO367" s="167"/>
      <c r="HP367" s="167"/>
      <c r="HQ367" s="167"/>
      <c r="HR367" s="167"/>
      <c r="HS367" s="125"/>
      <c r="HT367" s="125"/>
      <c r="HU367" s="125"/>
      <c r="HV367" s="125"/>
      <c r="HW367" s="125"/>
      <c r="HX367" s="125"/>
      <c r="HY367" s="125"/>
      <c r="HZ367" s="125"/>
      <c r="IA367" s="125"/>
      <c r="IB367" s="125"/>
      <c r="IC367" s="125"/>
      <c r="ID367" s="125"/>
      <c r="IE367" s="125"/>
      <c r="IF367" s="125"/>
      <c r="IG367" s="125"/>
      <c r="IH367" s="125"/>
      <c r="II367" s="167"/>
      <c r="IJ367" s="167"/>
      <c r="IK367" s="167"/>
      <c r="IL367" s="167"/>
      <c r="IM367" s="167"/>
      <c r="IN367" s="167"/>
      <c r="IO367" s="167"/>
      <c r="IP367" s="167"/>
      <c r="IQ367" s="125"/>
      <c r="IR367" s="125"/>
      <c r="IS367" s="125"/>
      <c r="IT367" s="125"/>
      <c r="IU367" s="125"/>
      <c r="IV367" s="125"/>
    </row>
    <row r="368" spans="1:256" s="3" customFormat="1">
      <c r="A368" s="80">
        <v>15</v>
      </c>
      <c r="B368" s="60">
        <v>43082</v>
      </c>
      <c r="C368" s="18"/>
      <c r="D368" s="19" t="s">
        <v>379</v>
      </c>
      <c r="E368" s="20" t="s">
        <v>383</v>
      </c>
      <c r="F368" s="120" t="s">
        <v>522</v>
      </c>
      <c r="G368" s="58">
        <v>1707</v>
      </c>
      <c r="H368" s="121">
        <f>1410000-30000</f>
        <v>1380000</v>
      </c>
      <c r="I368" s="24"/>
      <c r="J368" s="24">
        <f>SUM(H368)/1.05</f>
        <v>1314285.7142857143</v>
      </c>
      <c r="K368" s="24">
        <f t="shared" si="31"/>
        <v>1314285.7142857143</v>
      </c>
      <c r="L368" s="123">
        <v>1</v>
      </c>
      <c r="M368" s="24">
        <f t="shared" si="32"/>
        <v>1314285.7142857143</v>
      </c>
      <c r="N368" s="124">
        <f t="shared" si="33"/>
        <v>0</v>
      </c>
      <c r="O368" s="107" t="s">
        <v>499</v>
      </c>
      <c r="AA368" s="130"/>
      <c r="AB368" s="130"/>
      <c r="AC368" s="130"/>
      <c r="AD368" s="130"/>
      <c r="AE368" s="130"/>
      <c r="AF368" s="130"/>
      <c r="AG368" s="130"/>
      <c r="AH368" s="130"/>
      <c r="AY368" s="130"/>
      <c r="AZ368" s="130"/>
      <c r="BA368" s="130"/>
      <c r="BB368" s="130"/>
      <c r="BC368" s="130"/>
      <c r="BD368" s="130"/>
      <c r="BE368" s="130"/>
      <c r="BF368" s="130"/>
      <c r="BW368" s="130"/>
      <c r="BX368" s="130"/>
      <c r="BY368" s="130"/>
      <c r="BZ368" s="130"/>
      <c r="CA368" s="130"/>
      <c r="CB368" s="130"/>
      <c r="CC368" s="130"/>
      <c r="CD368" s="130"/>
      <c r="CU368" s="130"/>
      <c r="CV368" s="130"/>
      <c r="CW368" s="130"/>
      <c r="CX368" s="130"/>
      <c r="CY368" s="130"/>
      <c r="CZ368" s="130"/>
      <c r="DA368" s="130"/>
      <c r="DB368" s="130"/>
      <c r="DS368" s="130"/>
      <c r="DT368" s="130"/>
      <c r="DU368" s="130"/>
      <c r="DV368" s="130"/>
      <c r="DW368" s="130"/>
      <c r="DX368" s="130"/>
      <c r="DY368" s="130"/>
      <c r="DZ368" s="130"/>
      <c r="EQ368" s="130"/>
      <c r="ER368" s="130"/>
      <c r="ES368" s="130"/>
      <c r="ET368" s="130"/>
      <c r="EU368" s="130"/>
      <c r="EV368" s="130"/>
      <c r="EW368" s="130"/>
      <c r="EX368" s="130"/>
      <c r="FO368" s="130"/>
      <c r="FP368" s="130"/>
      <c r="FQ368" s="130"/>
      <c r="FR368" s="130"/>
      <c r="FS368" s="130"/>
      <c r="FT368" s="130"/>
      <c r="FU368" s="130"/>
      <c r="FV368" s="130"/>
      <c r="GM368" s="130"/>
      <c r="GN368" s="130"/>
      <c r="GO368" s="130"/>
      <c r="GP368" s="130"/>
      <c r="GQ368" s="130"/>
      <c r="GR368" s="130"/>
      <c r="GS368" s="130"/>
      <c r="GT368" s="130"/>
      <c r="HK368" s="130"/>
      <c r="HL368" s="130"/>
      <c r="HM368" s="130"/>
      <c r="HN368" s="130"/>
      <c r="HO368" s="130"/>
      <c r="HP368" s="130"/>
      <c r="HQ368" s="130"/>
      <c r="HR368" s="130"/>
      <c r="II368" s="130"/>
      <c r="IJ368" s="130"/>
      <c r="IK368" s="130"/>
      <c r="IL368" s="130"/>
      <c r="IM368" s="130"/>
      <c r="IN368" s="130"/>
      <c r="IO368" s="130"/>
      <c r="IP368" s="130"/>
    </row>
    <row r="369" spans="1:256" s="3" customFormat="1">
      <c r="A369" s="80">
        <v>16</v>
      </c>
      <c r="B369" s="56">
        <v>43087</v>
      </c>
      <c r="C369" s="18"/>
      <c r="D369" s="19" t="s">
        <v>385</v>
      </c>
      <c r="E369" s="20" t="s">
        <v>383</v>
      </c>
      <c r="F369" s="82" t="s">
        <v>523</v>
      </c>
      <c r="G369" s="58">
        <v>1707</v>
      </c>
      <c r="H369" s="121">
        <f>1410000-30000</f>
        <v>1380000</v>
      </c>
      <c r="I369" s="24"/>
      <c r="J369" s="24">
        <f>SUM(H369)/1.05</f>
        <v>1314285.7142857143</v>
      </c>
      <c r="K369" s="24">
        <f t="shared" si="31"/>
        <v>1314285.7142857143</v>
      </c>
      <c r="L369" s="123">
        <v>1</v>
      </c>
      <c r="M369" s="24">
        <f t="shared" si="32"/>
        <v>1314285.7142857143</v>
      </c>
      <c r="N369" s="124">
        <f t="shared" si="33"/>
        <v>0</v>
      </c>
      <c r="O369" s="107" t="s">
        <v>499</v>
      </c>
      <c r="Q369" s="140"/>
      <c r="Y369" s="131"/>
      <c r="Z369" s="15"/>
      <c r="AA369" s="99"/>
      <c r="AB369" s="149"/>
      <c r="AC369" s="134"/>
      <c r="AD369" s="134"/>
      <c r="AE369" s="137"/>
      <c r="AF369" s="150"/>
      <c r="AG369" s="137"/>
      <c r="AH369" s="137"/>
      <c r="AJ369" s="138"/>
      <c r="AK369" s="2"/>
      <c r="AL369" s="139"/>
      <c r="AW369" s="131"/>
      <c r="AX369" s="15"/>
      <c r="AY369" s="99"/>
      <c r="AZ369" s="149"/>
      <c r="BA369" s="134"/>
      <c r="BB369" s="134"/>
      <c r="BC369" s="137"/>
      <c r="BD369" s="150"/>
      <c r="BE369" s="137"/>
      <c r="BF369" s="137"/>
      <c r="BH369" s="138"/>
      <c r="BI369" s="2"/>
      <c r="BJ369" s="139"/>
      <c r="BU369" s="131"/>
      <c r="BV369" s="15"/>
      <c r="BW369" s="99"/>
      <c r="BX369" s="149"/>
      <c r="BY369" s="134"/>
      <c r="BZ369" s="134"/>
      <c r="CA369" s="137"/>
      <c r="CB369" s="150"/>
      <c r="CC369" s="137"/>
      <c r="CD369" s="137"/>
      <c r="CF369" s="138"/>
      <c r="CG369" s="2"/>
      <c r="CH369" s="139"/>
      <c r="CS369" s="131"/>
      <c r="CT369" s="15"/>
      <c r="CU369" s="99"/>
      <c r="CV369" s="149"/>
      <c r="CW369" s="134"/>
      <c r="CX369" s="134"/>
      <c r="CY369" s="137"/>
      <c r="CZ369" s="150"/>
      <c r="DA369" s="137"/>
      <c r="DB369" s="137"/>
      <c r="DD369" s="138"/>
      <c r="DE369" s="2"/>
      <c r="DF369" s="139"/>
      <c r="DQ369" s="131"/>
      <c r="DR369" s="15"/>
      <c r="DS369" s="99"/>
      <c r="DT369" s="149"/>
      <c r="DU369" s="134"/>
      <c r="DV369" s="134"/>
      <c r="DW369" s="137"/>
      <c r="DX369" s="150"/>
      <c r="DY369" s="137"/>
      <c r="DZ369" s="137"/>
      <c r="EB369" s="138"/>
      <c r="EC369" s="2"/>
      <c r="ED369" s="139"/>
      <c r="EO369" s="131"/>
      <c r="EP369" s="15"/>
      <c r="EQ369" s="99"/>
      <c r="ER369" s="149"/>
      <c r="ES369" s="134"/>
      <c r="ET369" s="134"/>
      <c r="EU369" s="137"/>
      <c r="EV369" s="150"/>
      <c r="EW369" s="137"/>
      <c r="EX369" s="137"/>
      <c r="EZ369" s="138"/>
      <c r="FA369" s="2"/>
      <c r="FB369" s="139"/>
      <c r="FM369" s="131"/>
      <c r="FN369" s="15"/>
      <c r="FO369" s="99"/>
      <c r="FP369" s="149"/>
      <c r="FQ369" s="134"/>
      <c r="FR369" s="134"/>
      <c r="FS369" s="137"/>
      <c r="FT369" s="150"/>
      <c r="FU369" s="137"/>
      <c r="FV369" s="137"/>
      <c r="FX369" s="138"/>
      <c r="FY369" s="2"/>
      <c r="FZ369" s="139"/>
      <c r="GK369" s="131"/>
      <c r="GL369" s="15"/>
      <c r="GM369" s="99"/>
      <c r="GN369" s="149"/>
      <c r="GO369" s="134"/>
      <c r="GP369" s="134"/>
      <c r="GQ369" s="137"/>
      <c r="GR369" s="150"/>
      <c r="GS369" s="137"/>
      <c r="GT369" s="137"/>
      <c r="GV369" s="138"/>
      <c r="GW369" s="2"/>
      <c r="GX369" s="139"/>
      <c r="HI369" s="131"/>
      <c r="HJ369" s="15"/>
      <c r="HK369" s="99"/>
      <c r="HL369" s="149"/>
      <c r="HM369" s="134"/>
      <c r="HN369" s="134"/>
      <c r="HO369" s="137"/>
      <c r="HP369" s="150"/>
      <c r="HQ369" s="137"/>
      <c r="HR369" s="137"/>
      <c r="HT369" s="138"/>
      <c r="HU369" s="2"/>
      <c r="HV369" s="139"/>
      <c r="IG369" s="131"/>
      <c r="IH369" s="15"/>
      <c r="II369" s="99"/>
      <c r="IJ369" s="149"/>
      <c r="IK369" s="134"/>
      <c r="IL369" s="134"/>
      <c r="IM369" s="137"/>
      <c r="IN369" s="150"/>
      <c r="IO369" s="137"/>
      <c r="IP369" s="137"/>
      <c r="IR369" s="138"/>
      <c r="IS369" s="2"/>
      <c r="IT369" s="139"/>
    </row>
    <row r="370" spans="1:256" s="3" customFormat="1">
      <c r="A370" s="80">
        <v>17</v>
      </c>
      <c r="B370" s="56">
        <v>43067</v>
      </c>
      <c r="C370" s="18"/>
      <c r="D370" s="19" t="s">
        <v>385</v>
      </c>
      <c r="E370" s="20" t="s">
        <v>383</v>
      </c>
      <c r="F370" s="57" t="s">
        <v>524</v>
      </c>
      <c r="G370" s="58">
        <v>1708</v>
      </c>
      <c r="H370" s="121">
        <v>1410000</v>
      </c>
      <c r="I370" s="24">
        <v>1342857</v>
      </c>
      <c r="J370" s="24"/>
      <c r="K370" s="24">
        <f t="shared" si="31"/>
        <v>1342857</v>
      </c>
      <c r="L370" s="123">
        <v>1</v>
      </c>
      <c r="M370" s="24">
        <f t="shared" si="32"/>
        <v>1342857</v>
      </c>
      <c r="N370" s="124">
        <f t="shared" si="33"/>
        <v>0</v>
      </c>
      <c r="O370" s="107" t="s">
        <v>499</v>
      </c>
      <c r="Q370" s="140"/>
      <c r="AA370" s="130"/>
      <c r="AB370" s="130"/>
      <c r="AC370" s="130"/>
      <c r="AD370" s="130"/>
      <c r="AE370" s="130"/>
      <c r="AF370" s="130"/>
      <c r="AG370" s="130"/>
      <c r="AH370" s="130"/>
      <c r="AY370" s="130"/>
      <c r="AZ370" s="130"/>
      <c r="BA370" s="130"/>
      <c r="BB370" s="130"/>
      <c r="BC370" s="130"/>
      <c r="BD370" s="130"/>
      <c r="BE370" s="130"/>
      <c r="BF370" s="130"/>
      <c r="BW370" s="130"/>
      <c r="BX370" s="130"/>
      <c r="BY370" s="130"/>
      <c r="BZ370" s="130"/>
      <c r="CA370" s="130"/>
      <c r="CB370" s="130"/>
      <c r="CC370" s="130"/>
      <c r="CD370" s="130"/>
      <c r="CU370" s="130"/>
      <c r="CV370" s="130"/>
      <c r="CW370" s="130"/>
      <c r="CX370" s="130"/>
      <c r="CY370" s="130"/>
      <c r="CZ370" s="130"/>
      <c r="DA370" s="130"/>
      <c r="DB370" s="130"/>
      <c r="DS370" s="130"/>
      <c r="DT370" s="130"/>
      <c r="DU370" s="130"/>
      <c r="DV370" s="130"/>
      <c r="DW370" s="130"/>
      <c r="DX370" s="130"/>
      <c r="DY370" s="130"/>
      <c r="DZ370" s="130"/>
      <c r="EQ370" s="130"/>
      <c r="ER370" s="130"/>
      <c r="ES370" s="130"/>
      <c r="ET370" s="130"/>
      <c r="EU370" s="130"/>
      <c r="EV370" s="130"/>
      <c r="EW370" s="130"/>
      <c r="EX370" s="130"/>
      <c r="FO370" s="130"/>
      <c r="FP370" s="130"/>
      <c r="FQ370" s="130"/>
      <c r="FR370" s="130"/>
      <c r="FS370" s="130"/>
      <c r="FT370" s="130"/>
      <c r="FU370" s="130"/>
      <c r="FV370" s="130"/>
      <c r="GM370" s="130"/>
      <c r="GN370" s="130"/>
      <c r="GO370" s="130"/>
      <c r="GP370" s="130"/>
      <c r="GQ370" s="130"/>
      <c r="GR370" s="130"/>
      <c r="GS370" s="130"/>
      <c r="GT370" s="130"/>
      <c r="HK370" s="130"/>
      <c r="HL370" s="130"/>
      <c r="HM370" s="130"/>
      <c r="HN370" s="130"/>
      <c r="HO370" s="130"/>
      <c r="HP370" s="130"/>
      <c r="HQ370" s="130"/>
      <c r="HR370" s="130"/>
      <c r="II370" s="130"/>
      <c r="IJ370" s="130"/>
      <c r="IK370" s="130"/>
      <c r="IL370" s="130"/>
      <c r="IM370" s="130"/>
      <c r="IN370" s="130"/>
      <c r="IO370" s="130"/>
      <c r="IP370" s="130"/>
    </row>
    <row r="371" spans="1:256" s="3" customFormat="1">
      <c r="A371" s="80">
        <v>18</v>
      </c>
      <c r="B371" s="60">
        <v>43090</v>
      </c>
      <c r="C371" s="18"/>
      <c r="D371" s="19" t="s">
        <v>385</v>
      </c>
      <c r="E371" s="20" t="s">
        <v>383</v>
      </c>
      <c r="F371" s="62" t="s">
        <v>525</v>
      </c>
      <c r="G371" s="63">
        <v>1708</v>
      </c>
      <c r="H371" s="121">
        <v>1410000</v>
      </c>
      <c r="I371" s="24"/>
      <c r="J371" s="24">
        <f t="shared" ref="J371:J376" si="35">SUM(H371)/1.05</f>
        <v>1342857.1428571427</v>
      </c>
      <c r="K371" s="24">
        <f t="shared" si="31"/>
        <v>1342857.1428571427</v>
      </c>
      <c r="L371" s="123">
        <v>1</v>
      </c>
      <c r="M371" s="24">
        <f t="shared" si="32"/>
        <v>1342857.1428571427</v>
      </c>
      <c r="N371" s="124">
        <f t="shared" si="33"/>
        <v>0</v>
      </c>
      <c r="O371" s="107" t="s">
        <v>499</v>
      </c>
      <c r="Q371" s="140"/>
      <c r="AA371" s="130"/>
      <c r="AB371" s="130"/>
      <c r="AC371" s="130"/>
      <c r="AD371" s="130"/>
      <c r="AE371" s="130"/>
      <c r="AF371" s="130"/>
      <c r="AG371" s="130"/>
      <c r="AH371" s="130"/>
      <c r="AL371" s="125"/>
      <c r="AM371" s="125"/>
      <c r="AN371" s="125"/>
      <c r="AO371" s="125"/>
      <c r="AP371" s="125"/>
      <c r="AQ371" s="125"/>
      <c r="AR371" s="125"/>
      <c r="AS371" s="125"/>
      <c r="AT371" s="125"/>
      <c r="AU371" s="125"/>
      <c r="AV371" s="125"/>
      <c r="AW371" s="125"/>
      <c r="AX371" s="125"/>
      <c r="AY371" s="167"/>
      <c r="AZ371" s="167"/>
      <c r="BA371" s="167"/>
      <c r="BB371" s="167"/>
      <c r="BC371" s="167"/>
      <c r="BD371" s="167"/>
      <c r="BE371" s="167"/>
      <c r="BF371" s="167"/>
      <c r="BG371" s="125"/>
      <c r="BH371" s="125"/>
      <c r="BI371" s="125"/>
      <c r="BJ371" s="125"/>
      <c r="BK371" s="125"/>
      <c r="BL371" s="125"/>
      <c r="BM371" s="125"/>
      <c r="BN371" s="125"/>
      <c r="BO371" s="125"/>
      <c r="BP371" s="125"/>
      <c r="BQ371" s="125"/>
      <c r="BR371" s="125"/>
      <c r="BS371" s="125"/>
      <c r="BT371" s="125"/>
      <c r="BU371" s="125"/>
      <c r="BV371" s="125"/>
      <c r="BW371" s="167"/>
      <c r="BX371" s="167"/>
      <c r="BY371" s="167"/>
      <c r="BZ371" s="167"/>
      <c r="CA371" s="167"/>
      <c r="CB371" s="167"/>
      <c r="CC371" s="167"/>
      <c r="CD371" s="167"/>
      <c r="CE371" s="125"/>
      <c r="CF371" s="125"/>
      <c r="CG371" s="125"/>
      <c r="CH371" s="125"/>
      <c r="CI371" s="125"/>
      <c r="CJ371" s="125"/>
      <c r="CK371" s="125"/>
      <c r="CL371" s="125"/>
      <c r="CM371" s="125"/>
      <c r="CN371" s="125"/>
      <c r="CO371" s="125"/>
      <c r="CP371" s="125"/>
      <c r="CQ371" s="125"/>
      <c r="CR371" s="125"/>
      <c r="CS371" s="125"/>
      <c r="CT371" s="125"/>
      <c r="CU371" s="167"/>
      <c r="CV371" s="167"/>
      <c r="CW371" s="167"/>
      <c r="CX371" s="167"/>
      <c r="CY371" s="167"/>
      <c r="CZ371" s="167"/>
      <c r="DA371" s="167"/>
      <c r="DB371" s="167"/>
      <c r="DC371" s="125"/>
      <c r="DD371" s="125"/>
      <c r="DE371" s="125"/>
      <c r="DF371" s="125"/>
      <c r="DG371" s="125"/>
      <c r="DH371" s="125"/>
      <c r="DI371" s="125"/>
      <c r="DJ371" s="125"/>
      <c r="DK371" s="125"/>
      <c r="DL371" s="125"/>
      <c r="DM371" s="125"/>
      <c r="DN371" s="125"/>
      <c r="DO371" s="125"/>
      <c r="DP371" s="125"/>
      <c r="DQ371" s="125"/>
      <c r="DR371" s="125"/>
      <c r="DS371" s="167"/>
      <c r="DT371" s="167"/>
      <c r="DU371" s="167"/>
      <c r="DV371" s="167"/>
      <c r="DW371" s="167"/>
      <c r="DX371" s="167"/>
      <c r="DY371" s="167"/>
      <c r="DZ371" s="167"/>
      <c r="EA371" s="125"/>
      <c r="EB371" s="125"/>
      <c r="EC371" s="125"/>
      <c r="ED371" s="125"/>
      <c r="EE371" s="125"/>
      <c r="EF371" s="125"/>
      <c r="EG371" s="125"/>
      <c r="EH371" s="125"/>
      <c r="EI371" s="125"/>
      <c r="EJ371" s="125"/>
      <c r="EK371" s="125"/>
      <c r="EL371" s="125"/>
      <c r="EM371" s="125"/>
      <c r="EN371" s="125"/>
      <c r="EO371" s="125"/>
      <c r="EP371" s="125"/>
      <c r="EQ371" s="167"/>
      <c r="ER371" s="167"/>
      <c r="ES371" s="167"/>
      <c r="ET371" s="167"/>
      <c r="EU371" s="167"/>
      <c r="EV371" s="167"/>
      <c r="EW371" s="167"/>
      <c r="EX371" s="167"/>
      <c r="EY371" s="125"/>
      <c r="EZ371" s="125"/>
      <c r="FA371" s="125"/>
      <c r="FB371" s="125"/>
      <c r="FC371" s="125"/>
      <c r="FD371" s="125"/>
      <c r="FE371" s="125"/>
      <c r="FF371" s="125"/>
      <c r="FG371" s="125"/>
      <c r="FH371" s="125"/>
      <c r="FI371" s="125"/>
      <c r="FJ371" s="125"/>
      <c r="FK371" s="125"/>
      <c r="FL371" s="125"/>
      <c r="FM371" s="125"/>
      <c r="FN371" s="125"/>
      <c r="FO371" s="167"/>
      <c r="FP371" s="167"/>
      <c r="FQ371" s="167"/>
      <c r="FR371" s="167"/>
      <c r="FS371" s="167"/>
      <c r="FT371" s="167"/>
      <c r="FU371" s="167"/>
      <c r="FV371" s="167"/>
      <c r="FW371" s="125"/>
      <c r="FX371" s="125"/>
      <c r="FY371" s="125"/>
      <c r="FZ371" s="125"/>
      <c r="GA371" s="125"/>
      <c r="GB371" s="125"/>
      <c r="GC371" s="125"/>
      <c r="GD371" s="125"/>
      <c r="GE371" s="125"/>
      <c r="GF371" s="125"/>
      <c r="GG371" s="125"/>
      <c r="GH371" s="125"/>
      <c r="GI371" s="125"/>
      <c r="GJ371" s="125"/>
      <c r="GK371" s="125"/>
      <c r="GL371" s="125"/>
      <c r="GM371" s="167"/>
      <c r="GN371" s="167"/>
      <c r="GO371" s="167"/>
      <c r="GP371" s="167"/>
      <c r="GQ371" s="167"/>
      <c r="GR371" s="167"/>
      <c r="GS371" s="167"/>
      <c r="GT371" s="167"/>
      <c r="GU371" s="125"/>
      <c r="GV371" s="125"/>
      <c r="GW371" s="125"/>
      <c r="GX371" s="125"/>
      <c r="GY371" s="125"/>
      <c r="GZ371" s="125"/>
      <c r="HA371" s="125"/>
      <c r="HB371" s="125"/>
      <c r="HC371" s="125"/>
      <c r="HD371" s="125"/>
      <c r="HE371" s="125"/>
      <c r="HF371" s="125"/>
      <c r="HG371" s="125"/>
      <c r="HH371" s="125"/>
      <c r="HI371" s="125"/>
      <c r="HJ371" s="125"/>
      <c r="HK371" s="167"/>
      <c r="HL371" s="167"/>
      <c r="HM371" s="167"/>
      <c r="HN371" s="167"/>
      <c r="HO371" s="167"/>
      <c r="HP371" s="167"/>
      <c r="HQ371" s="167"/>
      <c r="HR371" s="167"/>
      <c r="HS371" s="125"/>
      <c r="HT371" s="125"/>
      <c r="HU371" s="125"/>
      <c r="HV371" s="125"/>
      <c r="HW371" s="125"/>
      <c r="HX371" s="125"/>
      <c r="HY371" s="125"/>
      <c r="HZ371" s="125"/>
      <c r="IA371" s="125"/>
      <c r="IB371" s="125"/>
      <c r="IC371" s="125"/>
      <c r="ID371" s="125"/>
      <c r="IE371" s="125"/>
      <c r="IF371" s="125"/>
      <c r="IG371" s="125"/>
      <c r="IH371" s="125"/>
      <c r="II371" s="167"/>
      <c r="IJ371" s="167"/>
      <c r="IK371" s="167"/>
      <c r="IL371" s="167"/>
      <c r="IM371" s="167"/>
      <c r="IN371" s="167"/>
      <c r="IO371" s="167"/>
      <c r="IP371" s="167"/>
      <c r="IQ371" s="125"/>
      <c r="IR371" s="125"/>
      <c r="IS371" s="125"/>
      <c r="IT371" s="125"/>
      <c r="IU371" s="125"/>
      <c r="IV371" s="125"/>
    </row>
    <row r="372" spans="1:256" s="3" customFormat="1">
      <c r="A372" s="80">
        <v>19</v>
      </c>
      <c r="B372" s="56">
        <v>43090</v>
      </c>
      <c r="C372" s="18"/>
      <c r="D372" s="19" t="s">
        <v>385</v>
      </c>
      <c r="E372" s="20" t="s">
        <v>383</v>
      </c>
      <c r="F372" s="62" t="s">
        <v>526</v>
      </c>
      <c r="G372" s="63">
        <v>1708</v>
      </c>
      <c r="H372" s="121">
        <v>1410000</v>
      </c>
      <c r="I372" s="24"/>
      <c r="J372" s="24">
        <f t="shared" si="35"/>
        <v>1342857.1428571427</v>
      </c>
      <c r="K372" s="199">
        <f t="shared" si="31"/>
        <v>1342857.1428571427</v>
      </c>
      <c r="L372" s="123">
        <v>1</v>
      </c>
      <c r="M372" s="24">
        <f t="shared" si="32"/>
        <v>1342857.1428571427</v>
      </c>
      <c r="N372" s="124">
        <f t="shared" si="33"/>
        <v>0</v>
      </c>
      <c r="O372" s="107" t="s">
        <v>499</v>
      </c>
      <c r="Q372" s="140"/>
      <c r="Y372" s="131"/>
      <c r="Z372" s="15"/>
      <c r="AA372" s="132"/>
      <c r="AB372" s="133"/>
      <c r="AC372" s="134"/>
      <c r="AD372" s="134"/>
      <c r="AE372" s="135"/>
      <c r="AF372" s="182"/>
      <c r="AG372" s="183"/>
      <c r="AH372" s="183"/>
      <c r="AI372" s="125"/>
      <c r="AJ372" s="184"/>
      <c r="AK372" s="185"/>
      <c r="AL372" s="186"/>
      <c r="AM372" s="125"/>
      <c r="AN372" s="125"/>
      <c r="AO372" s="125"/>
      <c r="AP372" s="125"/>
      <c r="AQ372" s="125"/>
      <c r="AR372" s="125"/>
      <c r="AS372" s="125"/>
      <c r="AT372" s="125"/>
      <c r="AU372" s="125"/>
      <c r="AV372" s="125"/>
      <c r="AW372" s="187"/>
      <c r="AX372" s="188"/>
      <c r="AY372" s="189"/>
      <c r="AZ372" s="190"/>
      <c r="BA372" s="191"/>
      <c r="BB372" s="191"/>
      <c r="BC372" s="192"/>
      <c r="BD372" s="182"/>
      <c r="BE372" s="183"/>
      <c r="BF372" s="183"/>
      <c r="BG372" s="125"/>
      <c r="BH372" s="184"/>
      <c r="BI372" s="185"/>
      <c r="BJ372" s="186"/>
      <c r="BK372" s="125"/>
      <c r="BL372" s="125"/>
      <c r="BM372" s="125"/>
      <c r="BN372" s="125"/>
      <c r="BO372" s="125"/>
      <c r="BP372" s="125"/>
      <c r="BQ372" s="125"/>
      <c r="BR372" s="125"/>
      <c r="BS372" s="125"/>
      <c r="BT372" s="125"/>
      <c r="BU372" s="187"/>
      <c r="BV372" s="188"/>
      <c r="BW372" s="189"/>
      <c r="BX372" s="190"/>
      <c r="BY372" s="191"/>
      <c r="BZ372" s="191"/>
      <c r="CA372" s="192"/>
      <c r="CB372" s="182"/>
      <c r="CC372" s="183"/>
      <c r="CD372" s="183"/>
      <c r="CE372" s="125"/>
      <c r="CF372" s="184"/>
      <c r="CG372" s="185"/>
      <c r="CH372" s="186"/>
      <c r="CI372" s="125"/>
      <c r="CJ372" s="125"/>
      <c r="CK372" s="125"/>
      <c r="CL372" s="125"/>
      <c r="CM372" s="125"/>
      <c r="CN372" s="125"/>
      <c r="CO372" s="125"/>
      <c r="CP372" s="125"/>
      <c r="CQ372" s="125"/>
      <c r="CR372" s="125"/>
      <c r="CS372" s="187"/>
      <c r="CT372" s="188"/>
      <c r="CU372" s="189"/>
      <c r="CV372" s="190"/>
      <c r="CW372" s="191"/>
      <c r="CX372" s="191"/>
      <c r="CY372" s="192"/>
      <c r="CZ372" s="182"/>
      <c r="DA372" s="183"/>
      <c r="DB372" s="183"/>
      <c r="DC372" s="125"/>
      <c r="DD372" s="184"/>
      <c r="DE372" s="185"/>
      <c r="DF372" s="186"/>
      <c r="DG372" s="125"/>
      <c r="DH372" s="125"/>
      <c r="DI372" s="125"/>
      <c r="DJ372" s="125"/>
      <c r="DK372" s="125"/>
      <c r="DL372" s="125"/>
      <c r="DM372" s="125"/>
      <c r="DN372" s="125"/>
      <c r="DO372" s="125"/>
      <c r="DP372" s="125"/>
      <c r="DQ372" s="187"/>
      <c r="DR372" s="188"/>
      <c r="DS372" s="189"/>
      <c r="DT372" s="190"/>
      <c r="DU372" s="191"/>
      <c r="DV372" s="191"/>
      <c r="DW372" s="192"/>
      <c r="DX372" s="182"/>
      <c r="DY372" s="183"/>
      <c r="DZ372" s="183"/>
      <c r="EA372" s="125"/>
      <c r="EB372" s="184"/>
      <c r="EC372" s="185"/>
      <c r="ED372" s="186"/>
      <c r="EE372" s="125"/>
      <c r="EF372" s="125"/>
      <c r="EG372" s="125"/>
      <c r="EH372" s="125"/>
      <c r="EI372" s="125"/>
      <c r="EJ372" s="125"/>
      <c r="EK372" s="125"/>
      <c r="EL372" s="125"/>
      <c r="EM372" s="125"/>
      <c r="EN372" s="125"/>
      <c r="EO372" s="187"/>
      <c r="EP372" s="188"/>
      <c r="EQ372" s="189"/>
      <c r="ER372" s="190"/>
      <c r="ES372" s="191"/>
      <c r="ET372" s="191"/>
      <c r="EU372" s="192"/>
      <c r="EV372" s="182"/>
      <c r="EW372" s="183"/>
      <c r="EX372" s="183"/>
      <c r="EY372" s="125"/>
      <c r="EZ372" s="184"/>
      <c r="FA372" s="185"/>
      <c r="FB372" s="186"/>
      <c r="FC372" s="125"/>
      <c r="FD372" s="125"/>
      <c r="FE372" s="125"/>
      <c r="FF372" s="125"/>
      <c r="FG372" s="125"/>
      <c r="FH372" s="125"/>
      <c r="FI372" s="125"/>
      <c r="FJ372" s="125"/>
      <c r="FK372" s="125"/>
      <c r="FL372" s="125"/>
      <c r="FM372" s="187"/>
      <c r="FN372" s="188"/>
      <c r="FO372" s="189"/>
      <c r="FP372" s="190"/>
      <c r="FQ372" s="191"/>
      <c r="FR372" s="191"/>
      <c r="FS372" s="192"/>
      <c r="FT372" s="182"/>
      <c r="FU372" s="183"/>
      <c r="FV372" s="183"/>
      <c r="FW372" s="125"/>
      <c r="FX372" s="184"/>
      <c r="FY372" s="185"/>
      <c r="FZ372" s="186"/>
      <c r="GA372" s="125"/>
      <c r="GB372" s="125"/>
      <c r="GC372" s="125"/>
      <c r="GD372" s="125"/>
      <c r="GE372" s="125"/>
      <c r="GF372" s="125"/>
      <c r="GG372" s="125"/>
      <c r="GH372" s="125"/>
      <c r="GI372" s="125"/>
      <c r="GJ372" s="125"/>
      <c r="GK372" s="187"/>
      <c r="GL372" s="188"/>
      <c r="GM372" s="189"/>
      <c r="GN372" s="190"/>
      <c r="GO372" s="191"/>
      <c r="GP372" s="191"/>
      <c r="GQ372" s="192"/>
      <c r="GR372" s="182"/>
      <c r="GS372" s="183"/>
      <c r="GT372" s="183"/>
      <c r="GU372" s="125"/>
      <c r="GV372" s="184"/>
      <c r="GW372" s="185"/>
      <c r="GX372" s="186"/>
      <c r="GY372" s="125"/>
      <c r="GZ372" s="125"/>
      <c r="HA372" s="125"/>
      <c r="HB372" s="125"/>
      <c r="HC372" s="125"/>
      <c r="HD372" s="125"/>
      <c r="HE372" s="125"/>
      <c r="HF372" s="125"/>
      <c r="HG372" s="125"/>
      <c r="HH372" s="125"/>
      <c r="HI372" s="187"/>
      <c r="HJ372" s="188"/>
      <c r="HK372" s="189"/>
      <c r="HL372" s="190"/>
      <c r="HM372" s="191"/>
      <c r="HN372" s="191"/>
      <c r="HO372" s="192"/>
      <c r="HP372" s="182"/>
      <c r="HQ372" s="183"/>
      <c r="HR372" s="183"/>
      <c r="HS372" s="125"/>
      <c r="HT372" s="184"/>
      <c r="HU372" s="185"/>
      <c r="HV372" s="186"/>
      <c r="HW372" s="125"/>
      <c r="HX372" s="125"/>
      <c r="HY372" s="125"/>
      <c r="HZ372" s="125"/>
      <c r="IA372" s="125"/>
      <c r="IB372" s="125"/>
      <c r="IC372" s="125"/>
      <c r="ID372" s="125"/>
      <c r="IE372" s="125"/>
      <c r="IF372" s="125"/>
      <c r="IG372" s="187"/>
      <c r="IH372" s="188"/>
      <c r="II372" s="189"/>
      <c r="IJ372" s="190"/>
      <c r="IK372" s="191"/>
      <c r="IL372" s="191"/>
      <c r="IM372" s="192"/>
      <c r="IN372" s="182"/>
      <c r="IO372" s="183"/>
      <c r="IP372" s="183"/>
      <c r="IQ372" s="125"/>
      <c r="IR372" s="184"/>
      <c r="IS372" s="185"/>
      <c r="IT372" s="186"/>
      <c r="IU372" s="125"/>
      <c r="IV372" s="125"/>
    </row>
    <row r="373" spans="1:256" s="3" customFormat="1">
      <c r="A373" s="80">
        <v>20</v>
      </c>
      <c r="B373" s="56">
        <v>43074</v>
      </c>
      <c r="C373" s="18"/>
      <c r="D373" s="19" t="s">
        <v>385</v>
      </c>
      <c r="E373" s="20" t="s">
        <v>383</v>
      </c>
      <c r="F373" s="62" t="s">
        <v>527</v>
      </c>
      <c r="G373" s="63">
        <v>1709</v>
      </c>
      <c r="H373" s="121">
        <v>1410000</v>
      </c>
      <c r="I373" s="24"/>
      <c r="J373" s="24">
        <f t="shared" si="35"/>
        <v>1342857.1428571427</v>
      </c>
      <c r="K373" s="24">
        <f t="shared" si="31"/>
        <v>1342857.1428571427</v>
      </c>
      <c r="L373" s="123">
        <v>1</v>
      </c>
      <c r="M373" s="24">
        <f t="shared" si="32"/>
        <v>1342857.1428571427</v>
      </c>
      <c r="N373" s="124">
        <f t="shared" si="33"/>
        <v>0</v>
      </c>
      <c r="O373" s="107" t="s">
        <v>499</v>
      </c>
      <c r="AA373" s="130"/>
      <c r="AB373" s="130"/>
      <c r="AC373" s="130"/>
      <c r="AD373" s="130"/>
      <c r="AE373" s="130"/>
      <c r="AF373" s="167"/>
      <c r="AG373" s="167"/>
      <c r="AH373" s="167"/>
      <c r="AI373" s="125"/>
      <c r="AJ373" s="125"/>
      <c r="AK373" s="125"/>
      <c r="AL373" s="125"/>
      <c r="AM373" s="125"/>
      <c r="AN373" s="125"/>
      <c r="AO373" s="125"/>
      <c r="AP373" s="125"/>
      <c r="AQ373" s="125"/>
      <c r="AR373" s="125"/>
      <c r="AS373" s="125"/>
      <c r="AT373" s="125"/>
      <c r="AU373" s="125"/>
      <c r="AV373" s="125"/>
      <c r="AW373" s="125"/>
      <c r="AX373" s="125"/>
      <c r="AY373" s="167"/>
      <c r="AZ373" s="167"/>
      <c r="BA373" s="167"/>
      <c r="BB373" s="167"/>
      <c r="BC373" s="167"/>
      <c r="BD373" s="167"/>
      <c r="BE373" s="167"/>
      <c r="BF373" s="167"/>
      <c r="BG373" s="125"/>
      <c r="BH373" s="125"/>
      <c r="BI373" s="125"/>
      <c r="BJ373" s="125"/>
      <c r="BK373" s="125"/>
      <c r="BL373" s="125"/>
      <c r="BM373" s="125"/>
      <c r="BN373" s="125"/>
      <c r="BO373" s="125"/>
      <c r="BP373" s="125"/>
      <c r="BQ373" s="125"/>
      <c r="BR373" s="125"/>
      <c r="BS373" s="125"/>
      <c r="BT373" s="125"/>
      <c r="BU373" s="125"/>
      <c r="BV373" s="125"/>
      <c r="BW373" s="167"/>
      <c r="BX373" s="167"/>
      <c r="BY373" s="167"/>
      <c r="BZ373" s="167"/>
      <c r="CA373" s="167"/>
      <c r="CB373" s="167"/>
      <c r="CC373" s="167"/>
      <c r="CD373" s="167"/>
      <c r="CE373" s="125"/>
      <c r="CF373" s="125"/>
      <c r="CG373" s="125"/>
      <c r="CH373" s="125"/>
      <c r="CI373" s="125"/>
      <c r="CJ373" s="125"/>
      <c r="CK373" s="125"/>
      <c r="CL373" s="125"/>
      <c r="CM373" s="125"/>
      <c r="CN373" s="125"/>
      <c r="CO373" s="125"/>
      <c r="CP373" s="125"/>
      <c r="CQ373" s="125"/>
      <c r="CR373" s="125"/>
      <c r="CS373" s="125"/>
      <c r="CT373" s="125"/>
      <c r="CU373" s="167"/>
      <c r="CV373" s="167"/>
      <c r="CW373" s="167"/>
      <c r="CX373" s="167"/>
      <c r="CY373" s="167"/>
      <c r="CZ373" s="167"/>
      <c r="DA373" s="167"/>
      <c r="DB373" s="167"/>
      <c r="DC373" s="125"/>
      <c r="DD373" s="125"/>
      <c r="DE373" s="125"/>
      <c r="DF373" s="125"/>
      <c r="DG373" s="125"/>
      <c r="DH373" s="125"/>
      <c r="DI373" s="125"/>
      <c r="DJ373" s="125"/>
      <c r="DK373" s="125"/>
      <c r="DL373" s="125"/>
      <c r="DM373" s="125"/>
      <c r="DN373" s="125"/>
      <c r="DO373" s="125"/>
      <c r="DP373" s="125"/>
      <c r="DQ373" s="125"/>
      <c r="DR373" s="125"/>
      <c r="DS373" s="167"/>
      <c r="DT373" s="167"/>
      <c r="DU373" s="167"/>
      <c r="DV373" s="167"/>
      <c r="DW373" s="167"/>
      <c r="DX373" s="167"/>
      <c r="DY373" s="167"/>
      <c r="DZ373" s="167"/>
      <c r="EA373" s="125"/>
      <c r="EB373" s="125"/>
      <c r="EC373" s="125"/>
      <c r="ED373" s="125"/>
      <c r="EE373" s="125"/>
      <c r="EF373" s="125"/>
      <c r="EG373" s="125"/>
      <c r="EH373" s="125"/>
      <c r="EI373" s="125"/>
      <c r="EJ373" s="125"/>
      <c r="EK373" s="125"/>
      <c r="EL373" s="125"/>
      <c r="EM373" s="125"/>
      <c r="EN373" s="125"/>
      <c r="EO373" s="125"/>
      <c r="EP373" s="125"/>
      <c r="EQ373" s="167"/>
      <c r="ER373" s="167"/>
      <c r="ES373" s="167"/>
      <c r="ET373" s="167"/>
      <c r="EU373" s="167"/>
      <c r="EV373" s="167"/>
      <c r="EW373" s="167"/>
      <c r="EX373" s="167"/>
      <c r="EY373" s="125"/>
      <c r="EZ373" s="125"/>
      <c r="FA373" s="125"/>
      <c r="FB373" s="125"/>
      <c r="FC373" s="125"/>
      <c r="FD373" s="125"/>
      <c r="FE373" s="125"/>
      <c r="FF373" s="125"/>
      <c r="FG373" s="125"/>
      <c r="FH373" s="125"/>
      <c r="FI373" s="125"/>
      <c r="FJ373" s="125"/>
      <c r="FK373" s="125"/>
      <c r="FL373" s="125"/>
      <c r="FM373" s="125"/>
      <c r="FN373" s="125"/>
      <c r="FO373" s="167"/>
      <c r="FP373" s="167"/>
      <c r="FQ373" s="167"/>
      <c r="FR373" s="167"/>
      <c r="FS373" s="167"/>
      <c r="FT373" s="167"/>
      <c r="FU373" s="167"/>
      <c r="FV373" s="167"/>
      <c r="FW373" s="125"/>
      <c r="FX373" s="125"/>
      <c r="FY373" s="125"/>
      <c r="FZ373" s="125"/>
      <c r="GA373" s="125"/>
      <c r="GB373" s="125"/>
      <c r="GC373" s="125"/>
      <c r="GD373" s="125"/>
      <c r="GE373" s="125"/>
      <c r="GF373" s="125"/>
      <c r="GG373" s="125"/>
      <c r="GH373" s="125"/>
      <c r="GI373" s="125"/>
      <c r="GJ373" s="125"/>
      <c r="GK373" s="125"/>
      <c r="GL373" s="125"/>
      <c r="GM373" s="167"/>
      <c r="GN373" s="167"/>
      <c r="GO373" s="167"/>
      <c r="GP373" s="167"/>
      <c r="GQ373" s="167"/>
      <c r="GR373" s="167"/>
      <c r="GS373" s="167"/>
      <c r="GT373" s="167"/>
      <c r="GU373" s="125"/>
      <c r="GV373" s="125"/>
      <c r="GW373" s="125"/>
      <c r="GX373" s="125"/>
      <c r="GY373" s="125"/>
      <c r="GZ373" s="125"/>
      <c r="HA373" s="125"/>
      <c r="HB373" s="125"/>
      <c r="HC373" s="125"/>
      <c r="HD373" s="125"/>
      <c r="HE373" s="125"/>
      <c r="HF373" s="125"/>
      <c r="HG373" s="125"/>
      <c r="HH373" s="125"/>
      <c r="HI373" s="125"/>
      <c r="HJ373" s="125"/>
      <c r="HK373" s="167"/>
      <c r="HL373" s="167"/>
      <c r="HM373" s="167"/>
      <c r="HN373" s="167"/>
      <c r="HO373" s="167"/>
      <c r="HP373" s="167"/>
      <c r="HQ373" s="167"/>
      <c r="HR373" s="167"/>
      <c r="HS373" s="125"/>
      <c r="HT373" s="125"/>
      <c r="HU373" s="125"/>
      <c r="HV373" s="125"/>
      <c r="HW373" s="125"/>
      <c r="HX373" s="125"/>
      <c r="HY373" s="125"/>
      <c r="HZ373" s="125"/>
      <c r="IA373" s="125"/>
      <c r="IB373" s="125"/>
      <c r="IC373" s="125"/>
      <c r="ID373" s="125"/>
      <c r="IE373" s="125"/>
      <c r="IF373" s="125"/>
      <c r="IG373" s="125"/>
      <c r="IH373" s="125"/>
      <c r="II373" s="167"/>
      <c r="IJ373" s="167"/>
      <c r="IK373" s="167"/>
      <c r="IL373" s="167"/>
      <c r="IM373" s="167"/>
      <c r="IN373" s="167"/>
      <c r="IO373" s="167"/>
      <c r="IP373" s="167"/>
      <c r="IQ373" s="125"/>
      <c r="IR373" s="125"/>
      <c r="IS373" s="125"/>
      <c r="IT373" s="125"/>
      <c r="IU373" s="125"/>
      <c r="IV373" s="125"/>
    </row>
    <row r="374" spans="1:256" s="3" customFormat="1">
      <c r="A374" s="80">
        <v>21</v>
      </c>
      <c r="B374" s="60">
        <v>43095</v>
      </c>
      <c r="C374" s="18"/>
      <c r="D374" s="19" t="s">
        <v>385</v>
      </c>
      <c r="E374" s="20" t="s">
        <v>383</v>
      </c>
      <c r="F374" s="168" t="s">
        <v>528</v>
      </c>
      <c r="G374" s="63">
        <v>1709</v>
      </c>
      <c r="H374" s="121">
        <v>1410000</v>
      </c>
      <c r="I374" s="24"/>
      <c r="J374" s="24">
        <f t="shared" si="35"/>
        <v>1342857.1428571427</v>
      </c>
      <c r="K374" s="24">
        <f t="shared" si="31"/>
        <v>1342857.1428571427</v>
      </c>
      <c r="L374" s="123">
        <v>1</v>
      </c>
      <c r="M374" s="24">
        <f t="shared" si="32"/>
        <v>1342857.1428571427</v>
      </c>
      <c r="N374" s="124">
        <f t="shared" si="33"/>
        <v>0</v>
      </c>
      <c r="O374" s="107" t="s">
        <v>499</v>
      </c>
      <c r="AA374" s="130"/>
      <c r="AB374" s="130"/>
      <c r="AC374" s="130"/>
      <c r="AD374" s="130"/>
      <c r="AE374" s="130"/>
      <c r="AF374" s="167"/>
      <c r="AG374" s="167"/>
      <c r="AH374" s="167"/>
      <c r="AI374" s="125"/>
      <c r="AJ374" s="125"/>
      <c r="AK374" s="125"/>
      <c r="AL374" s="125"/>
      <c r="AM374" s="125"/>
      <c r="AN374" s="125"/>
      <c r="AO374" s="125"/>
      <c r="AP374" s="125"/>
      <c r="AQ374" s="125"/>
      <c r="AR374" s="125"/>
      <c r="AS374" s="125"/>
      <c r="AT374" s="125"/>
      <c r="AU374" s="125"/>
      <c r="AV374" s="125"/>
      <c r="AW374" s="125"/>
      <c r="AX374" s="125"/>
      <c r="AY374" s="167"/>
      <c r="AZ374" s="167"/>
      <c r="BA374" s="167"/>
      <c r="BB374" s="167"/>
      <c r="BC374" s="167"/>
      <c r="BD374" s="167"/>
      <c r="BE374" s="167"/>
      <c r="BF374" s="167"/>
      <c r="BG374" s="125"/>
      <c r="BH374" s="125"/>
      <c r="BI374" s="125"/>
      <c r="BJ374" s="125"/>
      <c r="BK374" s="125"/>
      <c r="BL374" s="125"/>
      <c r="BM374" s="125"/>
      <c r="BN374" s="125"/>
      <c r="BO374" s="125"/>
      <c r="BP374" s="125"/>
      <c r="BQ374" s="125"/>
      <c r="BR374" s="125"/>
      <c r="BS374" s="125"/>
      <c r="BT374" s="125"/>
      <c r="BU374" s="125"/>
      <c r="BV374" s="125"/>
      <c r="BW374" s="167"/>
      <c r="BX374" s="167"/>
      <c r="BY374" s="167"/>
      <c r="BZ374" s="167"/>
      <c r="CA374" s="167"/>
      <c r="CB374" s="167"/>
      <c r="CC374" s="167"/>
      <c r="CD374" s="167"/>
      <c r="CE374" s="125"/>
      <c r="CF374" s="125"/>
      <c r="CG374" s="125"/>
      <c r="CH374" s="125"/>
      <c r="CI374" s="125"/>
      <c r="CJ374" s="125"/>
      <c r="CK374" s="125"/>
      <c r="CL374" s="125"/>
      <c r="CM374" s="125"/>
      <c r="CN374" s="125"/>
      <c r="CO374" s="125"/>
      <c r="CP374" s="125"/>
      <c r="CQ374" s="125"/>
      <c r="CR374" s="125"/>
      <c r="CS374" s="125"/>
      <c r="CT374" s="125"/>
      <c r="CU374" s="167"/>
      <c r="CV374" s="167"/>
      <c r="CW374" s="167"/>
      <c r="CX374" s="167"/>
      <c r="CY374" s="167"/>
      <c r="CZ374" s="167"/>
      <c r="DA374" s="167"/>
      <c r="DB374" s="167"/>
      <c r="DC374" s="125"/>
      <c r="DD374" s="125"/>
      <c r="DE374" s="125"/>
      <c r="DF374" s="125"/>
      <c r="DG374" s="125"/>
      <c r="DH374" s="125"/>
      <c r="DI374" s="125"/>
      <c r="DJ374" s="125"/>
      <c r="DK374" s="125"/>
      <c r="DL374" s="125"/>
      <c r="DM374" s="125"/>
      <c r="DN374" s="125"/>
      <c r="DO374" s="125"/>
      <c r="DP374" s="125"/>
      <c r="DQ374" s="125"/>
      <c r="DR374" s="125"/>
      <c r="DS374" s="167"/>
      <c r="DT374" s="167"/>
      <c r="DU374" s="167"/>
      <c r="DV374" s="167"/>
      <c r="DW374" s="167"/>
      <c r="DX374" s="167"/>
      <c r="DY374" s="167"/>
      <c r="DZ374" s="167"/>
      <c r="EA374" s="125"/>
      <c r="EB374" s="125"/>
      <c r="EC374" s="125"/>
      <c r="ED374" s="125"/>
      <c r="EE374" s="125"/>
      <c r="EF374" s="125"/>
      <c r="EG374" s="125"/>
      <c r="EH374" s="125"/>
      <c r="EI374" s="125"/>
      <c r="EJ374" s="125"/>
      <c r="EK374" s="125"/>
      <c r="EL374" s="125"/>
      <c r="EM374" s="125"/>
      <c r="EN374" s="125"/>
      <c r="EO374" s="125"/>
      <c r="EP374" s="125"/>
      <c r="EQ374" s="167"/>
      <c r="ER374" s="167"/>
      <c r="ES374" s="167"/>
      <c r="ET374" s="167"/>
      <c r="EU374" s="167"/>
      <c r="EV374" s="167"/>
      <c r="EW374" s="167"/>
      <c r="EX374" s="167"/>
      <c r="EY374" s="125"/>
      <c r="EZ374" s="125"/>
      <c r="FA374" s="125"/>
      <c r="FB374" s="125"/>
      <c r="FC374" s="125"/>
      <c r="FD374" s="125"/>
      <c r="FE374" s="125"/>
      <c r="FF374" s="125"/>
      <c r="FG374" s="125"/>
      <c r="FH374" s="125"/>
      <c r="FI374" s="125"/>
      <c r="FJ374" s="125"/>
      <c r="FK374" s="125"/>
      <c r="FL374" s="125"/>
      <c r="FM374" s="125"/>
      <c r="FN374" s="125"/>
      <c r="FO374" s="167"/>
      <c r="FP374" s="167"/>
      <c r="FQ374" s="167"/>
      <c r="FR374" s="167"/>
      <c r="FS374" s="167"/>
      <c r="FT374" s="167"/>
      <c r="FU374" s="167"/>
      <c r="FV374" s="167"/>
      <c r="FW374" s="125"/>
      <c r="FX374" s="125"/>
      <c r="FY374" s="125"/>
      <c r="FZ374" s="125"/>
      <c r="GA374" s="125"/>
      <c r="GB374" s="125"/>
      <c r="GC374" s="125"/>
      <c r="GD374" s="125"/>
      <c r="GE374" s="125"/>
      <c r="GF374" s="125"/>
      <c r="GG374" s="125"/>
      <c r="GH374" s="125"/>
      <c r="GI374" s="125"/>
      <c r="GJ374" s="125"/>
      <c r="GK374" s="125"/>
      <c r="GL374" s="125"/>
      <c r="GM374" s="167"/>
      <c r="GN374" s="167"/>
      <c r="GO374" s="167"/>
      <c r="GP374" s="167"/>
      <c r="GQ374" s="167"/>
      <c r="GR374" s="167"/>
      <c r="GS374" s="167"/>
      <c r="GT374" s="167"/>
      <c r="GU374" s="125"/>
      <c r="GV374" s="125"/>
      <c r="GW374" s="125"/>
      <c r="GX374" s="125"/>
      <c r="GY374" s="125"/>
      <c r="GZ374" s="125"/>
      <c r="HA374" s="125"/>
      <c r="HB374" s="125"/>
      <c r="HC374" s="125"/>
      <c r="HD374" s="125"/>
      <c r="HE374" s="125"/>
      <c r="HF374" s="125"/>
      <c r="HG374" s="125"/>
      <c r="HH374" s="125"/>
      <c r="HI374" s="125"/>
      <c r="HJ374" s="125"/>
      <c r="HK374" s="167"/>
      <c r="HL374" s="167"/>
      <c r="HM374" s="167"/>
      <c r="HN374" s="167"/>
      <c r="HO374" s="167"/>
      <c r="HP374" s="167"/>
      <c r="HQ374" s="167"/>
      <c r="HR374" s="167"/>
      <c r="HS374" s="125"/>
      <c r="HT374" s="125"/>
      <c r="HU374" s="125"/>
      <c r="HV374" s="125"/>
      <c r="HW374" s="125"/>
      <c r="HX374" s="125"/>
      <c r="HY374" s="125"/>
      <c r="HZ374" s="125"/>
      <c r="IA374" s="125"/>
      <c r="IB374" s="125"/>
      <c r="IC374" s="125"/>
      <c r="ID374" s="125"/>
      <c r="IE374" s="125"/>
      <c r="IF374" s="125"/>
      <c r="IG374" s="125"/>
      <c r="IH374" s="125"/>
      <c r="II374" s="167"/>
      <c r="IJ374" s="167"/>
      <c r="IK374" s="167"/>
      <c r="IL374" s="167"/>
      <c r="IM374" s="167"/>
      <c r="IN374" s="167"/>
      <c r="IO374" s="167"/>
      <c r="IP374" s="167"/>
      <c r="IQ374" s="125"/>
      <c r="IR374" s="125"/>
      <c r="IS374" s="125"/>
      <c r="IT374" s="125"/>
      <c r="IU374" s="125"/>
      <c r="IV374" s="125"/>
    </row>
    <row r="375" spans="1:256" s="3" customFormat="1">
      <c r="A375" s="80">
        <v>22</v>
      </c>
      <c r="B375" s="60">
        <v>43076</v>
      </c>
      <c r="C375" s="18" t="s">
        <v>226</v>
      </c>
      <c r="D375" s="19" t="s">
        <v>397</v>
      </c>
      <c r="E375" s="20" t="s">
        <v>529</v>
      </c>
      <c r="F375" s="120" t="s">
        <v>530</v>
      </c>
      <c r="G375" s="58">
        <v>1708</v>
      </c>
      <c r="H375" s="121">
        <f>1615000+8500</f>
        <v>1623500</v>
      </c>
      <c r="I375" s="24"/>
      <c r="J375" s="24">
        <f t="shared" si="35"/>
        <v>1546190.4761904762</v>
      </c>
      <c r="K375" s="24">
        <f t="shared" si="31"/>
        <v>1546190.4761904762</v>
      </c>
      <c r="L375" s="123">
        <v>1</v>
      </c>
      <c r="M375" s="24">
        <f t="shared" si="32"/>
        <v>1546190.4761904762</v>
      </c>
      <c r="N375" s="124">
        <f t="shared" si="33"/>
        <v>0</v>
      </c>
      <c r="O375" s="107" t="s">
        <v>499</v>
      </c>
      <c r="AA375" s="130"/>
      <c r="AB375" s="130"/>
      <c r="AC375" s="130"/>
      <c r="AD375" s="130"/>
      <c r="AE375" s="130"/>
      <c r="AF375" s="167"/>
      <c r="AG375" s="167"/>
      <c r="AH375" s="167"/>
      <c r="AI375" s="125"/>
      <c r="AJ375" s="125"/>
      <c r="AK375" s="125"/>
      <c r="AL375" s="125"/>
      <c r="AM375" s="125"/>
      <c r="AN375" s="125"/>
      <c r="AO375" s="125"/>
      <c r="AP375" s="125"/>
      <c r="AQ375" s="125"/>
      <c r="AR375" s="125"/>
      <c r="AS375" s="125"/>
      <c r="AT375" s="125"/>
      <c r="AU375" s="125"/>
      <c r="AV375" s="125"/>
      <c r="AW375" s="125"/>
      <c r="AX375" s="125"/>
      <c r="AY375" s="167"/>
      <c r="AZ375" s="167"/>
      <c r="BA375" s="167"/>
      <c r="BB375" s="167"/>
      <c r="BC375" s="167"/>
      <c r="BD375" s="167"/>
      <c r="BE375" s="167"/>
      <c r="BF375" s="167"/>
      <c r="BG375" s="125"/>
      <c r="BH375" s="125"/>
      <c r="BI375" s="125"/>
      <c r="BJ375" s="125"/>
      <c r="BK375" s="125"/>
      <c r="BL375" s="125"/>
      <c r="BM375" s="125"/>
      <c r="BN375" s="125"/>
      <c r="BO375" s="125"/>
      <c r="BP375" s="125"/>
      <c r="BQ375" s="125"/>
      <c r="BR375" s="125"/>
      <c r="BS375" s="125"/>
      <c r="BT375" s="125"/>
      <c r="BU375" s="125"/>
      <c r="BV375" s="125"/>
      <c r="BW375" s="167"/>
      <c r="BX375" s="167"/>
      <c r="BY375" s="167"/>
      <c r="BZ375" s="167"/>
      <c r="CA375" s="167"/>
      <c r="CB375" s="167"/>
      <c r="CC375" s="167"/>
      <c r="CD375" s="167"/>
      <c r="CE375" s="125"/>
      <c r="CF375" s="125"/>
      <c r="CG375" s="125"/>
      <c r="CH375" s="125"/>
      <c r="CI375" s="125"/>
      <c r="CJ375" s="125"/>
      <c r="CK375" s="125"/>
      <c r="CL375" s="125"/>
      <c r="CM375" s="125"/>
      <c r="CN375" s="125"/>
      <c r="CO375" s="125"/>
      <c r="CP375" s="125"/>
      <c r="CQ375" s="125"/>
      <c r="CR375" s="125"/>
      <c r="CS375" s="125"/>
      <c r="CT375" s="125"/>
      <c r="CU375" s="167"/>
      <c r="CV375" s="167"/>
      <c r="CW375" s="167"/>
      <c r="CX375" s="167"/>
      <c r="CY375" s="167"/>
      <c r="CZ375" s="167"/>
      <c r="DA375" s="167"/>
      <c r="DB375" s="167"/>
      <c r="DC375" s="125"/>
      <c r="DD375" s="125"/>
      <c r="DE375" s="125"/>
      <c r="DF375" s="125"/>
      <c r="DG375" s="125"/>
      <c r="DH375" s="125"/>
      <c r="DI375" s="125"/>
      <c r="DJ375" s="125"/>
      <c r="DK375" s="125"/>
      <c r="DL375" s="125"/>
      <c r="DM375" s="125"/>
      <c r="DN375" s="125"/>
      <c r="DO375" s="125"/>
      <c r="DP375" s="125"/>
      <c r="DQ375" s="125"/>
      <c r="DR375" s="125"/>
      <c r="DS375" s="167"/>
      <c r="DT375" s="167"/>
      <c r="DU375" s="167"/>
      <c r="DV375" s="167"/>
      <c r="DW375" s="167"/>
      <c r="DX375" s="167"/>
      <c r="DY375" s="167"/>
      <c r="DZ375" s="167"/>
      <c r="EA375" s="125"/>
      <c r="EB375" s="125"/>
      <c r="EC375" s="125"/>
      <c r="ED375" s="125"/>
      <c r="EE375" s="125"/>
      <c r="EF375" s="125"/>
      <c r="EG375" s="125"/>
      <c r="EH375" s="125"/>
      <c r="EI375" s="125"/>
      <c r="EJ375" s="125"/>
      <c r="EK375" s="125"/>
      <c r="EL375" s="125"/>
      <c r="EM375" s="125"/>
      <c r="EN375" s="125"/>
      <c r="EO375" s="125"/>
      <c r="EP375" s="125"/>
      <c r="EQ375" s="167"/>
      <c r="ER375" s="167"/>
      <c r="ES375" s="167"/>
      <c r="ET375" s="167"/>
      <c r="EU375" s="167"/>
      <c r="EV375" s="167"/>
      <c r="EW375" s="167"/>
      <c r="EX375" s="167"/>
      <c r="EY375" s="125"/>
      <c r="EZ375" s="125"/>
      <c r="FA375" s="125"/>
      <c r="FB375" s="125"/>
      <c r="FC375" s="125"/>
      <c r="FD375" s="125"/>
      <c r="FE375" s="125"/>
      <c r="FF375" s="125"/>
      <c r="FG375" s="125"/>
      <c r="FH375" s="125"/>
      <c r="FI375" s="125"/>
      <c r="FJ375" s="125"/>
      <c r="FK375" s="125"/>
      <c r="FL375" s="125"/>
      <c r="FM375" s="125"/>
      <c r="FN375" s="125"/>
      <c r="FO375" s="167"/>
      <c r="FP375" s="167"/>
      <c r="FQ375" s="167"/>
      <c r="FR375" s="167"/>
      <c r="FS375" s="167"/>
      <c r="FT375" s="167"/>
      <c r="FU375" s="167"/>
      <c r="FV375" s="167"/>
      <c r="FW375" s="125"/>
      <c r="FX375" s="125"/>
      <c r="FY375" s="125"/>
      <c r="FZ375" s="125"/>
      <c r="GA375" s="125"/>
      <c r="GB375" s="125"/>
      <c r="GC375" s="125"/>
      <c r="GD375" s="125"/>
      <c r="GE375" s="125"/>
      <c r="GF375" s="125"/>
      <c r="GG375" s="125"/>
      <c r="GH375" s="125"/>
      <c r="GI375" s="125"/>
      <c r="GJ375" s="125"/>
      <c r="GK375" s="125"/>
      <c r="GL375" s="125"/>
      <c r="GM375" s="167"/>
      <c r="GN375" s="167"/>
      <c r="GO375" s="167"/>
      <c r="GP375" s="167"/>
      <c r="GQ375" s="167"/>
      <c r="GR375" s="167"/>
      <c r="GS375" s="167"/>
      <c r="GT375" s="167"/>
      <c r="GU375" s="125"/>
      <c r="GV375" s="125"/>
      <c r="GW375" s="125"/>
      <c r="GX375" s="125"/>
      <c r="GY375" s="125"/>
      <c r="GZ375" s="125"/>
      <c r="HA375" s="125"/>
      <c r="HB375" s="125"/>
      <c r="HC375" s="125"/>
      <c r="HD375" s="125"/>
      <c r="HE375" s="125"/>
      <c r="HF375" s="125"/>
      <c r="HG375" s="125"/>
      <c r="HH375" s="125"/>
      <c r="HI375" s="125"/>
      <c r="HJ375" s="125"/>
      <c r="HK375" s="167"/>
      <c r="HL375" s="167"/>
      <c r="HM375" s="167"/>
      <c r="HN375" s="167"/>
      <c r="HO375" s="167"/>
      <c r="HP375" s="167"/>
      <c r="HQ375" s="167"/>
      <c r="HR375" s="167"/>
      <c r="HS375" s="125"/>
      <c r="HT375" s="125"/>
      <c r="HU375" s="125"/>
      <c r="HV375" s="125"/>
      <c r="HW375" s="125"/>
      <c r="HX375" s="125"/>
      <c r="HY375" s="125"/>
      <c r="HZ375" s="125"/>
      <c r="IA375" s="125"/>
      <c r="IB375" s="125"/>
      <c r="IC375" s="125"/>
      <c r="ID375" s="125"/>
      <c r="IE375" s="125"/>
      <c r="IF375" s="125"/>
      <c r="IG375" s="125"/>
      <c r="IH375" s="125"/>
      <c r="II375" s="167"/>
      <c r="IJ375" s="167"/>
      <c r="IK375" s="167"/>
      <c r="IL375" s="167"/>
      <c r="IM375" s="167"/>
      <c r="IN375" s="167"/>
      <c r="IO375" s="167"/>
      <c r="IP375" s="167"/>
      <c r="IQ375" s="125"/>
      <c r="IR375" s="125"/>
      <c r="IS375" s="125"/>
      <c r="IT375" s="125"/>
      <c r="IU375" s="125"/>
      <c r="IV375" s="125"/>
    </row>
    <row r="376" spans="1:256" s="3" customFormat="1">
      <c r="A376" s="80">
        <v>23</v>
      </c>
      <c r="B376" s="56">
        <v>43097</v>
      </c>
      <c r="C376" s="18"/>
      <c r="D376" s="19" t="s">
        <v>379</v>
      </c>
      <c r="E376" s="20" t="s">
        <v>394</v>
      </c>
      <c r="F376" s="62" t="s">
        <v>531</v>
      </c>
      <c r="G376" s="63">
        <v>1710</v>
      </c>
      <c r="H376" s="121">
        <v>1701400</v>
      </c>
      <c r="I376" s="24"/>
      <c r="J376" s="24">
        <f t="shared" si="35"/>
        <v>1620380.9523809524</v>
      </c>
      <c r="K376" s="24">
        <f t="shared" si="31"/>
        <v>1620380.9523809524</v>
      </c>
      <c r="L376" s="123">
        <v>1</v>
      </c>
      <c r="M376" s="24">
        <f t="shared" si="32"/>
        <v>1620380.9523809524</v>
      </c>
      <c r="N376" s="124">
        <f t="shared" si="33"/>
        <v>0</v>
      </c>
      <c r="O376" s="107" t="s">
        <v>499</v>
      </c>
      <c r="Q376" s="140"/>
      <c r="AA376" s="130"/>
      <c r="AB376" s="130"/>
      <c r="AC376" s="130"/>
      <c r="AD376" s="130"/>
      <c r="AE376" s="130"/>
      <c r="AF376" s="130"/>
      <c r="AG376" s="130"/>
      <c r="AH376" s="130"/>
      <c r="AL376" s="125"/>
      <c r="AM376" s="125"/>
      <c r="AN376" s="125"/>
      <c r="AO376" s="125"/>
      <c r="AP376" s="125"/>
      <c r="AQ376" s="125"/>
      <c r="AR376" s="125"/>
      <c r="AS376" s="125"/>
      <c r="AT376" s="125"/>
      <c r="AU376" s="125"/>
      <c r="AV376" s="125"/>
      <c r="AW376" s="125"/>
      <c r="AX376" s="125"/>
      <c r="AY376" s="167"/>
      <c r="AZ376" s="167"/>
      <c r="BA376" s="167"/>
      <c r="BB376" s="167"/>
      <c r="BC376" s="167"/>
      <c r="BD376" s="167"/>
      <c r="BE376" s="167"/>
      <c r="BF376" s="167"/>
      <c r="BG376" s="125"/>
      <c r="BH376" s="125"/>
      <c r="BI376" s="125"/>
      <c r="BJ376" s="125"/>
      <c r="BK376" s="125"/>
      <c r="BL376" s="125"/>
      <c r="BM376" s="125"/>
      <c r="BN376" s="125"/>
      <c r="BO376" s="125"/>
      <c r="BP376" s="125"/>
      <c r="BQ376" s="125"/>
      <c r="BR376" s="125"/>
      <c r="BS376" s="125"/>
      <c r="BT376" s="125"/>
      <c r="BU376" s="125"/>
      <c r="BV376" s="125"/>
      <c r="BW376" s="167"/>
      <c r="BX376" s="167"/>
      <c r="BY376" s="167"/>
      <c r="BZ376" s="167"/>
      <c r="CA376" s="167"/>
      <c r="CB376" s="167"/>
      <c r="CC376" s="167"/>
      <c r="CD376" s="167"/>
      <c r="CE376" s="125"/>
      <c r="CF376" s="125"/>
      <c r="CG376" s="125"/>
      <c r="CH376" s="125"/>
      <c r="CI376" s="125"/>
      <c r="CJ376" s="125"/>
      <c r="CK376" s="125"/>
      <c r="CL376" s="125"/>
      <c r="CM376" s="125"/>
      <c r="CN376" s="125"/>
      <c r="CO376" s="125"/>
      <c r="CP376" s="125"/>
      <c r="CQ376" s="125"/>
      <c r="CR376" s="125"/>
      <c r="CS376" s="125"/>
      <c r="CT376" s="125"/>
      <c r="CU376" s="167"/>
      <c r="CV376" s="167"/>
      <c r="CW376" s="167"/>
      <c r="CX376" s="167"/>
      <c r="CY376" s="167"/>
      <c r="CZ376" s="167"/>
      <c r="DA376" s="167"/>
      <c r="DB376" s="167"/>
      <c r="DC376" s="125"/>
      <c r="DD376" s="125"/>
      <c r="DE376" s="125"/>
      <c r="DF376" s="125"/>
      <c r="DG376" s="125"/>
      <c r="DH376" s="125"/>
      <c r="DI376" s="125"/>
      <c r="DJ376" s="125"/>
      <c r="DK376" s="125"/>
      <c r="DL376" s="125"/>
      <c r="DM376" s="125"/>
      <c r="DN376" s="125"/>
      <c r="DO376" s="125"/>
      <c r="DP376" s="125"/>
      <c r="DQ376" s="125"/>
      <c r="DR376" s="125"/>
      <c r="DS376" s="167"/>
      <c r="DT376" s="167"/>
      <c r="DU376" s="167"/>
      <c r="DV376" s="167"/>
      <c r="DW376" s="167"/>
      <c r="DX376" s="167"/>
      <c r="DY376" s="167"/>
      <c r="DZ376" s="167"/>
      <c r="EA376" s="125"/>
      <c r="EB376" s="125"/>
      <c r="EC376" s="125"/>
      <c r="ED376" s="125"/>
      <c r="EE376" s="125"/>
      <c r="EF376" s="125"/>
      <c r="EG376" s="125"/>
      <c r="EH376" s="125"/>
      <c r="EI376" s="125"/>
      <c r="EJ376" s="125"/>
      <c r="EK376" s="125"/>
      <c r="EL376" s="125"/>
      <c r="EM376" s="125"/>
      <c r="EN376" s="125"/>
      <c r="EO376" s="125"/>
      <c r="EP376" s="125"/>
      <c r="EQ376" s="167"/>
      <c r="ER376" s="167"/>
      <c r="ES376" s="167"/>
      <c r="ET376" s="167"/>
      <c r="EU376" s="167"/>
      <c r="EV376" s="167"/>
      <c r="EW376" s="167"/>
      <c r="EX376" s="167"/>
      <c r="EY376" s="125"/>
      <c r="EZ376" s="125"/>
      <c r="FA376" s="125"/>
      <c r="FB376" s="125"/>
      <c r="FC376" s="125"/>
      <c r="FD376" s="125"/>
      <c r="FE376" s="125"/>
      <c r="FF376" s="125"/>
      <c r="FG376" s="125"/>
      <c r="FH376" s="125"/>
      <c r="FI376" s="125"/>
      <c r="FJ376" s="125"/>
      <c r="FK376" s="125"/>
      <c r="FL376" s="125"/>
      <c r="FM376" s="125"/>
      <c r="FN376" s="125"/>
      <c r="FO376" s="167"/>
      <c r="FP376" s="167"/>
      <c r="FQ376" s="167"/>
      <c r="FR376" s="167"/>
      <c r="FS376" s="167"/>
      <c r="FT376" s="167"/>
      <c r="FU376" s="167"/>
      <c r="FV376" s="167"/>
      <c r="FW376" s="125"/>
      <c r="FX376" s="125"/>
      <c r="FY376" s="125"/>
      <c r="FZ376" s="125"/>
      <c r="GA376" s="125"/>
      <c r="GB376" s="125"/>
      <c r="GC376" s="125"/>
      <c r="GD376" s="125"/>
      <c r="GE376" s="125"/>
      <c r="GF376" s="125"/>
      <c r="GG376" s="125"/>
      <c r="GH376" s="125"/>
      <c r="GI376" s="125"/>
      <c r="GJ376" s="125"/>
      <c r="GK376" s="125"/>
      <c r="GL376" s="125"/>
      <c r="GM376" s="167"/>
      <c r="GN376" s="167"/>
      <c r="GO376" s="167"/>
      <c r="GP376" s="167"/>
      <c r="GQ376" s="167"/>
      <c r="GR376" s="167"/>
      <c r="GS376" s="167"/>
      <c r="GT376" s="167"/>
      <c r="GU376" s="125"/>
      <c r="GV376" s="125"/>
      <c r="GW376" s="125"/>
      <c r="GX376" s="125"/>
      <c r="GY376" s="125"/>
      <c r="GZ376" s="125"/>
      <c r="HA376" s="125"/>
      <c r="HB376" s="125"/>
      <c r="HC376" s="125"/>
      <c r="HD376" s="125"/>
      <c r="HE376" s="125"/>
      <c r="HF376" s="125"/>
      <c r="HG376" s="125"/>
      <c r="HH376" s="125"/>
      <c r="HI376" s="125"/>
      <c r="HJ376" s="125"/>
      <c r="HK376" s="167"/>
      <c r="HL376" s="167"/>
      <c r="HM376" s="167"/>
      <c r="HN376" s="167"/>
      <c r="HO376" s="167"/>
      <c r="HP376" s="167"/>
      <c r="HQ376" s="167"/>
      <c r="HR376" s="167"/>
      <c r="HS376" s="125"/>
      <c r="HT376" s="125"/>
      <c r="HU376" s="125"/>
      <c r="HV376" s="125"/>
      <c r="HW376" s="125"/>
      <c r="HX376" s="125"/>
      <c r="HY376" s="125"/>
      <c r="HZ376" s="125"/>
      <c r="IA376" s="125"/>
      <c r="IB376" s="125"/>
      <c r="IC376" s="125"/>
      <c r="ID376" s="125"/>
      <c r="IE376" s="125"/>
      <c r="IF376" s="125"/>
      <c r="IG376" s="125"/>
      <c r="IH376" s="125"/>
      <c r="II376" s="167"/>
      <c r="IJ376" s="167"/>
      <c r="IK376" s="167"/>
      <c r="IL376" s="167"/>
      <c r="IM376" s="167"/>
      <c r="IN376" s="167"/>
      <c r="IO376" s="167"/>
      <c r="IP376" s="167"/>
      <c r="IQ376" s="125"/>
      <c r="IR376" s="125"/>
      <c r="IS376" s="125"/>
      <c r="IT376" s="125"/>
      <c r="IU376" s="125"/>
      <c r="IV376" s="125"/>
    </row>
    <row r="377" spans="1:256" s="3" customFormat="1">
      <c r="A377" s="80">
        <v>24</v>
      </c>
      <c r="B377" s="60">
        <v>42965</v>
      </c>
      <c r="C377" s="18"/>
      <c r="D377" s="19" t="s">
        <v>385</v>
      </c>
      <c r="E377" s="20" t="s">
        <v>532</v>
      </c>
      <c r="F377" s="62" t="s">
        <v>533</v>
      </c>
      <c r="G377" s="63">
        <v>1704</v>
      </c>
      <c r="H377" s="121">
        <f>54000</f>
        <v>54000</v>
      </c>
      <c r="I377" s="24">
        <v>1667619</v>
      </c>
      <c r="J377" s="24"/>
      <c r="K377" s="24">
        <f t="shared" si="31"/>
        <v>1667619</v>
      </c>
      <c r="L377" s="123">
        <v>1</v>
      </c>
      <c r="M377" s="24">
        <f t="shared" si="32"/>
        <v>1667619</v>
      </c>
      <c r="N377" s="124">
        <f t="shared" si="33"/>
        <v>0</v>
      </c>
      <c r="O377" s="107" t="s">
        <v>499</v>
      </c>
      <c r="AA377" s="130"/>
      <c r="AB377" s="130"/>
      <c r="AC377" s="130"/>
      <c r="AD377" s="130"/>
      <c r="AE377" s="130"/>
      <c r="AF377" s="130"/>
      <c r="AG377" s="130"/>
      <c r="AH377" s="130"/>
      <c r="AY377" s="130"/>
      <c r="AZ377" s="130"/>
      <c r="BA377" s="130"/>
      <c r="BB377" s="130"/>
      <c r="BC377" s="130"/>
      <c r="BD377" s="130"/>
      <c r="BE377" s="130"/>
      <c r="BF377" s="130"/>
      <c r="BW377" s="130"/>
      <c r="BX377" s="130"/>
      <c r="BY377" s="130"/>
      <c r="BZ377" s="130"/>
      <c r="CA377" s="130"/>
      <c r="CB377" s="130"/>
      <c r="CC377" s="130"/>
      <c r="CD377" s="130"/>
      <c r="CU377" s="130"/>
      <c r="CV377" s="130"/>
      <c r="CW377" s="130"/>
      <c r="CX377" s="130"/>
      <c r="CY377" s="130"/>
      <c r="CZ377" s="130"/>
      <c r="DA377" s="130"/>
      <c r="DB377" s="130"/>
      <c r="DS377" s="130"/>
      <c r="DT377" s="130"/>
      <c r="DU377" s="130"/>
      <c r="DV377" s="130"/>
      <c r="DW377" s="130"/>
      <c r="DX377" s="130"/>
      <c r="DY377" s="130"/>
      <c r="DZ377" s="130"/>
      <c r="EQ377" s="130"/>
      <c r="ER377" s="130"/>
      <c r="ES377" s="130"/>
      <c r="ET377" s="130"/>
      <c r="EU377" s="130"/>
      <c r="EV377" s="130"/>
      <c r="EW377" s="130"/>
      <c r="EX377" s="130"/>
      <c r="FO377" s="130"/>
      <c r="FP377" s="130"/>
      <c r="FQ377" s="130"/>
      <c r="FR377" s="130"/>
      <c r="FS377" s="130"/>
      <c r="FT377" s="130"/>
      <c r="FU377" s="130"/>
      <c r="FV377" s="130"/>
      <c r="GM377" s="130"/>
      <c r="GN377" s="130"/>
      <c r="GO377" s="130"/>
      <c r="GP377" s="130"/>
      <c r="GQ377" s="130"/>
      <c r="GR377" s="130"/>
      <c r="GS377" s="130"/>
      <c r="GT377" s="130"/>
      <c r="HK377" s="130"/>
      <c r="HL377" s="130"/>
      <c r="HM377" s="130"/>
      <c r="HN377" s="130"/>
      <c r="HO377" s="130"/>
      <c r="HP377" s="130"/>
      <c r="HQ377" s="130"/>
      <c r="HR377" s="130"/>
      <c r="II377" s="130"/>
      <c r="IJ377" s="130"/>
      <c r="IK377" s="130"/>
      <c r="IL377" s="130"/>
      <c r="IM377" s="130"/>
      <c r="IN377" s="130"/>
      <c r="IO377" s="130"/>
      <c r="IP377" s="130"/>
    </row>
    <row r="378" spans="1:256" s="3" customFormat="1">
      <c r="A378" s="80">
        <v>25</v>
      </c>
      <c r="B378" s="60">
        <v>43082</v>
      </c>
      <c r="C378" s="18"/>
      <c r="D378" s="19" t="s">
        <v>379</v>
      </c>
      <c r="E378" s="20" t="s">
        <v>394</v>
      </c>
      <c r="F378" s="61" t="s">
        <v>534</v>
      </c>
      <c r="G378" s="63">
        <v>1708</v>
      </c>
      <c r="H378" s="121">
        <v>1701400</v>
      </c>
      <c r="I378" s="24"/>
      <c r="J378" s="24">
        <f>SUM(H378)/1.05</f>
        <v>1620380.9523809524</v>
      </c>
      <c r="K378" s="24">
        <f t="shared" si="31"/>
        <v>1620380.9523809524</v>
      </c>
      <c r="L378" s="123">
        <v>1</v>
      </c>
      <c r="M378" s="24">
        <f t="shared" si="32"/>
        <v>1620380.9523809524</v>
      </c>
      <c r="N378" s="124">
        <f t="shared" si="33"/>
        <v>0</v>
      </c>
      <c r="O378" s="107" t="s">
        <v>499</v>
      </c>
      <c r="AA378" s="130"/>
      <c r="AB378" s="130"/>
      <c r="AC378" s="130"/>
      <c r="AD378" s="130"/>
      <c r="AE378" s="130"/>
      <c r="AF378" s="130"/>
      <c r="AG378" s="130"/>
      <c r="AH378" s="130"/>
      <c r="AY378" s="130"/>
      <c r="AZ378" s="130"/>
      <c r="BA378" s="130"/>
      <c r="BB378" s="130"/>
      <c r="BC378" s="130"/>
      <c r="BD378" s="130"/>
      <c r="BE378" s="130"/>
      <c r="BF378" s="130"/>
      <c r="BW378" s="130"/>
      <c r="BX378" s="130"/>
      <c r="BY378" s="130"/>
      <c r="BZ378" s="130"/>
      <c r="CA378" s="130"/>
      <c r="CB378" s="130"/>
      <c r="CC378" s="130"/>
      <c r="CD378" s="130"/>
      <c r="CU378" s="130"/>
      <c r="CV378" s="130"/>
      <c r="CW378" s="130"/>
      <c r="CX378" s="130"/>
      <c r="CY378" s="130"/>
      <c r="CZ378" s="130"/>
      <c r="DA378" s="130"/>
      <c r="DB378" s="130"/>
      <c r="DS378" s="130"/>
      <c r="DT378" s="130"/>
      <c r="DU378" s="130"/>
      <c r="DV378" s="130"/>
      <c r="DW378" s="130"/>
      <c r="DX378" s="130"/>
      <c r="DY378" s="130"/>
      <c r="DZ378" s="130"/>
      <c r="EQ378" s="130"/>
      <c r="ER378" s="130"/>
      <c r="ES378" s="130"/>
      <c r="ET378" s="130"/>
      <c r="EU378" s="130"/>
      <c r="EV378" s="130"/>
      <c r="EW378" s="130"/>
      <c r="EX378" s="130"/>
      <c r="FO378" s="130"/>
      <c r="FP378" s="130"/>
      <c r="FQ378" s="130"/>
      <c r="FR378" s="130"/>
      <c r="FS378" s="130"/>
      <c r="FT378" s="130"/>
      <c r="FU378" s="130"/>
      <c r="FV378" s="130"/>
      <c r="GM378" s="130"/>
      <c r="GN378" s="130"/>
      <c r="GO378" s="130"/>
      <c r="GP378" s="130"/>
      <c r="GQ378" s="130"/>
      <c r="GR378" s="130"/>
      <c r="GS378" s="130"/>
      <c r="GT378" s="130"/>
      <c r="HK378" s="130"/>
      <c r="HL378" s="130"/>
      <c r="HM378" s="130"/>
      <c r="HN378" s="130"/>
      <c r="HO378" s="130"/>
      <c r="HP378" s="130"/>
      <c r="HQ378" s="130"/>
      <c r="HR378" s="130"/>
      <c r="II378" s="130"/>
      <c r="IJ378" s="130"/>
      <c r="IK378" s="130"/>
      <c r="IL378" s="130"/>
      <c r="IM378" s="130"/>
      <c r="IN378" s="130"/>
      <c r="IO378" s="130"/>
      <c r="IP378" s="130"/>
    </row>
    <row r="379" spans="1:256" s="3" customFormat="1">
      <c r="A379" s="80">
        <v>26</v>
      </c>
      <c r="B379" s="56">
        <v>43084</v>
      </c>
      <c r="C379" s="18"/>
      <c r="D379" s="19" t="s">
        <v>305</v>
      </c>
      <c r="E379" s="20" t="s">
        <v>306</v>
      </c>
      <c r="F379" s="82" t="s">
        <v>535</v>
      </c>
      <c r="G379" s="58">
        <v>1709</v>
      </c>
      <c r="H379" s="121">
        <v>1660000</v>
      </c>
      <c r="I379" s="24"/>
      <c r="J379" s="24">
        <f>SUM(H379)/1.05</f>
        <v>1580952.3809523808</v>
      </c>
      <c r="K379" s="199">
        <f t="shared" si="31"/>
        <v>1580952.3809523808</v>
      </c>
      <c r="L379" s="123">
        <v>1</v>
      </c>
      <c r="M379" s="24">
        <f t="shared" si="32"/>
        <v>1580952.3809523808</v>
      </c>
      <c r="N379" s="124">
        <f t="shared" si="33"/>
        <v>0</v>
      </c>
      <c r="O379" s="107" t="s">
        <v>499</v>
      </c>
      <c r="AA379" s="130"/>
      <c r="AB379" s="130"/>
      <c r="AC379" s="130"/>
      <c r="AD379" s="130"/>
      <c r="AE379" s="130"/>
      <c r="AF379" s="167"/>
      <c r="AG379" s="167"/>
      <c r="AH379" s="167"/>
      <c r="AI379" s="125"/>
      <c r="AJ379" s="125"/>
      <c r="AK379" s="125"/>
      <c r="AL379" s="125"/>
      <c r="AM379" s="125"/>
      <c r="AN379" s="125"/>
      <c r="AO379" s="125"/>
      <c r="AP379" s="125"/>
      <c r="AQ379" s="125"/>
      <c r="AR379" s="125"/>
      <c r="AS379" s="125"/>
      <c r="AT379" s="125"/>
      <c r="AU379" s="125"/>
      <c r="AV379" s="125"/>
      <c r="AW379" s="125"/>
      <c r="AX379" s="125"/>
      <c r="AY379" s="167"/>
      <c r="AZ379" s="167"/>
      <c r="BA379" s="167"/>
      <c r="BB379" s="167"/>
      <c r="BC379" s="167"/>
      <c r="BD379" s="167"/>
      <c r="BE379" s="167"/>
      <c r="BF379" s="167"/>
      <c r="BG379" s="125"/>
      <c r="BH379" s="125"/>
      <c r="BI379" s="125"/>
      <c r="BJ379" s="125"/>
      <c r="BK379" s="125"/>
      <c r="BL379" s="125"/>
      <c r="BM379" s="125"/>
      <c r="BN379" s="125"/>
      <c r="BO379" s="125"/>
      <c r="BP379" s="125"/>
      <c r="BQ379" s="125"/>
      <c r="BR379" s="125"/>
      <c r="BS379" s="125"/>
      <c r="BT379" s="125"/>
      <c r="BU379" s="125"/>
      <c r="BV379" s="125"/>
      <c r="BW379" s="167"/>
      <c r="BX379" s="167"/>
      <c r="BY379" s="167"/>
      <c r="BZ379" s="167"/>
      <c r="CA379" s="167"/>
      <c r="CB379" s="167"/>
      <c r="CC379" s="167"/>
      <c r="CD379" s="167"/>
      <c r="CE379" s="125"/>
      <c r="CF379" s="125"/>
      <c r="CG379" s="125"/>
      <c r="CH379" s="125"/>
      <c r="CI379" s="125"/>
      <c r="CJ379" s="125"/>
      <c r="CK379" s="125"/>
      <c r="CL379" s="125"/>
      <c r="CM379" s="125"/>
      <c r="CN379" s="125"/>
      <c r="CO379" s="125"/>
      <c r="CP379" s="125"/>
      <c r="CQ379" s="125"/>
      <c r="CR379" s="125"/>
      <c r="CS379" s="125"/>
      <c r="CT379" s="125"/>
      <c r="CU379" s="167"/>
      <c r="CV379" s="167"/>
      <c r="CW379" s="167"/>
      <c r="CX379" s="167"/>
      <c r="CY379" s="167"/>
      <c r="CZ379" s="167"/>
      <c r="DA379" s="167"/>
      <c r="DB379" s="167"/>
      <c r="DC379" s="125"/>
      <c r="DD379" s="125"/>
      <c r="DE379" s="125"/>
      <c r="DF379" s="125"/>
      <c r="DG379" s="125"/>
      <c r="DH379" s="125"/>
      <c r="DI379" s="125"/>
      <c r="DJ379" s="125"/>
      <c r="DK379" s="125"/>
      <c r="DL379" s="125"/>
      <c r="DM379" s="125"/>
      <c r="DN379" s="125"/>
      <c r="DO379" s="125"/>
      <c r="DP379" s="125"/>
      <c r="DQ379" s="125"/>
      <c r="DR379" s="125"/>
      <c r="DS379" s="167"/>
      <c r="DT379" s="167"/>
      <c r="DU379" s="167"/>
      <c r="DV379" s="167"/>
      <c r="DW379" s="167"/>
      <c r="DX379" s="167"/>
      <c r="DY379" s="167"/>
      <c r="DZ379" s="167"/>
      <c r="EA379" s="125"/>
      <c r="EB379" s="125"/>
      <c r="EC379" s="125"/>
      <c r="ED379" s="125"/>
      <c r="EE379" s="125"/>
      <c r="EF379" s="125"/>
      <c r="EG379" s="125"/>
      <c r="EH379" s="125"/>
      <c r="EI379" s="125"/>
      <c r="EJ379" s="125"/>
      <c r="EK379" s="125"/>
      <c r="EL379" s="125"/>
      <c r="EM379" s="125"/>
      <c r="EN379" s="125"/>
      <c r="EO379" s="125"/>
      <c r="EP379" s="125"/>
      <c r="EQ379" s="167"/>
      <c r="ER379" s="167"/>
      <c r="ES379" s="167"/>
      <c r="ET379" s="167"/>
      <c r="EU379" s="167"/>
      <c r="EV379" s="167"/>
      <c r="EW379" s="167"/>
      <c r="EX379" s="167"/>
      <c r="EY379" s="125"/>
      <c r="EZ379" s="125"/>
      <c r="FA379" s="125"/>
      <c r="FB379" s="125"/>
      <c r="FC379" s="125"/>
      <c r="FD379" s="125"/>
      <c r="FE379" s="125"/>
      <c r="FF379" s="125"/>
      <c r="FG379" s="125"/>
      <c r="FH379" s="125"/>
      <c r="FI379" s="125"/>
      <c r="FJ379" s="125"/>
      <c r="FK379" s="125"/>
      <c r="FL379" s="125"/>
      <c r="FM379" s="125"/>
      <c r="FN379" s="125"/>
      <c r="FO379" s="167"/>
      <c r="FP379" s="167"/>
      <c r="FQ379" s="167"/>
      <c r="FR379" s="167"/>
      <c r="FS379" s="167"/>
      <c r="FT379" s="167"/>
      <c r="FU379" s="167"/>
      <c r="FV379" s="167"/>
      <c r="FW379" s="125"/>
      <c r="FX379" s="125"/>
      <c r="FY379" s="125"/>
      <c r="FZ379" s="125"/>
      <c r="GA379" s="125"/>
      <c r="GB379" s="125"/>
      <c r="GC379" s="125"/>
      <c r="GD379" s="125"/>
      <c r="GE379" s="125"/>
      <c r="GF379" s="125"/>
      <c r="GG379" s="125"/>
      <c r="GH379" s="125"/>
      <c r="GI379" s="125"/>
      <c r="GJ379" s="125"/>
      <c r="GK379" s="125"/>
      <c r="GL379" s="125"/>
      <c r="GM379" s="167"/>
      <c r="GN379" s="167"/>
      <c r="GO379" s="167"/>
      <c r="GP379" s="167"/>
      <c r="GQ379" s="167"/>
      <c r="GR379" s="167"/>
      <c r="GS379" s="167"/>
      <c r="GT379" s="167"/>
      <c r="GU379" s="125"/>
      <c r="GV379" s="125"/>
      <c r="GW379" s="125"/>
      <c r="GX379" s="125"/>
      <c r="GY379" s="125"/>
      <c r="GZ379" s="125"/>
      <c r="HA379" s="125"/>
      <c r="HB379" s="125"/>
      <c r="HC379" s="125"/>
      <c r="HD379" s="125"/>
      <c r="HE379" s="125"/>
      <c r="HF379" s="125"/>
      <c r="HG379" s="125"/>
      <c r="HH379" s="125"/>
      <c r="HI379" s="125"/>
      <c r="HJ379" s="125"/>
      <c r="HK379" s="167"/>
      <c r="HL379" s="167"/>
      <c r="HM379" s="167"/>
      <c r="HN379" s="167"/>
      <c r="HO379" s="167"/>
      <c r="HP379" s="167"/>
      <c r="HQ379" s="167"/>
      <c r="HR379" s="167"/>
      <c r="HS379" s="125"/>
      <c r="HT379" s="125"/>
      <c r="HU379" s="125"/>
      <c r="HV379" s="125"/>
      <c r="HW379" s="125"/>
      <c r="HX379" s="125"/>
      <c r="HY379" s="125"/>
      <c r="HZ379" s="125"/>
      <c r="IA379" s="125"/>
      <c r="IB379" s="125"/>
      <c r="IC379" s="125"/>
      <c r="ID379" s="125"/>
      <c r="IE379" s="125"/>
      <c r="IF379" s="125"/>
      <c r="IG379" s="125"/>
      <c r="IH379" s="125"/>
      <c r="II379" s="167"/>
      <c r="IJ379" s="167"/>
      <c r="IK379" s="167"/>
      <c r="IL379" s="167"/>
      <c r="IM379" s="167"/>
      <c r="IN379" s="167"/>
      <c r="IO379" s="167"/>
      <c r="IP379" s="167"/>
      <c r="IQ379" s="125"/>
      <c r="IR379" s="125"/>
      <c r="IS379" s="125"/>
      <c r="IT379" s="125"/>
      <c r="IU379" s="125"/>
      <c r="IV379" s="125"/>
    </row>
    <row r="380" spans="1:256" s="3" customFormat="1">
      <c r="A380" s="80">
        <v>27</v>
      </c>
      <c r="B380" s="56">
        <v>43047</v>
      </c>
      <c r="C380" s="18"/>
      <c r="D380" s="198">
        <v>3</v>
      </c>
      <c r="E380" s="20" t="s">
        <v>536</v>
      </c>
      <c r="F380" s="82" t="s">
        <v>537</v>
      </c>
      <c r="G380" s="63">
        <v>1708</v>
      </c>
      <c r="H380" s="121">
        <v>1840000</v>
      </c>
      <c r="I380" s="24">
        <v>1752381</v>
      </c>
      <c r="J380" s="24"/>
      <c r="K380" s="24">
        <f t="shared" si="31"/>
        <v>1752381</v>
      </c>
      <c r="L380" s="123">
        <v>1</v>
      </c>
      <c r="M380" s="24">
        <f t="shared" si="32"/>
        <v>1752381</v>
      </c>
      <c r="N380" s="124">
        <f t="shared" si="33"/>
        <v>0</v>
      </c>
      <c r="O380" s="107" t="s">
        <v>499</v>
      </c>
      <c r="AA380" s="130"/>
      <c r="AB380" s="130"/>
      <c r="AC380" s="130"/>
      <c r="AD380" s="130"/>
      <c r="AE380" s="130"/>
      <c r="AF380" s="167"/>
      <c r="AG380" s="167"/>
      <c r="AH380" s="167"/>
      <c r="AI380" s="125"/>
      <c r="AJ380" s="125"/>
      <c r="AK380" s="125"/>
      <c r="AL380" s="125"/>
      <c r="AM380" s="125"/>
      <c r="AN380" s="125"/>
      <c r="AO380" s="125"/>
      <c r="AP380" s="125"/>
      <c r="AQ380" s="125"/>
      <c r="AR380" s="125"/>
      <c r="AS380" s="125"/>
      <c r="AT380" s="125"/>
      <c r="AU380" s="125"/>
      <c r="AV380" s="125"/>
      <c r="AW380" s="125"/>
      <c r="AX380" s="125"/>
      <c r="AY380" s="167"/>
      <c r="AZ380" s="167"/>
      <c r="BA380" s="167"/>
      <c r="BB380" s="167"/>
      <c r="BC380" s="167"/>
      <c r="BD380" s="167"/>
      <c r="BE380" s="167"/>
      <c r="BF380" s="167"/>
      <c r="BG380" s="125"/>
      <c r="BH380" s="125"/>
      <c r="BI380" s="125"/>
      <c r="BJ380" s="125"/>
      <c r="BK380" s="125"/>
      <c r="BL380" s="125"/>
      <c r="BM380" s="125"/>
      <c r="BN380" s="125"/>
      <c r="BO380" s="125"/>
      <c r="BP380" s="125"/>
      <c r="BQ380" s="125"/>
      <c r="BR380" s="125"/>
      <c r="BS380" s="125"/>
      <c r="BT380" s="125"/>
      <c r="BU380" s="125"/>
      <c r="BV380" s="125"/>
      <c r="BW380" s="167"/>
      <c r="BX380" s="167"/>
      <c r="BY380" s="167"/>
      <c r="BZ380" s="167"/>
      <c r="CA380" s="167"/>
      <c r="CB380" s="167"/>
      <c r="CC380" s="167"/>
      <c r="CD380" s="167"/>
      <c r="CE380" s="125"/>
      <c r="CF380" s="125"/>
      <c r="CG380" s="125"/>
      <c r="CH380" s="125"/>
      <c r="CI380" s="125"/>
      <c r="CJ380" s="125"/>
      <c r="CK380" s="125"/>
      <c r="CL380" s="125"/>
      <c r="CM380" s="125"/>
      <c r="CN380" s="125"/>
      <c r="CO380" s="125"/>
      <c r="CP380" s="125"/>
      <c r="CQ380" s="125"/>
      <c r="CR380" s="125"/>
      <c r="CS380" s="125"/>
      <c r="CT380" s="125"/>
      <c r="CU380" s="167"/>
      <c r="CV380" s="167"/>
      <c r="CW380" s="167"/>
      <c r="CX380" s="167"/>
      <c r="CY380" s="167"/>
      <c r="CZ380" s="167"/>
      <c r="DA380" s="167"/>
      <c r="DB380" s="167"/>
      <c r="DC380" s="125"/>
      <c r="DD380" s="125"/>
      <c r="DE380" s="125"/>
      <c r="DF380" s="125"/>
      <c r="DG380" s="125"/>
      <c r="DH380" s="125"/>
      <c r="DI380" s="125"/>
      <c r="DJ380" s="125"/>
      <c r="DK380" s="125"/>
      <c r="DL380" s="125"/>
      <c r="DM380" s="125"/>
      <c r="DN380" s="125"/>
      <c r="DO380" s="125"/>
      <c r="DP380" s="125"/>
      <c r="DQ380" s="125"/>
      <c r="DR380" s="125"/>
      <c r="DS380" s="167"/>
      <c r="DT380" s="167"/>
      <c r="DU380" s="167"/>
      <c r="DV380" s="167"/>
      <c r="DW380" s="167"/>
      <c r="DX380" s="167"/>
      <c r="DY380" s="167"/>
      <c r="DZ380" s="167"/>
      <c r="EA380" s="125"/>
      <c r="EB380" s="125"/>
      <c r="EC380" s="125"/>
      <c r="ED380" s="125"/>
      <c r="EE380" s="125"/>
      <c r="EF380" s="125"/>
      <c r="EG380" s="125"/>
      <c r="EH380" s="125"/>
      <c r="EI380" s="125"/>
      <c r="EJ380" s="125"/>
      <c r="EK380" s="125"/>
      <c r="EL380" s="125"/>
      <c r="EM380" s="125"/>
      <c r="EN380" s="125"/>
      <c r="EO380" s="125"/>
      <c r="EP380" s="125"/>
      <c r="EQ380" s="167"/>
      <c r="ER380" s="167"/>
      <c r="ES380" s="167"/>
      <c r="ET380" s="167"/>
      <c r="EU380" s="167"/>
      <c r="EV380" s="167"/>
      <c r="EW380" s="167"/>
      <c r="EX380" s="167"/>
      <c r="EY380" s="125"/>
      <c r="EZ380" s="125"/>
      <c r="FA380" s="125"/>
      <c r="FB380" s="125"/>
      <c r="FC380" s="125"/>
      <c r="FD380" s="125"/>
      <c r="FE380" s="125"/>
      <c r="FF380" s="125"/>
      <c r="FG380" s="125"/>
      <c r="FH380" s="125"/>
      <c r="FI380" s="125"/>
      <c r="FJ380" s="125"/>
      <c r="FK380" s="125"/>
      <c r="FL380" s="125"/>
      <c r="FM380" s="125"/>
      <c r="FN380" s="125"/>
      <c r="FO380" s="167"/>
      <c r="FP380" s="167"/>
      <c r="FQ380" s="167"/>
      <c r="FR380" s="167"/>
      <c r="FS380" s="167"/>
      <c r="FT380" s="167"/>
      <c r="FU380" s="167"/>
      <c r="FV380" s="167"/>
      <c r="FW380" s="125"/>
      <c r="FX380" s="125"/>
      <c r="FY380" s="125"/>
      <c r="FZ380" s="125"/>
      <c r="GA380" s="125"/>
      <c r="GB380" s="125"/>
      <c r="GC380" s="125"/>
      <c r="GD380" s="125"/>
      <c r="GE380" s="125"/>
      <c r="GF380" s="125"/>
      <c r="GG380" s="125"/>
      <c r="GH380" s="125"/>
      <c r="GI380" s="125"/>
      <c r="GJ380" s="125"/>
      <c r="GK380" s="125"/>
      <c r="GL380" s="125"/>
      <c r="GM380" s="167"/>
      <c r="GN380" s="167"/>
      <c r="GO380" s="167"/>
      <c r="GP380" s="167"/>
      <c r="GQ380" s="167"/>
      <c r="GR380" s="167"/>
      <c r="GS380" s="167"/>
      <c r="GT380" s="167"/>
      <c r="GU380" s="125"/>
      <c r="GV380" s="125"/>
      <c r="GW380" s="125"/>
      <c r="GX380" s="125"/>
      <c r="GY380" s="125"/>
      <c r="GZ380" s="125"/>
      <c r="HA380" s="125"/>
      <c r="HB380" s="125"/>
      <c r="HC380" s="125"/>
      <c r="HD380" s="125"/>
      <c r="HE380" s="125"/>
      <c r="HF380" s="125"/>
      <c r="HG380" s="125"/>
      <c r="HH380" s="125"/>
      <c r="HI380" s="125"/>
      <c r="HJ380" s="125"/>
      <c r="HK380" s="167"/>
      <c r="HL380" s="167"/>
      <c r="HM380" s="167"/>
      <c r="HN380" s="167"/>
      <c r="HO380" s="167"/>
      <c r="HP380" s="167"/>
      <c r="HQ380" s="167"/>
      <c r="HR380" s="167"/>
      <c r="HS380" s="125"/>
      <c r="HT380" s="125"/>
      <c r="HU380" s="125"/>
      <c r="HV380" s="125"/>
      <c r="HW380" s="125"/>
      <c r="HX380" s="125"/>
      <c r="HY380" s="125"/>
      <c r="HZ380" s="125"/>
      <c r="IA380" s="125"/>
      <c r="IB380" s="125"/>
      <c r="IC380" s="125"/>
      <c r="ID380" s="125"/>
      <c r="IE380" s="125"/>
      <c r="IF380" s="125"/>
      <c r="IG380" s="125"/>
      <c r="IH380" s="125"/>
      <c r="II380" s="167"/>
      <c r="IJ380" s="167"/>
      <c r="IK380" s="167"/>
      <c r="IL380" s="167"/>
      <c r="IM380" s="167"/>
      <c r="IN380" s="167"/>
      <c r="IO380" s="167"/>
      <c r="IP380" s="167"/>
      <c r="IQ380" s="125"/>
      <c r="IR380" s="125"/>
      <c r="IS380" s="125"/>
      <c r="IT380" s="125"/>
      <c r="IU380" s="125"/>
      <c r="IV380" s="125"/>
    </row>
    <row r="381" spans="1:256" s="3" customFormat="1">
      <c r="A381" s="80">
        <v>28</v>
      </c>
      <c r="B381" s="60">
        <v>43088</v>
      </c>
      <c r="C381" s="18"/>
      <c r="D381" s="19" t="s">
        <v>305</v>
      </c>
      <c r="E381" s="20" t="s">
        <v>536</v>
      </c>
      <c r="F381" s="62" t="s">
        <v>538</v>
      </c>
      <c r="G381" s="63">
        <v>1709</v>
      </c>
      <c r="H381" s="121">
        <v>1840000</v>
      </c>
      <c r="I381" s="24"/>
      <c r="J381" s="24">
        <f>SUM(H381)/1.05</f>
        <v>1752380.9523809522</v>
      </c>
      <c r="K381" s="24">
        <f t="shared" si="31"/>
        <v>1752380.9523809522</v>
      </c>
      <c r="L381" s="123">
        <v>1</v>
      </c>
      <c r="M381" s="24">
        <f t="shared" si="32"/>
        <v>1752380.9523809522</v>
      </c>
      <c r="N381" s="124">
        <f t="shared" si="33"/>
        <v>0</v>
      </c>
      <c r="O381" s="107" t="s">
        <v>499</v>
      </c>
      <c r="AA381" s="130"/>
      <c r="AB381" s="130"/>
      <c r="AC381" s="130"/>
      <c r="AD381" s="130"/>
      <c r="AE381" s="130"/>
      <c r="AF381" s="130"/>
      <c r="AG381" s="130"/>
      <c r="AH381" s="130"/>
      <c r="AY381" s="130"/>
      <c r="AZ381" s="130"/>
      <c r="BA381" s="130"/>
      <c r="BB381" s="130"/>
      <c r="BC381" s="130"/>
      <c r="BD381" s="130"/>
      <c r="BE381" s="130"/>
      <c r="BF381" s="130"/>
      <c r="BW381" s="130"/>
      <c r="BX381" s="130"/>
      <c r="BY381" s="130"/>
      <c r="BZ381" s="130"/>
      <c r="CA381" s="130"/>
      <c r="CB381" s="130"/>
      <c r="CC381" s="130"/>
      <c r="CD381" s="130"/>
      <c r="CU381" s="130"/>
      <c r="CV381" s="130"/>
      <c r="CW381" s="130"/>
      <c r="CX381" s="130"/>
      <c r="CY381" s="130"/>
      <c r="CZ381" s="130"/>
      <c r="DA381" s="130"/>
      <c r="DB381" s="130"/>
      <c r="DS381" s="130"/>
      <c r="DT381" s="130"/>
      <c r="DU381" s="130"/>
      <c r="DV381" s="130"/>
      <c r="DW381" s="130"/>
      <c r="DX381" s="130"/>
      <c r="DY381" s="130"/>
      <c r="DZ381" s="130"/>
      <c r="EQ381" s="130"/>
      <c r="ER381" s="130"/>
      <c r="ES381" s="130"/>
      <c r="ET381" s="130"/>
      <c r="EU381" s="130"/>
      <c r="EV381" s="130"/>
      <c r="EW381" s="130"/>
      <c r="EX381" s="130"/>
      <c r="FO381" s="130"/>
      <c r="FP381" s="130"/>
      <c r="FQ381" s="130"/>
      <c r="FR381" s="130"/>
      <c r="FS381" s="130"/>
      <c r="FT381" s="130"/>
      <c r="FU381" s="130"/>
      <c r="FV381" s="130"/>
      <c r="GM381" s="130"/>
      <c r="GN381" s="130"/>
      <c r="GO381" s="130"/>
      <c r="GP381" s="130"/>
      <c r="GQ381" s="130"/>
      <c r="GR381" s="130"/>
      <c r="GS381" s="130"/>
      <c r="GT381" s="130"/>
      <c r="HK381" s="130"/>
      <c r="HL381" s="130"/>
      <c r="HM381" s="130"/>
      <c r="HN381" s="130"/>
      <c r="HO381" s="130"/>
      <c r="HP381" s="130"/>
      <c r="HQ381" s="130"/>
      <c r="HR381" s="130"/>
      <c r="II381" s="130"/>
      <c r="IJ381" s="130"/>
      <c r="IK381" s="130"/>
      <c r="IL381" s="130"/>
      <c r="IM381" s="130"/>
      <c r="IN381" s="130"/>
      <c r="IO381" s="130"/>
      <c r="IP381" s="130"/>
    </row>
    <row r="382" spans="1:256" s="3" customFormat="1">
      <c r="A382" s="80">
        <v>29</v>
      </c>
      <c r="B382" s="56">
        <v>43097</v>
      </c>
      <c r="C382" s="18" t="s">
        <v>233</v>
      </c>
      <c r="D382" s="19" t="s">
        <v>305</v>
      </c>
      <c r="E382" s="20" t="s">
        <v>539</v>
      </c>
      <c r="F382" s="62" t="s">
        <v>540</v>
      </c>
      <c r="G382" s="63">
        <v>1710</v>
      </c>
      <c r="H382" s="121">
        <f>1840000+9400</f>
        <v>1849400</v>
      </c>
      <c r="I382" s="24"/>
      <c r="J382" s="24">
        <f>SUM(H382)/1.05</f>
        <v>1761333.3333333333</v>
      </c>
      <c r="K382" s="24">
        <f t="shared" si="31"/>
        <v>1761333.3333333333</v>
      </c>
      <c r="L382" s="123">
        <v>1</v>
      </c>
      <c r="M382" s="24">
        <f t="shared" si="32"/>
        <v>1761333.3333333333</v>
      </c>
      <c r="N382" s="124">
        <f t="shared" si="33"/>
        <v>0</v>
      </c>
      <c r="O382" s="107" t="s">
        <v>499</v>
      </c>
      <c r="AA382" s="130"/>
      <c r="AB382" s="130"/>
      <c r="AC382" s="130"/>
      <c r="AD382" s="130"/>
      <c r="AE382" s="130"/>
      <c r="AF382" s="167"/>
      <c r="AG382" s="167"/>
      <c r="AH382" s="167"/>
      <c r="AI382" s="125"/>
      <c r="AJ382" s="125"/>
      <c r="AK382" s="125"/>
      <c r="AL382" s="125"/>
      <c r="AM382" s="125"/>
      <c r="AN382" s="125"/>
      <c r="AO382" s="125"/>
      <c r="AP382" s="125"/>
      <c r="AQ382" s="125"/>
      <c r="AR382" s="125"/>
      <c r="AS382" s="125"/>
      <c r="AT382" s="125"/>
      <c r="AU382" s="125"/>
      <c r="AV382" s="125"/>
      <c r="AW382" s="125"/>
      <c r="AX382" s="125"/>
      <c r="AY382" s="167"/>
      <c r="AZ382" s="167"/>
      <c r="BA382" s="167"/>
      <c r="BB382" s="167"/>
      <c r="BC382" s="167"/>
      <c r="BD382" s="167"/>
      <c r="BE382" s="167"/>
      <c r="BF382" s="167"/>
      <c r="BG382" s="125"/>
      <c r="BH382" s="125"/>
      <c r="BI382" s="125"/>
      <c r="BJ382" s="125"/>
      <c r="BK382" s="125"/>
      <c r="BL382" s="125"/>
      <c r="BM382" s="125"/>
      <c r="BN382" s="125"/>
      <c r="BO382" s="125"/>
      <c r="BP382" s="125"/>
      <c r="BQ382" s="125"/>
      <c r="BR382" s="125"/>
      <c r="BS382" s="125"/>
      <c r="BT382" s="125"/>
      <c r="BU382" s="125"/>
      <c r="BV382" s="125"/>
      <c r="BW382" s="167"/>
      <c r="BX382" s="167"/>
      <c r="BY382" s="167"/>
      <c r="BZ382" s="167"/>
      <c r="CA382" s="167"/>
      <c r="CB382" s="167"/>
      <c r="CC382" s="167"/>
      <c r="CD382" s="167"/>
      <c r="CE382" s="125"/>
      <c r="CF382" s="125"/>
      <c r="CG382" s="125"/>
      <c r="CH382" s="125"/>
      <c r="CI382" s="125"/>
      <c r="CJ382" s="125"/>
      <c r="CK382" s="125"/>
      <c r="CL382" s="125"/>
      <c r="CM382" s="125"/>
      <c r="CN382" s="125"/>
      <c r="CO382" s="125"/>
      <c r="CP382" s="125"/>
      <c r="CQ382" s="125"/>
      <c r="CR382" s="125"/>
      <c r="CS382" s="125"/>
      <c r="CT382" s="125"/>
      <c r="CU382" s="167"/>
      <c r="CV382" s="167"/>
      <c r="CW382" s="167"/>
      <c r="CX382" s="167"/>
      <c r="CY382" s="167"/>
      <c r="CZ382" s="167"/>
      <c r="DA382" s="167"/>
      <c r="DB382" s="167"/>
      <c r="DC382" s="125"/>
      <c r="DD382" s="125"/>
      <c r="DE382" s="125"/>
      <c r="DF382" s="125"/>
      <c r="DG382" s="125"/>
      <c r="DH382" s="125"/>
      <c r="DI382" s="125"/>
      <c r="DJ382" s="125"/>
      <c r="DK382" s="125"/>
      <c r="DL382" s="125"/>
      <c r="DM382" s="125"/>
      <c r="DN382" s="125"/>
      <c r="DO382" s="125"/>
      <c r="DP382" s="125"/>
      <c r="DQ382" s="125"/>
      <c r="DR382" s="125"/>
      <c r="DS382" s="167"/>
      <c r="DT382" s="167"/>
      <c r="DU382" s="167"/>
      <c r="DV382" s="167"/>
      <c r="DW382" s="167"/>
      <c r="DX382" s="167"/>
      <c r="DY382" s="167"/>
      <c r="DZ382" s="167"/>
      <c r="EA382" s="125"/>
      <c r="EB382" s="125"/>
      <c r="EC382" s="125"/>
      <c r="ED382" s="125"/>
      <c r="EE382" s="125"/>
      <c r="EF382" s="125"/>
      <c r="EG382" s="125"/>
      <c r="EH382" s="125"/>
      <c r="EI382" s="125"/>
      <c r="EJ382" s="125"/>
      <c r="EK382" s="125"/>
      <c r="EL382" s="125"/>
      <c r="EM382" s="125"/>
      <c r="EN382" s="125"/>
      <c r="EO382" s="125"/>
      <c r="EP382" s="125"/>
      <c r="EQ382" s="167"/>
      <c r="ER382" s="167"/>
      <c r="ES382" s="167"/>
      <c r="ET382" s="167"/>
      <c r="EU382" s="167"/>
      <c r="EV382" s="167"/>
      <c r="EW382" s="167"/>
      <c r="EX382" s="167"/>
      <c r="EY382" s="125"/>
      <c r="EZ382" s="125"/>
      <c r="FA382" s="125"/>
      <c r="FB382" s="125"/>
      <c r="FC382" s="125"/>
      <c r="FD382" s="125"/>
      <c r="FE382" s="125"/>
      <c r="FF382" s="125"/>
      <c r="FG382" s="125"/>
      <c r="FH382" s="125"/>
      <c r="FI382" s="125"/>
      <c r="FJ382" s="125"/>
      <c r="FK382" s="125"/>
      <c r="FL382" s="125"/>
      <c r="FM382" s="125"/>
      <c r="FN382" s="125"/>
      <c r="FO382" s="167"/>
      <c r="FP382" s="167"/>
      <c r="FQ382" s="167"/>
      <c r="FR382" s="167"/>
      <c r="FS382" s="167"/>
      <c r="FT382" s="167"/>
      <c r="FU382" s="167"/>
      <c r="FV382" s="167"/>
      <c r="FW382" s="125"/>
      <c r="FX382" s="125"/>
      <c r="FY382" s="125"/>
      <c r="FZ382" s="125"/>
      <c r="GA382" s="125"/>
      <c r="GB382" s="125"/>
      <c r="GC382" s="125"/>
      <c r="GD382" s="125"/>
      <c r="GE382" s="125"/>
      <c r="GF382" s="125"/>
      <c r="GG382" s="125"/>
      <c r="GH382" s="125"/>
      <c r="GI382" s="125"/>
      <c r="GJ382" s="125"/>
      <c r="GK382" s="125"/>
      <c r="GL382" s="125"/>
      <c r="GM382" s="167"/>
      <c r="GN382" s="167"/>
      <c r="GO382" s="167"/>
      <c r="GP382" s="167"/>
      <c r="GQ382" s="167"/>
      <c r="GR382" s="167"/>
      <c r="GS382" s="167"/>
      <c r="GT382" s="167"/>
      <c r="GU382" s="125"/>
      <c r="GV382" s="125"/>
      <c r="GW382" s="125"/>
      <c r="GX382" s="125"/>
      <c r="GY382" s="125"/>
      <c r="GZ382" s="125"/>
      <c r="HA382" s="125"/>
      <c r="HB382" s="125"/>
      <c r="HC382" s="125"/>
      <c r="HD382" s="125"/>
      <c r="HE382" s="125"/>
      <c r="HF382" s="125"/>
      <c r="HG382" s="125"/>
      <c r="HH382" s="125"/>
      <c r="HI382" s="125"/>
      <c r="HJ382" s="125"/>
      <c r="HK382" s="167"/>
      <c r="HL382" s="167"/>
      <c r="HM382" s="167"/>
      <c r="HN382" s="167"/>
      <c r="HO382" s="167"/>
      <c r="HP382" s="167"/>
      <c r="HQ382" s="167"/>
      <c r="HR382" s="167"/>
      <c r="HS382" s="125"/>
      <c r="HT382" s="125"/>
      <c r="HU382" s="125"/>
      <c r="HV382" s="125"/>
      <c r="HW382" s="125"/>
      <c r="HX382" s="125"/>
      <c r="HY382" s="125"/>
      <c r="HZ382" s="125"/>
      <c r="IA382" s="125"/>
      <c r="IB382" s="125"/>
      <c r="IC382" s="125"/>
      <c r="ID382" s="125"/>
      <c r="IE382" s="125"/>
      <c r="IF382" s="125"/>
      <c r="IG382" s="125"/>
      <c r="IH382" s="125"/>
      <c r="II382" s="167"/>
      <c r="IJ382" s="167"/>
      <c r="IK382" s="167"/>
      <c r="IL382" s="167"/>
      <c r="IM382" s="167"/>
      <c r="IN382" s="167"/>
      <c r="IO382" s="167"/>
      <c r="IP382" s="167"/>
      <c r="IQ382" s="125"/>
      <c r="IR382" s="125"/>
      <c r="IS382" s="125"/>
      <c r="IT382" s="125"/>
      <c r="IU382" s="125"/>
      <c r="IV382" s="125"/>
    </row>
    <row r="383" spans="1:256" s="3" customFormat="1">
      <c r="A383" s="80">
        <v>30</v>
      </c>
      <c r="B383" s="56">
        <v>43097</v>
      </c>
      <c r="C383" s="18" t="s">
        <v>541</v>
      </c>
      <c r="D383" s="19" t="s">
        <v>305</v>
      </c>
      <c r="E383" s="20" t="s">
        <v>539</v>
      </c>
      <c r="F383" s="62" t="s">
        <v>542</v>
      </c>
      <c r="G383" s="63">
        <v>1710</v>
      </c>
      <c r="H383" s="121">
        <f>2010000+39600</f>
        <v>2049600</v>
      </c>
      <c r="I383" s="24"/>
      <c r="J383" s="24">
        <f>SUM(H383)/1.05</f>
        <v>1952000</v>
      </c>
      <c r="K383" s="24">
        <f t="shared" si="31"/>
        <v>1952000</v>
      </c>
      <c r="L383" s="123">
        <v>1</v>
      </c>
      <c r="M383" s="24">
        <f t="shared" si="32"/>
        <v>1952000</v>
      </c>
      <c r="N383" s="124">
        <f t="shared" si="33"/>
        <v>0</v>
      </c>
      <c r="O383" s="107" t="s">
        <v>499</v>
      </c>
      <c r="AA383" s="141"/>
      <c r="AB383" s="142"/>
      <c r="AC383" s="142"/>
      <c r="AD383" s="142"/>
      <c r="AE383" s="142"/>
      <c r="AF383" s="142"/>
      <c r="AG383" s="142"/>
      <c r="AH383" s="143"/>
      <c r="AY383" s="141"/>
      <c r="AZ383" s="142"/>
      <c r="BA383" s="142"/>
      <c r="BB383" s="142"/>
      <c r="BC383" s="142"/>
      <c r="BD383" s="142"/>
      <c r="BE383" s="142"/>
      <c r="BF383" s="143"/>
      <c r="BW383" s="141"/>
      <c r="BX383" s="142"/>
      <c r="BY383" s="142"/>
      <c r="BZ383" s="142"/>
      <c r="CA383" s="142"/>
      <c r="CB383" s="142"/>
      <c r="CC383" s="142"/>
      <c r="CD383" s="143"/>
      <c r="CU383" s="141"/>
      <c r="CV383" s="142"/>
      <c r="CW383" s="142"/>
      <c r="CX383" s="142"/>
      <c r="CY383" s="142"/>
      <c r="CZ383" s="142"/>
      <c r="DA383" s="142"/>
      <c r="DB383" s="143"/>
      <c r="DS383" s="141"/>
      <c r="DT383" s="142"/>
      <c r="DU383" s="142"/>
      <c r="DV383" s="142"/>
      <c r="DW383" s="142"/>
      <c r="DX383" s="142"/>
      <c r="DY383" s="142"/>
      <c r="DZ383" s="143"/>
      <c r="EQ383" s="141"/>
      <c r="ER383" s="142"/>
      <c r="ES383" s="142"/>
      <c r="ET383" s="142"/>
      <c r="EU383" s="142"/>
      <c r="EV383" s="142"/>
      <c r="EW383" s="142"/>
      <c r="EX383" s="143"/>
      <c r="FO383" s="141"/>
      <c r="FP383" s="142"/>
      <c r="FQ383" s="142"/>
      <c r="FR383" s="142"/>
      <c r="FS383" s="142"/>
      <c r="FT383" s="142"/>
      <c r="FU383" s="142"/>
      <c r="FV383" s="143"/>
      <c r="GM383" s="141"/>
      <c r="GN383" s="142"/>
      <c r="GO383" s="142"/>
      <c r="GP383" s="142"/>
      <c r="GQ383" s="142"/>
      <c r="GR383" s="142"/>
      <c r="GS383" s="142"/>
      <c r="GT383" s="143"/>
      <c r="HK383" s="141"/>
      <c r="HL383" s="142"/>
      <c r="HM383" s="142"/>
      <c r="HN383" s="142"/>
      <c r="HO383" s="142"/>
      <c r="HP383" s="142"/>
      <c r="HQ383" s="142"/>
      <c r="HR383" s="143"/>
      <c r="II383" s="141"/>
      <c r="IJ383" s="142"/>
      <c r="IK383" s="142"/>
      <c r="IL383" s="142"/>
      <c r="IM383" s="142"/>
      <c r="IN383" s="142"/>
      <c r="IO383" s="142"/>
      <c r="IP383" s="143"/>
    </row>
    <row r="384" spans="1:256" s="3" customFormat="1">
      <c r="A384" s="80">
        <v>31</v>
      </c>
      <c r="B384" s="83">
        <v>43028</v>
      </c>
      <c r="C384" s="18"/>
      <c r="D384" s="19" t="s">
        <v>305</v>
      </c>
      <c r="E384" s="20" t="s">
        <v>543</v>
      </c>
      <c r="F384" s="82" t="s">
        <v>544</v>
      </c>
      <c r="G384" s="58">
        <v>1707</v>
      </c>
      <c r="H384" s="121">
        <f>160000+1938000-30000</f>
        <v>2068000</v>
      </c>
      <c r="I384" s="24">
        <v>1969524</v>
      </c>
      <c r="J384" s="24"/>
      <c r="K384" s="24">
        <f t="shared" si="31"/>
        <v>1969524</v>
      </c>
      <c r="L384" s="123">
        <v>1</v>
      </c>
      <c r="M384" s="24">
        <f t="shared" si="32"/>
        <v>1969524</v>
      </c>
      <c r="N384" s="124">
        <f t="shared" si="33"/>
        <v>0</v>
      </c>
      <c r="O384" s="107" t="s">
        <v>499</v>
      </c>
      <c r="AA384" s="130"/>
      <c r="AB384" s="130"/>
      <c r="AC384" s="130"/>
      <c r="AD384" s="130"/>
      <c r="AE384" s="130"/>
      <c r="AF384" s="167"/>
      <c r="AG384" s="167"/>
      <c r="AH384" s="167"/>
      <c r="AI384" s="125"/>
      <c r="AJ384" s="125"/>
      <c r="AK384" s="125"/>
      <c r="AL384" s="125"/>
      <c r="AM384" s="125"/>
      <c r="AN384" s="125"/>
      <c r="AO384" s="125"/>
      <c r="AP384" s="125"/>
      <c r="AQ384" s="125"/>
      <c r="AR384" s="125"/>
      <c r="AS384" s="125"/>
      <c r="AT384" s="125"/>
      <c r="AU384" s="125"/>
      <c r="AV384" s="125"/>
      <c r="AW384" s="125"/>
      <c r="AX384" s="125"/>
      <c r="AY384" s="167"/>
      <c r="AZ384" s="167"/>
      <c r="BA384" s="167"/>
      <c r="BB384" s="167"/>
      <c r="BC384" s="167"/>
      <c r="BD384" s="167"/>
      <c r="BE384" s="167"/>
      <c r="BF384" s="167"/>
      <c r="BG384" s="125"/>
      <c r="BH384" s="125"/>
      <c r="BI384" s="125"/>
      <c r="BJ384" s="125"/>
      <c r="BK384" s="125"/>
      <c r="BL384" s="125"/>
      <c r="BM384" s="125"/>
      <c r="BN384" s="125"/>
      <c r="BO384" s="125"/>
      <c r="BP384" s="125"/>
      <c r="BQ384" s="125"/>
      <c r="BR384" s="125"/>
      <c r="BS384" s="125"/>
      <c r="BT384" s="125"/>
      <c r="BU384" s="125"/>
      <c r="BV384" s="125"/>
      <c r="BW384" s="167"/>
      <c r="BX384" s="167"/>
      <c r="BY384" s="167"/>
      <c r="BZ384" s="167"/>
      <c r="CA384" s="167"/>
      <c r="CB384" s="167"/>
      <c r="CC384" s="167"/>
      <c r="CD384" s="167"/>
      <c r="CE384" s="125"/>
      <c r="CF384" s="125"/>
      <c r="CG384" s="125"/>
      <c r="CH384" s="125"/>
      <c r="CI384" s="125"/>
      <c r="CJ384" s="125"/>
      <c r="CK384" s="125"/>
      <c r="CL384" s="125"/>
      <c r="CM384" s="125"/>
      <c r="CN384" s="125"/>
      <c r="CO384" s="125"/>
      <c r="CP384" s="125"/>
      <c r="CQ384" s="125"/>
      <c r="CR384" s="125"/>
      <c r="CS384" s="125"/>
      <c r="CT384" s="125"/>
      <c r="CU384" s="167"/>
      <c r="CV384" s="167"/>
      <c r="CW384" s="167"/>
      <c r="CX384" s="167"/>
      <c r="CY384" s="167"/>
      <c r="CZ384" s="167"/>
      <c r="DA384" s="167"/>
      <c r="DB384" s="167"/>
      <c r="DC384" s="125"/>
      <c r="DD384" s="125"/>
      <c r="DE384" s="125"/>
      <c r="DF384" s="125"/>
      <c r="DG384" s="125"/>
      <c r="DH384" s="125"/>
      <c r="DI384" s="125"/>
      <c r="DJ384" s="125"/>
      <c r="DK384" s="125"/>
      <c r="DL384" s="125"/>
      <c r="DM384" s="125"/>
      <c r="DN384" s="125"/>
      <c r="DO384" s="125"/>
      <c r="DP384" s="125"/>
      <c r="DQ384" s="125"/>
      <c r="DR384" s="125"/>
      <c r="DS384" s="167"/>
      <c r="DT384" s="167"/>
      <c r="DU384" s="167"/>
      <c r="DV384" s="167"/>
      <c r="DW384" s="167"/>
      <c r="DX384" s="167"/>
      <c r="DY384" s="167"/>
      <c r="DZ384" s="167"/>
      <c r="EA384" s="125"/>
      <c r="EB384" s="125"/>
      <c r="EC384" s="125"/>
      <c r="ED384" s="125"/>
      <c r="EE384" s="125"/>
      <c r="EF384" s="125"/>
      <c r="EG384" s="125"/>
      <c r="EH384" s="125"/>
      <c r="EI384" s="125"/>
      <c r="EJ384" s="125"/>
      <c r="EK384" s="125"/>
      <c r="EL384" s="125"/>
      <c r="EM384" s="125"/>
      <c r="EN384" s="125"/>
      <c r="EO384" s="125"/>
      <c r="EP384" s="125"/>
      <c r="EQ384" s="167"/>
      <c r="ER384" s="167"/>
      <c r="ES384" s="167"/>
      <c r="ET384" s="167"/>
      <c r="EU384" s="167"/>
      <c r="EV384" s="167"/>
      <c r="EW384" s="167"/>
      <c r="EX384" s="167"/>
      <c r="EY384" s="125"/>
      <c r="EZ384" s="125"/>
      <c r="FA384" s="125"/>
      <c r="FB384" s="125"/>
      <c r="FC384" s="125"/>
      <c r="FD384" s="125"/>
      <c r="FE384" s="125"/>
      <c r="FF384" s="125"/>
      <c r="FG384" s="125"/>
      <c r="FH384" s="125"/>
      <c r="FI384" s="125"/>
      <c r="FJ384" s="125"/>
      <c r="FK384" s="125"/>
      <c r="FL384" s="125"/>
      <c r="FM384" s="125"/>
      <c r="FN384" s="125"/>
      <c r="FO384" s="167"/>
      <c r="FP384" s="167"/>
      <c r="FQ384" s="167"/>
      <c r="FR384" s="167"/>
      <c r="FS384" s="167"/>
      <c r="FT384" s="167"/>
      <c r="FU384" s="167"/>
      <c r="FV384" s="167"/>
      <c r="FW384" s="125"/>
      <c r="FX384" s="125"/>
      <c r="FY384" s="125"/>
      <c r="FZ384" s="125"/>
      <c r="GA384" s="125"/>
      <c r="GB384" s="125"/>
      <c r="GC384" s="125"/>
      <c r="GD384" s="125"/>
      <c r="GE384" s="125"/>
      <c r="GF384" s="125"/>
      <c r="GG384" s="125"/>
      <c r="GH384" s="125"/>
      <c r="GI384" s="125"/>
      <c r="GJ384" s="125"/>
      <c r="GK384" s="125"/>
      <c r="GL384" s="125"/>
      <c r="GM384" s="167"/>
      <c r="GN384" s="167"/>
      <c r="GO384" s="167"/>
      <c r="GP384" s="167"/>
      <c r="GQ384" s="167"/>
      <c r="GR384" s="167"/>
      <c r="GS384" s="167"/>
      <c r="GT384" s="167"/>
      <c r="GU384" s="125"/>
      <c r="GV384" s="125"/>
      <c r="GW384" s="125"/>
      <c r="GX384" s="125"/>
      <c r="GY384" s="125"/>
      <c r="GZ384" s="125"/>
      <c r="HA384" s="125"/>
      <c r="HB384" s="125"/>
      <c r="HC384" s="125"/>
      <c r="HD384" s="125"/>
      <c r="HE384" s="125"/>
      <c r="HF384" s="125"/>
      <c r="HG384" s="125"/>
      <c r="HH384" s="125"/>
      <c r="HI384" s="125"/>
      <c r="HJ384" s="125"/>
      <c r="HK384" s="167"/>
      <c r="HL384" s="167"/>
      <c r="HM384" s="167"/>
      <c r="HN384" s="167"/>
      <c r="HO384" s="167"/>
      <c r="HP384" s="167"/>
      <c r="HQ384" s="167"/>
      <c r="HR384" s="167"/>
      <c r="HS384" s="125"/>
      <c r="HT384" s="125"/>
      <c r="HU384" s="125"/>
      <c r="HV384" s="125"/>
      <c r="HW384" s="125"/>
      <c r="HX384" s="125"/>
      <c r="HY384" s="125"/>
      <c r="HZ384" s="125"/>
      <c r="IA384" s="125"/>
      <c r="IB384" s="125"/>
      <c r="IC384" s="125"/>
      <c r="ID384" s="125"/>
      <c r="IE384" s="125"/>
      <c r="IF384" s="125"/>
      <c r="IG384" s="125"/>
      <c r="IH384" s="125"/>
      <c r="II384" s="167"/>
      <c r="IJ384" s="167"/>
      <c r="IK384" s="167"/>
      <c r="IL384" s="167"/>
      <c r="IM384" s="167"/>
      <c r="IN384" s="167"/>
      <c r="IO384" s="167"/>
      <c r="IP384" s="167"/>
      <c r="IQ384" s="125"/>
      <c r="IR384" s="125"/>
      <c r="IS384" s="125"/>
      <c r="IT384" s="125"/>
      <c r="IU384" s="125"/>
      <c r="IV384" s="125"/>
    </row>
    <row r="385" spans="1:256" s="3" customFormat="1">
      <c r="A385" s="80">
        <v>32</v>
      </c>
      <c r="B385" s="83">
        <v>43066</v>
      </c>
      <c r="C385" s="18"/>
      <c r="D385" s="19" t="s">
        <v>406</v>
      </c>
      <c r="E385" s="20" t="s">
        <v>407</v>
      </c>
      <c r="F385" s="82" t="s">
        <v>545</v>
      </c>
      <c r="G385" s="63">
        <v>1707</v>
      </c>
      <c r="H385" s="121">
        <f>2061500-30000</f>
        <v>2031500</v>
      </c>
      <c r="I385" s="24">
        <v>1934762</v>
      </c>
      <c r="J385" s="24"/>
      <c r="K385" s="24">
        <f t="shared" si="31"/>
        <v>1934762</v>
      </c>
      <c r="L385" s="123">
        <v>1</v>
      </c>
      <c r="M385" s="24">
        <f t="shared" si="32"/>
        <v>1934762</v>
      </c>
      <c r="N385" s="124">
        <f t="shared" si="33"/>
        <v>0</v>
      </c>
      <c r="O385" s="107" t="s">
        <v>499</v>
      </c>
      <c r="AA385" s="130"/>
      <c r="AB385" s="130"/>
      <c r="AC385" s="130"/>
      <c r="AD385" s="130"/>
      <c r="AE385" s="130"/>
      <c r="AF385" s="130"/>
      <c r="AG385" s="130"/>
      <c r="AH385" s="130"/>
      <c r="AY385" s="130"/>
      <c r="AZ385" s="130"/>
      <c r="BA385" s="130"/>
      <c r="BB385" s="130"/>
      <c r="BC385" s="130"/>
      <c r="BD385" s="130"/>
      <c r="BE385" s="130"/>
      <c r="BF385" s="130"/>
      <c r="BW385" s="130"/>
      <c r="BX385" s="130"/>
      <c r="BY385" s="130"/>
      <c r="BZ385" s="130"/>
      <c r="CA385" s="130"/>
      <c r="CB385" s="130"/>
      <c r="CC385" s="130"/>
      <c r="CD385" s="130"/>
      <c r="CU385" s="130"/>
      <c r="CV385" s="130"/>
      <c r="CW385" s="130"/>
      <c r="CX385" s="130"/>
      <c r="CY385" s="130"/>
      <c r="CZ385" s="130"/>
      <c r="DA385" s="130"/>
      <c r="DB385" s="130"/>
      <c r="DS385" s="130"/>
      <c r="DT385" s="130"/>
      <c r="DU385" s="130"/>
      <c r="DV385" s="130"/>
      <c r="DW385" s="130"/>
      <c r="DX385" s="130"/>
      <c r="DY385" s="130"/>
      <c r="DZ385" s="130"/>
      <c r="EQ385" s="130"/>
      <c r="ER385" s="130"/>
      <c r="ES385" s="130"/>
      <c r="ET385" s="130"/>
      <c r="EU385" s="130"/>
      <c r="EV385" s="130"/>
      <c r="EW385" s="130"/>
      <c r="EX385" s="130"/>
      <c r="FO385" s="130"/>
      <c r="FP385" s="130"/>
      <c r="FQ385" s="130"/>
      <c r="FR385" s="130"/>
      <c r="FS385" s="130"/>
      <c r="FT385" s="130"/>
      <c r="FU385" s="130"/>
      <c r="FV385" s="130"/>
      <c r="GM385" s="130"/>
      <c r="GN385" s="130"/>
      <c r="GO385" s="130"/>
      <c r="GP385" s="130"/>
      <c r="GQ385" s="130"/>
      <c r="GR385" s="130"/>
      <c r="GS385" s="130"/>
      <c r="GT385" s="130"/>
      <c r="HK385" s="130"/>
      <c r="HL385" s="130"/>
      <c r="HM385" s="130"/>
      <c r="HN385" s="130"/>
      <c r="HO385" s="130"/>
      <c r="HP385" s="130"/>
      <c r="HQ385" s="130"/>
      <c r="HR385" s="130"/>
      <c r="II385" s="130"/>
      <c r="IJ385" s="130"/>
      <c r="IK385" s="130"/>
      <c r="IL385" s="130"/>
      <c r="IM385" s="130"/>
      <c r="IN385" s="130"/>
      <c r="IO385" s="130"/>
      <c r="IP385" s="130"/>
    </row>
    <row r="386" spans="1:256" s="3" customFormat="1">
      <c r="A386" s="80">
        <v>33</v>
      </c>
      <c r="B386" s="56">
        <v>43082</v>
      </c>
      <c r="C386" s="18"/>
      <c r="D386" s="19" t="s">
        <v>406</v>
      </c>
      <c r="E386" s="20" t="s">
        <v>407</v>
      </c>
      <c r="F386" s="62" t="s">
        <v>546</v>
      </c>
      <c r="G386" s="63">
        <v>1708</v>
      </c>
      <c r="H386" s="121">
        <v>2000000</v>
      </c>
      <c r="I386" s="24"/>
      <c r="J386" s="24">
        <f t="shared" ref="J386:J395" si="36">SUM(H386)/1.05</f>
        <v>1904761.9047619046</v>
      </c>
      <c r="K386" s="24">
        <f t="shared" si="31"/>
        <v>1904761.9047619046</v>
      </c>
      <c r="L386" s="123">
        <v>1</v>
      </c>
      <c r="M386" s="24">
        <f t="shared" si="32"/>
        <v>1904761.9047619046</v>
      </c>
      <c r="N386" s="124">
        <f t="shared" si="33"/>
        <v>0</v>
      </c>
      <c r="O386" s="107" t="s">
        <v>499</v>
      </c>
      <c r="AA386" s="130"/>
      <c r="AB386" s="130"/>
      <c r="AC386" s="130"/>
      <c r="AD386" s="130"/>
      <c r="AE386" s="130"/>
      <c r="AF386" s="167"/>
      <c r="AG386" s="167"/>
      <c r="AH386" s="167"/>
      <c r="AI386" s="125"/>
      <c r="AJ386" s="125"/>
      <c r="AK386" s="125"/>
      <c r="AL386" s="125"/>
      <c r="AM386" s="125"/>
      <c r="AN386" s="125"/>
      <c r="AO386" s="125"/>
      <c r="AP386" s="125"/>
      <c r="AQ386" s="125"/>
      <c r="AR386" s="125"/>
      <c r="AS386" s="125"/>
      <c r="AT386" s="125"/>
      <c r="AU386" s="125"/>
      <c r="AV386" s="125"/>
      <c r="AW386" s="125"/>
      <c r="AX386" s="125"/>
      <c r="AY386" s="167"/>
      <c r="AZ386" s="167"/>
      <c r="BA386" s="167"/>
      <c r="BB386" s="167"/>
      <c r="BC386" s="167"/>
      <c r="BD386" s="167"/>
      <c r="BE386" s="167"/>
      <c r="BF386" s="167"/>
      <c r="BG386" s="125"/>
      <c r="BH386" s="125"/>
      <c r="BI386" s="125"/>
      <c r="BJ386" s="125"/>
      <c r="BK386" s="125"/>
      <c r="BL386" s="125"/>
      <c r="BM386" s="125"/>
      <c r="BN386" s="125"/>
      <c r="BO386" s="125"/>
      <c r="BP386" s="125"/>
      <c r="BQ386" s="125"/>
      <c r="BR386" s="125"/>
      <c r="BS386" s="125"/>
      <c r="BT386" s="125"/>
      <c r="BU386" s="125"/>
      <c r="BV386" s="125"/>
      <c r="BW386" s="167"/>
      <c r="BX386" s="167"/>
      <c r="BY386" s="167"/>
      <c r="BZ386" s="167"/>
      <c r="CA386" s="167"/>
      <c r="CB386" s="167"/>
      <c r="CC386" s="167"/>
      <c r="CD386" s="167"/>
      <c r="CE386" s="125"/>
      <c r="CF386" s="125"/>
      <c r="CG386" s="125"/>
      <c r="CH386" s="125"/>
      <c r="CI386" s="125"/>
      <c r="CJ386" s="125"/>
      <c r="CK386" s="125"/>
      <c r="CL386" s="125"/>
      <c r="CM386" s="125"/>
      <c r="CN386" s="125"/>
      <c r="CO386" s="125"/>
      <c r="CP386" s="125"/>
      <c r="CQ386" s="125"/>
      <c r="CR386" s="125"/>
      <c r="CS386" s="125"/>
      <c r="CT386" s="125"/>
      <c r="CU386" s="167"/>
      <c r="CV386" s="167"/>
      <c r="CW386" s="167"/>
      <c r="CX386" s="167"/>
      <c r="CY386" s="167"/>
      <c r="CZ386" s="167"/>
      <c r="DA386" s="167"/>
      <c r="DB386" s="167"/>
      <c r="DC386" s="125"/>
      <c r="DD386" s="125"/>
      <c r="DE386" s="125"/>
      <c r="DF386" s="125"/>
      <c r="DG386" s="125"/>
      <c r="DH386" s="125"/>
      <c r="DI386" s="125"/>
      <c r="DJ386" s="125"/>
      <c r="DK386" s="125"/>
      <c r="DL386" s="125"/>
      <c r="DM386" s="125"/>
      <c r="DN386" s="125"/>
      <c r="DO386" s="125"/>
      <c r="DP386" s="125"/>
      <c r="DQ386" s="125"/>
      <c r="DR386" s="125"/>
      <c r="DS386" s="167"/>
      <c r="DT386" s="167"/>
      <c r="DU386" s="167"/>
      <c r="DV386" s="167"/>
      <c r="DW386" s="167"/>
      <c r="DX386" s="167"/>
      <c r="DY386" s="167"/>
      <c r="DZ386" s="167"/>
      <c r="EA386" s="125"/>
      <c r="EB386" s="125"/>
      <c r="EC386" s="125"/>
      <c r="ED386" s="125"/>
      <c r="EE386" s="125"/>
      <c r="EF386" s="125"/>
      <c r="EG386" s="125"/>
      <c r="EH386" s="125"/>
      <c r="EI386" s="125"/>
      <c r="EJ386" s="125"/>
      <c r="EK386" s="125"/>
      <c r="EL386" s="125"/>
      <c r="EM386" s="125"/>
      <c r="EN386" s="125"/>
      <c r="EO386" s="125"/>
      <c r="EP386" s="125"/>
      <c r="EQ386" s="167"/>
      <c r="ER386" s="167"/>
      <c r="ES386" s="167"/>
      <c r="ET386" s="167"/>
      <c r="EU386" s="167"/>
      <c r="EV386" s="167"/>
      <c r="EW386" s="167"/>
      <c r="EX386" s="167"/>
      <c r="EY386" s="125"/>
      <c r="EZ386" s="125"/>
      <c r="FA386" s="125"/>
      <c r="FB386" s="125"/>
      <c r="FC386" s="125"/>
      <c r="FD386" s="125"/>
      <c r="FE386" s="125"/>
      <c r="FF386" s="125"/>
      <c r="FG386" s="125"/>
      <c r="FH386" s="125"/>
      <c r="FI386" s="125"/>
      <c r="FJ386" s="125"/>
      <c r="FK386" s="125"/>
      <c r="FL386" s="125"/>
      <c r="FM386" s="125"/>
      <c r="FN386" s="125"/>
      <c r="FO386" s="167"/>
      <c r="FP386" s="167"/>
      <c r="FQ386" s="167"/>
      <c r="FR386" s="167"/>
      <c r="FS386" s="167"/>
      <c r="FT386" s="167"/>
      <c r="FU386" s="167"/>
      <c r="FV386" s="167"/>
      <c r="FW386" s="125"/>
      <c r="FX386" s="125"/>
      <c r="FY386" s="125"/>
      <c r="FZ386" s="125"/>
      <c r="GA386" s="125"/>
      <c r="GB386" s="125"/>
      <c r="GC386" s="125"/>
      <c r="GD386" s="125"/>
      <c r="GE386" s="125"/>
      <c r="GF386" s="125"/>
      <c r="GG386" s="125"/>
      <c r="GH386" s="125"/>
      <c r="GI386" s="125"/>
      <c r="GJ386" s="125"/>
      <c r="GK386" s="125"/>
      <c r="GL386" s="125"/>
      <c r="GM386" s="167"/>
      <c r="GN386" s="167"/>
      <c r="GO386" s="167"/>
      <c r="GP386" s="167"/>
      <c r="GQ386" s="167"/>
      <c r="GR386" s="167"/>
      <c r="GS386" s="167"/>
      <c r="GT386" s="167"/>
      <c r="GU386" s="125"/>
      <c r="GV386" s="125"/>
      <c r="GW386" s="125"/>
      <c r="GX386" s="125"/>
      <c r="GY386" s="125"/>
      <c r="GZ386" s="125"/>
      <c r="HA386" s="125"/>
      <c r="HB386" s="125"/>
      <c r="HC386" s="125"/>
      <c r="HD386" s="125"/>
      <c r="HE386" s="125"/>
      <c r="HF386" s="125"/>
      <c r="HG386" s="125"/>
      <c r="HH386" s="125"/>
      <c r="HI386" s="125"/>
      <c r="HJ386" s="125"/>
      <c r="HK386" s="167"/>
      <c r="HL386" s="167"/>
      <c r="HM386" s="167"/>
      <c r="HN386" s="167"/>
      <c r="HO386" s="167"/>
      <c r="HP386" s="167"/>
      <c r="HQ386" s="167"/>
      <c r="HR386" s="167"/>
      <c r="HS386" s="125"/>
      <c r="HT386" s="125"/>
      <c r="HU386" s="125"/>
      <c r="HV386" s="125"/>
      <c r="HW386" s="125"/>
      <c r="HX386" s="125"/>
      <c r="HY386" s="125"/>
      <c r="HZ386" s="125"/>
      <c r="IA386" s="125"/>
      <c r="IB386" s="125"/>
      <c r="IC386" s="125"/>
      <c r="ID386" s="125"/>
      <c r="IE386" s="125"/>
      <c r="IF386" s="125"/>
      <c r="IG386" s="125"/>
      <c r="IH386" s="125"/>
      <c r="II386" s="167"/>
      <c r="IJ386" s="167"/>
      <c r="IK386" s="167"/>
      <c r="IL386" s="167"/>
      <c r="IM386" s="167"/>
      <c r="IN386" s="167"/>
      <c r="IO386" s="167"/>
      <c r="IP386" s="167"/>
      <c r="IQ386" s="125"/>
      <c r="IR386" s="125"/>
      <c r="IS386" s="125"/>
      <c r="IT386" s="125"/>
      <c r="IU386" s="125"/>
      <c r="IV386" s="125"/>
    </row>
    <row r="387" spans="1:256" s="3" customFormat="1">
      <c r="A387" s="80">
        <v>34</v>
      </c>
      <c r="B387" s="60">
        <v>43082</v>
      </c>
      <c r="C387" s="18"/>
      <c r="D387" s="19" t="s">
        <v>406</v>
      </c>
      <c r="E387" s="20" t="s">
        <v>407</v>
      </c>
      <c r="F387" s="168" t="s">
        <v>547</v>
      </c>
      <c r="G387" s="63">
        <v>1708</v>
      </c>
      <c r="H387" s="121">
        <v>2000000</v>
      </c>
      <c r="I387" s="24"/>
      <c r="J387" s="24">
        <f t="shared" si="36"/>
        <v>1904761.9047619046</v>
      </c>
      <c r="K387" s="24">
        <f t="shared" si="31"/>
        <v>1904761.9047619046</v>
      </c>
      <c r="L387" s="123">
        <v>1</v>
      </c>
      <c r="M387" s="24">
        <f t="shared" si="32"/>
        <v>1904761.9047619046</v>
      </c>
      <c r="N387" s="124">
        <f t="shared" si="33"/>
        <v>0</v>
      </c>
      <c r="O387" s="107" t="s">
        <v>499</v>
      </c>
      <c r="AA387" s="141"/>
      <c r="AB387" s="142"/>
      <c r="AC387" s="142"/>
      <c r="AD387" s="142"/>
      <c r="AE387" s="142"/>
      <c r="AF387" s="142"/>
      <c r="AG387" s="142"/>
      <c r="AH387" s="143"/>
      <c r="AY387" s="141"/>
      <c r="AZ387" s="142"/>
      <c r="BA387" s="142"/>
      <c r="BB387" s="142"/>
      <c r="BC387" s="142"/>
      <c r="BD387" s="142"/>
      <c r="BE387" s="142"/>
      <c r="BF387" s="143"/>
      <c r="BW387" s="141"/>
      <c r="BX387" s="142"/>
      <c r="BY387" s="142"/>
      <c r="BZ387" s="142"/>
      <c r="CA387" s="142"/>
      <c r="CB387" s="142"/>
      <c r="CC387" s="142"/>
      <c r="CD387" s="143"/>
      <c r="CU387" s="141"/>
      <c r="CV387" s="142"/>
      <c r="CW387" s="142"/>
      <c r="CX387" s="142"/>
      <c r="CY387" s="142"/>
      <c r="CZ387" s="142"/>
      <c r="DA387" s="142"/>
      <c r="DB387" s="143"/>
      <c r="DS387" s="141"/>
      <c r="DT387" s="142"/>
      <c r="DU387" s="142"/>
      <c r="DV387" s="142"/>
      <c r="DW387" s="142"/>
      <c r="DX387" s="142"/>
      <c r="DY387" s="142"/>
      <c r="DZ387" s="143"/>
      <c r="EQ387" s="141"/>
      <c r="ER387" s="142"/>
      <c r="ES387" s="142"/>
      <c r="ET387" s="142"/>
      <c r="EU387" s="142"/>
      <c r="EV387" s="142"/>
      <c r="EW387" s="142"/>
      <c r="EX387" s="143"/>
      <c r="FO387" s="141"/>
      <c r="FP387" s="142"/>
      <c r="FQ387" s="142"/>
      <c r="FR387" s="142"/>
      <c r="FS387" s="142"/>
      <c r="FT387" s="142"/>
      <c r="FU387" s="142"/>
      <c r="FV387" s="143"/>
      <c r="GM387" s="141"/>
      <c r="GN387" s="142"/>
      <c r="GO387" s="142"/>
      <c r="GP387" s="142"/>
      <c r="GQ387" s="142"/>
      <c r="GR387" s="142"/>
      <c r="GS387" s="142"/>
      <c r="GT387" s="143"/>
      <c r="HK387" s="141"/>
      <c r="HL387" s="142"/>
      <c r="HM387" s="142"/>
      <c r="HN387" s="142"/>
      <c r="HO387" s="142"/>
      <c r="HP387" s="142"/>
      <c r="HQ387" s="142"/>
      <c r="HR387" s="143"/>
      <c r="II387" s="141"/>
      <c r="IJ387" s="142"/>
      <c r="IK387" s="142"/>
      <c r="IL387" s="142"/>
      <c r="IM387" s="142"/>
      <c r="IN387" s="142"/>
      <c r="IO387" s="142"/>
      <c r="IP387" s="143"/>
    </row>
    <row r="388" spans="1:256" s="3" customFormat="1">
      <c r="A388" s="80">
        <v>35</v>
      </c>
      <c r="B388" s="56">
        <v>43084</v>
      </c>
      <c r="C388" s="18"/>
      <c r="D388" s="19" t="s">
        <v>548</v>
      </c>
      <c r="E388" s="20" t="s">
        <v>407</v>
      </c>
      <c r="F388" s="62" t="s">
        <v>549</v>
      </c>
      <c r="G388" s="63">
        <v>1708</v>
      </c>
      <c r="H388" s="121">
        <v>2000000</v>
      </c>
      <c r="I388" s="24"/>
      <c r="J388" s="24">
        <f t="shared" si="36"/>
        <v>1904761.9047619046</v>
      </c>
      <c r="K388" s="24">
        <f t="shared" si="31"/>
        <v>1904761.9047619046</v>
      </c>
      <c r="L388" s="123">
        <v>1</v>
      </c>
      <c r="M388" s="24">
        <f t="shared" si="32"/>
        <v>1904761.9047619046</v>
      </c>
      <c r="N388" s="124">
        <f t="shared" si="33"/>
        <v>0</v>
      </c>
      <c r="O388" s="107" t="s">
        <v>499</v>
      </c>
      <c r="AA388" s="130"/>
      <c r="AB388" s="130"/>
      <c r="AC388" s="130"/>
      <c r="AD388" s="130"/>
      <c r="AE388" s="130"/>
      <c r="AF388" s="130"/>
      <c r="AG388" s="130"/>
      <c r="AH388" s="130"/>
      <c r="AY388" s="130"/>
      <c r="AZ388" s="130"/>
      <c r="BA388" s="130"/>
      <c r="BB388" s="130"/>
      <c r="BC388" s="130"/>
      <c r="BD388" s="130"/>
      <c r="BE388" s="130"/>
      <c r="BF388" s="130"/>
      <c r="BW388" s="130"/>
      <c r="BX388" s="130"/>
      <c r="BY388" s="130"/>
      <c r="BZ388" s="130"/>
      <c r="CA388" s="130"/>
      <c r="CB388" s="130"/>
      <c r="CC388" s="130"/>
      <c r="CD388" s="130"/>
      <c r="CU388" s="130"/>
      <c r="CV388" s="130"/>
      <c r="CW388" s="130"/>
      <c r="CX388" s="130"/>
      <c r="CY388" s="130"/>
      <c r="CZ388" s="130"/>
      <c r="DA388" s="130"/>
      <c r="DB388" s="130"/>
      <c r="DS388" s="130"/>
      <c r="DT388" s="130"/>
      <c r="DU388" s="130"/>
      <c r="DV388" s="130"/>
      <c r="DW388" s="130"/>
      <c r="DX388" s="130"/>
      <c r="DY388" s="130"/>
      <c r="DZ388" s="130"/>
      <c r="EQ388" s="130"/>
      <c r="ER388" s="130"/>
      <c r="ES388" s="130"/>
      <c r="ET388" s="130"/>
      <c r="EU388" s="130"/>
      <c r="EV388" s="130"/>
      <c r="EW388" s="130"/>
      <c r="EX388" s="130"/>
      <c r="FO388" s="130"/>
      <c r="FP388" s="130"/>
      <c r="FQ388" s="130"/>
      <c r="FR388" s="130"/>
      <c r="FS388" s="130"/>
      <c r="FT388" s="130"/>
      <c r="FU388" s="130"/>
      <c r="FV388" s="130"/>
      <c r="GM388" s="130"/>
      <c r="GN388" s="130"/>
      <c r="GO388" s="130"/>
      <c r="GP388" s="130"/>
      <c r="GQ388" s="130"/>
      <c r="GR388" s="130"/>
      <c r="GS388" s="130"/>
      <c r="GT388" s="130"/>
      <c r="HK388" s="130"/>
      <c r="HL388" s="130"/>
      <c r="HM388" s="130"/>
      <c r="HN388" s="130"/>
      <c r="HO388" s="130"/>
      <c r="HP388" s="130"/>
      <c r="HQ388" s="130"/>
      <c r="HR388" s="130"/>
      <c r="II388" s="130"/>
      <c r="IJ388" s="130"/>
      <c r="IK388" s="130"/>
      <c r="IL388" s="130"/>
      <c r="IM388" s="130"/>
      <c r="IN388" s="130"/>
      <c r="IO388" s="130"/>
      <c r="IP388" s="130"/>
    </row>
    <row r="389" spans="1:256" s="3" customFormat="1">
      <c r="A389" s="80">
        <v>36</v>
      </c>
      <c r="B389" s="56">
        <v>43088</v>
      </c>
      <c r="C389" s="18"/>
      <c r="D389" s="19" t="s">
        <v>548</v>
      </c>
      <c r="E389" s="20" t="s">
        <v>407</v>
      </c>
      <c r="F389" s="62" t="s">
        <v>550</v>
      </c>
      <c r="G389" s="63">
        <v>1709</v>
      </c>
      <c r="H389" s="121">
        <v>2000000</v>
      </c>
      <c r="I389" s="24"/>
      <c r="J389" s="24">
        <f t="shared" si="36"/>
        <v>1904761.9047619046</v>
      </c>
      <c r="K389" s="24">
        <f t="shared" si="31"/>
        <v>1904761.9047619046</v>
      </c>
      <c r="L389" s="123">
        <v>1</v>
      </c>
      <c r="M389" s="24">
        <f t="shared" si="32"/>
        <v>1904761.9047619046</v>
      </c>
      <c r="N389" s="124">
        <f t="shared" si="33"/>
        <v>0</v>
      </c>
      <c r="O389" s="107" t="s">
        <v>499</v>
      </c>
      <c r="Q389" s="140"/>
      <c r="AA389" s="130"/>
      <c r="AB389" s="130"/>
      <c r="AC389" s="130"/>
      <c r="AD389" s="130"/>
      <c r="AE389" s="130"/>
      <c r="AF389" s="167"/>
      <c r="AG389" s="167"/>
      <c r="AH389" s="167"/>
      <c r="AI389" s="125"/>
      <c r="AJ389" s="125"/>
      <c r="AK389" s="125"/>
      <c r="AL389" s="125"/>
      <c r="AM389" s="125"/>
      <c r="AN389" s="125"/>
      <c r="AO389" s="125"/>
      <c r="AP389" s="125"/>
      <c r="AQ389" s="125"/>
      <c r="AR389" s="125"/>
      <c r="AS389" s="125"/>
      <c r="AT389" s="125"/>
      <c r="AU389" s="125"/>
      <c r="AV389" s="125"/>
      <c r="AW389" s="125"/>
      <c r="AX389" s="125"/>
      <c r="AY389" s="167"/>
      <c r="AZ389" s="167"/>
      <c r="BA389" s="167"/>
      <c r="BB389" s="167"/>
      <c r="BC389" s="167"/>
      <c r="BD389" s="167"/>
      <c r="BE389" s="167"/>
      <c r="BF389" s="167"/>
      <c r="BG389" s="125"/>
      <c r="BH389" s="125"/>
      <c r="BI389" s="125"/>
      <c r="BJ389" s="125"/>
      <c r="BK389" s="125"/>
      <c r="BL389" s="125"/>
      <c r="BM389" s="125"/>
      <c r="BN389" s="125"/>
      <c r="BO389" s="125"/>
      <c r="BP389" s="125"/>
      <c r="BQ389" s="125"/>
      <c r="BR389" s="125"/>
      <c r="BS389" s="125"/>
      <c r="BT389" s="125"/>
      <c r="BU389" s="125"/>
      <c r="BV389" s="125"/>
      <c r="BW389" s="167"/>
      <c r="BX389" s="167"/>
      <c r="BY389" s="167"/>
      <c r="BZ389" s="167"/>
      <c r="CA389" s="167"/>
      <c r="CB389" s="167"/>
      <c r="CC389" s="167"/>
      <c r="CD389" s="167"/>
      <c r="CE389" s="125"/>
      <c r="CF389" s="125"/>
      <c r="CG389" s="125"/>
      <c r="CH389" s="125"/>
      <c r="CI389" s="125"/>
      <c r="CJ389" s="125"/>
      <c r="CK389" s="125"/>
      <c r="CL389" s="125"/>
      <c r="CM389" s="125"/>
      <c r="CN389" s="125"/>
      <c r="CO389" s="125"/>
      <c r="CP389" s="125"/>
      <c r="CQ389" s="125"/>
      <c r="CR389" s="125"/>
      <c r="CS389" s="125"/>
      <c r="CT389" s="125"/>
      <c r="CU389" s="167"/>
      <c r="CV389" s="167"/>
      <c r="CW389" s="167"/>
      <c r="CX389" s="167"/>
      <c r="CY389" s="167"/>
      <c r="CZ389" s="167"/>
      <c r="DA389" s="167"/>
      <c r="DB389" s="167"/>
      <c r="DC389" s="125"/>
      <c r="DD389" s="125"/>
      <c r="DE389" s="125"/>
      <c r="DF389" s="125"/>
      <c r="DG389" s="125"/>
      <c r="DH389" s="125"/>
      <c r="DI389" s="125"/>
      <c r="DJ389" s="125"/>
      <c r="DK389" s="125"/>
      <c r="DL389" s="125"/>
      <c r="DM389" s="125"/>
      <c r="DN389" s="125"/>
      <c r="DO389" s="125"/>
      <c r="DP389" s="125"/>
      <c r="DQ389" s="125"/>
      <c r="DR389" s="125"/>
      <c r="DS389" s="167"/>
      <c r="DT389" s="167"/>
      <c r="DU389" s="167"/>
      <c r="DV389" s="167"/>
      <c r="DW389" s="167"/>
      <c r="DX389" s="167"/>
      <c r="DY389" s="167"/>
      <c r="DZ389" s="167"/>
      <c r="EA389" s="125"/>
      <c r="EB389" s="125"/>
      <c r="EC389" s="125"/>
      <c r="ED389" s="125"/>
      <c r="EE389" s="125"/>
      <c r="EF389" s="125"/>
      <c r="EG389" s="125"/>
      <c r="EH389" s="125"/>
      <c r="EI389" s="125"/>
      <c r="EJ389" s="125"/>
      <c r="EK389" s="125"/>
      <c r="EL389" s="125"/>
      <c r="EM389" s="125"/>
      <c r="EN389" s="125"/>
      <c r="EO389" s="125"/>
      <c r="EP389" s="125"/>
      <c r="EQ389" s="167"/>
      <c r="ER389" s="167"/>
      <c r="ES389" s="167"/>
      <c r="ET389" s="167"/>
      <c r="EU389" s="167"/>
      <c r="EV389" s="167"/>
      <c r="EW389" s="167"/>
      <c r="EX389" s="167"/>
      <c r="EY389" s="125"/>
      <c r="EZ389" s="125"/>
      <c r="FA389" s="125"/>
      <c r="FB389" s="125"/>
      <c r="FC389" s="125"/>
      <c r="FD389" s="125"/>
      <c r="FE389" s="125"/>
      <c r="FF389" s="125"/>
      <c r="FG389" s="125"/>
      <c r="FH389" s="125"/>
      <c r="FI389" s="125"/>
      <c r="FJ389" s="125"/>
      <c r="FK389" s="125"/>
      <c r="FL389" s="125"/>
      <c r="FM389" s="125"/>
      <c r="FN389" s="125"/>
      <c r="FO389" s="167"/>
      <c r="FP389" s="167"/>
      <c r="FQ389" s="167"/>
      <c r="FR389" s="167"/>
      <c r="FS389" s="167"/>
      <c r="FT389" s="167"/>
      <c r="FU389" s="167"/>
      <c r="FV389" s="167"/>
      <c r="FW389" s="125"/>
      <c r="FX389" s="125"/>
      <c r="FY389" s="125"/>
      <c r="FZ389" s="125"/>
      <c r="GA389" s="125"/>
      <c r="GB389" s="125"/>
      <c r="GC389" s="125"/>
      <c r="GD389" s="125"/>
      <c r="GE389" s="125"/>
      <c r="GF389" s="125"/>
      <c r="GG389" s="125"/>
      <c r="GH389" s="125"/>
      <c r="GI389" s="125"/>
      <c r="GJ389" s="125"/>
      <c r="GK389" s="125"/>
      <c r="GL389" s="125"/>
      <c r="GM389" s="167"/>
      <c r="GN389" s="167"/>
      <c r="GO389" s="167"/>
      <c r="GP389" s="167"/>
      <c r="GQ389" s="167"/>
      <c r="GR389" s="167"/>
      <c r="GS389" s="167"/>
      <c r="GT389" s="167"/>
      <c r="GU389" s="125"/>
      <c r="GV389" s="125"/>
      <c r="GW389" s="125"/>
      <c r="GX389" s="125"/>
      <c r="GY389" s="125"/>
      <c r="GZ389" s="125"/>
      <c r="HA389" s="125"/>
      <c r="HB389" s="125"/>
      <c r="HC389" s="125"/>
      <c r="HD389" s="125"/>
      <c r="HE389" s="125"/>
      <c r="HF389" s="125"/>
      <c r="HG389" s="125"/>
      <c r="HH389" s="125"/>
      <c r="HI389" s="125"/>
      <c r="HJ389" s="125"/>
      <c r="HK389" s="167"/>
      <c r="HL389" s="167"/>
      <c r="HM389" s="167"/>
      <c r="HN389" s="167"/>
      <c r="HO389" s="167"/>
      <c r="HP389" s="167"/>
      <c r="HQ389" s="167"/>
      <c r="HR389" s="167"/>
      <c r="HS389" s="125"/>
      <c r="HT389" s="125"/>
      <c r="HU389" s="125"/>
      <c r="HV389" s="125"/>
      <c r="HW389" s="125"/>
      <c r="HX389" s="125"/>
      <c r="HY389" s="125"/>
      <c r="HZ389" s="125"/>
      <c r="IA389" s="125"/>
      <c r="IB389" s="125"/>
      <c r="IC389" s="125"/>
      <c r="ID389" s="125"/>
      <c r="IE389" s="125"/>
      <c r="IF389" s="125"/>
      <c r="IG389" s="125"/>
      <c r="IH389" s="125"/>
      <c r="II389" s="167"/>
      <c r="IJ389" s="167"/>
      <c r="IK389" s="167"/>
      <c r="IL389" s="167"/>
      <c r="IM389" s="167"/>
      <c r="IN389" s="167"/>
      <c r="IO389" s="167"/>
      <c r="IP389" s="167"/>
      <c r="IQ389" s="125"/>
      <c r="IR389" s="125"/>
      <c r="IS389" s="125"/>
      <c r="IT389" s="125"/>
      <c r="IU389" s="125"/>
      <c r="IV389" s="125"/>
    </row>
    <row r="390" spans="1:256" s="3" customFormat="1">
      <c r="A390" s="80">
        <v>37</v>
      </c>
      <c r="B390" s="60">
        <v>43095</v>
      </c>
      <c r="C390" s="18"/>
      <c r="D390" s="19" t="s">
        <v>548</v>
      </c>
      <c r="E390" s="20" t="s">
        <v>407</v>
      </c>
      <c r="F390" s="168" t="s">
        <v>551</v>
      </c>
      <c r="G390" s="63">
        <v>1710</v>
      </c>
      <c r="H390" s="121">
        <v>2061500</v>
      </c>
      <c r="I390" s="24"/>
      <c r="J390" s="24">
        <f t="shared" si="36"/>
        <v>1963333.3333333333</v>
      </c>
      <c r="K390" s="24">
        <f t="shared" si="31"/>
        <v>1963333.3333333333</v>
      </c>
      <c r="L390" s="123">
        <v>1</v>
      </c>
      <c r="M390" s="24">
        <f t="shared" si="32"/>
        <v>1963333.3333333333</v>
      </c>
      <c r="N390" s="124">
        <f t="shared" si="33"/>
        <v>0</v>
      </c>
      <c r="O390" s="107" t="s">
        <v>499</v>
      </c>
      <c r="Y390" s="131"/>
      <c r="Z390" s="15"/>
      <c r="AA390" s="132"/>
      <c r="AB390" s="133"/>
      <c r="AC390" s="134"/>
      <c r="AD390" s="134"/>
      <c r="AE390" s="135"/>
      <c r="AF390" s="136"/>
      <c r="AG390" s="137"/>
      <c r="AH390" s="137"/>
      <c r="AJ390" s="138"/>
      <c r="AK390" s="2"/>
      <c r="AL390" s="139"/>
      <c r="AW390" s="131"/>
      <c r="AX390" s="15"/>
      <c r="AY390" s="132"/>
      <c r="AZ390" s="133"/>
      <c r="BA390" s="134"/>
      <c r="BB390" s="134"/>
      <c r="BC390" s="135"/>
      <c r="BD390" s="136"/>
      <c r="BE390" s="137"/>
      <c r="BF390" s="137"/>
      <c r="BH390" s="138"/>
      <c r="BI390" s="2"/>
      <c r="BJ390" s="139"/>
      <c r="BU390" s="131"/>
      <c r="BV390" s="15"/>
      <c r="BW390" s="132"/>
      <c r="BX390" s="133"/>
      <c r="BY390" s="134"/>
      <c r="BZ390" s="134"/>
      <c r="CA390" s="135"/>
      <c r="CB390" s="136"/>
      <c r="CC390" s="137"/>
      <c r="CD390" s="137"/>
      <c r="CF390" s="138"/>
      <c r="CG390" s="2"/>
      <c r="CH390" s="139"/>
      <c r="CS390" s="131"/>
      <c r="CT390" s="15"/>
      <c r="CU390" s="132"/>
      <c r="CV390" s="133"/>
      <c r="CW390" s="134"/>
      <c r="CX390" s="134"/>
      <c r="CY390" s="135"/>
      <c r="CZ390" s="136"/>
      <c r="DA390" s="137"/>
      <c r="DB390" s="137"/>
      <c r="DD390" s="138"/>
      <c r="DE390" s="2"/>
      <c r="DF390" s="139"/>
      <c r="DQ390" s="131"/>
      <c r="DR390" s="15"/>
      <c r="DS390" s="132"/>
      <c r="DT390" s="133"/>
      <c r="DU390" s="134"/>
      <c r="DV390" s="134"/>
      <c r="DW390" s="135"/>
      <c r="DX390" s="136"/>
      <c r="DY390" s="137"/>
      <c r="DZ390" s="137"/>
      <c r="EB390" s="138"/>
      <c r="EC390" s="2"/>
      <c r="ED390" s="139"/>
      <c r="EO390" s="131"/>
      <c r="EP390" s="15"/>
      <c r="EQ390" s="132"/>
      <c r="ER390" s="133"/>
      <c r="ES390" s="134"/>
      <c r="ET390" s="134"/>
      <c r="EU390" s="135"/>
      <c r="EV390" s="136"/>
      <c r="EW390" s="137"/>
      <c r="EX390" s="137"/>
      <c r="EZ390" s="138"/>
      <c r="FA390" s="2"/>
      <c r="FB390" s="139"/>
      <c r="FM390" s="131"/>
      <c r="FN390" s="15"/>
      <c r="FO390" s="132"/>
      <c r="FP390" s="133"/>
      <c r="FQ390" s="134"/>
      <c r="FR390" s="134"/>
      <c r="FS390" s="135"/>
      <c r="FT390" s="136"/>
      <c r="FU390" s="137"/>
      <c r="FV390" s="137"/>
      <c r="FX390" s="138"/>
      <c r="FY390" s="2"/>
      <c r="FZ390" s="139"/>
      <c r="GK390" s="131"/>
      <c r="GL390" s="15"/>
      <c r="GM390" s="132"/>
      <c r="GN390" s="133"/>
      <c r="GO390" s="134"/>
      <c r="GP390" s="134"/>
      <c r="GQ390" s="135"/>
      <c r="GR390" s="136"/>
      <c r="GS390" s="137"/>
      <c r="GT390" s="137"/>
      <c r="GV390" s="138"/>
      <c r="GW390" s="2"/>
      <c r="GX390" s="139"/>
      <c r="HI390" s="131"/>
      <c r="HJ390" s="15"/>
      <c r="HK390" s="132"/>
      <c r="HL390" s="133"/>
      <c r="HM390" s="134"/>
      <c r="HN390" s="134"/>
      <c r="HO390" s="135"/>
      <c r="HP390" s="136"/>
      <c r="HQ390" s="137"/>
      <c r="HR390" s="137"/>
      <c r="HT390" s="138"/>
      <c r="HU390" s="2"/>
      <c r="HV390" s="139"/>
      <c r="IG390" s="131"/>
      <c r="IH390" s="15"/>
      <c r="II390" s="132"/>
      <c r="IJ390" s="133"/>
      <c r="IK390" s="134"/>
      <c r="IL390" s="134"/>
      <c r="IM390" s="135"/>
      <c r="IN390" s="136"/>
      <c r="IO390" s="137"/>
      <c r="IP390" s="137"/>
      <c r="IR390" s="138"/>
      <c r="IS390" s="2"/>
      <c r="IT390" s="139"/>
    </row>
    <row r="391" spans="1:256" s="3" customFormat="1">
      <c r="A391" s="80">
        <v>38</v>
      </c>
      <c r="B391" s="56">
        <v>43097</v>
      </c>
      <c r="C391" s="18"/>
      <c r="D391" s="19" t="s">
        <v>548</v>
      </c>
      <c r="E391" s="20" t="s">
        <v>552</v>
      </c>
      <c r="F391" s="62" t="s">
        <v>553</v>
      </c>
      <c r="G391" s="63">
        <v>1711</v>
      </c>
      <c r="H391" s="121">
        <v>2632000</v>
      </c>
      <c r="I391" s="24"/>
      <c r="J391" s="24">
        <f t="shared" si="36"/>
        <v>2506666.6666666665</v>
      </c>
      <c r="K391" s="24">
        <f t="shared" si="31"/>
        <v>2506666.6666666665</v>
      </c>
      <c r="L391" s="123">
        <v>1</v>
      </c>
      <c r="M391" s="24">
        <f t="shared" si="32"/>
        <v>2506666.6666666665</v>
      </c>
      <c r="N391" s="124">
        <f t="shared" si="33"/>
        <v>0</v>
      </c>
      <c r="O391" s="107" t="s">
        <v>499</v>
      </c>
      <c r="AA391" s="130"/>
      <c r="AB391" s="130"/>
      <c r="AC391" s="130"/>
      <c r="AD391" s="130"/>
      <c r="AE391" s="130"/>
      <c r="AF391" s="130"/>
      <c r="AG391" s="130"/>
      <c r="AH391" s="130"/>
      <c r="AY391" s="130"/>
      <c r="AZ391" s="130"/>
      <c r="BA391" s="130"/>
      <c r="BB391" s="130"/>
      <c r="BC391" s="130"/>
      <c r="BD391" s="130"/>
      <c r="BE391" s="130"/>
      <c r="BF391" s="130"/>
      <c r="BW391" s="130"/>
      <c r="BX391" s="130"/>
      <c r="BY391" s="130"/>
      <c r="BZ391" s="130"/>
      <c r="CA391" s="130"/>
      <c r="CB391" s="130"/>
      <c r="CC391" s="130"/>
      <c r="CD391" s="130"/>
      <c r="CU391" s="130"/>
      <c r="CV391" s="130"/>
      <c r="CW391" s="130"/>
      <c r="CX391" s="130"/>
      <c r="CY391" s="130"/>
      <c r="CZ391" s="130"/>
      <c r="DA391" s="130"/>
      <c r="DB391" s="130"/>
      <c r="DS391" s="130"/>
      <c r="DT391" s="130"/>
      <c r="DU391" s="130"/>
      <c r="DV391" s="130"/>
      <c r="DW391" s="130"/>
      <c r="DX391" s="130"/>
      <c r="DY391" s="130"/>
      <c r="DZ391" s="130"/>
      <c r="EQ391" s="130"/>
      <c r="ER391" s="130"/>
      <c r="ES391" s="130"/>
      <c r="ET391" s="130"/>
      <c r="EU391" s="130"/>
      <c r="EV391" s="130"/>
      <c r="EW391" s="130"/>
      <c r="EX391" s="130"/>
      <c r="FO391" s="130"/>
      <c r="FP391" s="130"/>
      <c r="FQ391" s="130"/>
      <c r="FR391" s="130"/>
      <c r="FS391" s="130"/>
      <c r="FT391" s="130"/>
      <c r="FU391" s="130"/>
      <c r="FV391" s="130"/>
      <c r="GM391" s="130"/>
      <c r="GN391" s="130"/>
      <c r="GO391" s="130"/>
      <c r="GP391" s="130"/>
      <c r="GQ391" s="130"/>
      <c r="GR391" s="130"/>
      <c r="GS391" s="130"/>
      <c r="GT391" s="130"/>
      <c r="HK391" s="130"/>
      <c r="HL391" s="130"/>
      <c r="HM391" s="130"/>
      <c r="HN391" s="130"/>
      <c r="HO391" s="130"/>
      <c r="HP391" s="130"/>
      <c r="HQ391" s="130"/>
      <c r="HR391" s="130"/>
      <c r="II391" s="130"/>
      <c r="IJ391" s="130"/>
      <c r="IK391" s="130"/>
      <c r="IL391" s="130"/>
      <c r="IM391" s="130"/>
      <c r="IN391" s="130"/>
      <c r="IO391" s="130"/>
      <c r="IP391" s="130"/>
    </row>
    <row r="392" spans="1:256" s="3" customFormat="1">
      <c r="A392" s="80">
        <v>39</v>
      </c>
      <c r="B392" s="56">
        <v>43081</v>
      </c>
      <c r="C392" s="18" t="s">
        <v>233</v>
      </c>
      <c r="D392" s="19" t="s">
        <v>316</v>
      </c>
      <c r="E392" s="20" t="s">
        <v>554</v>
      </c>
      <c r="F392" s="82" t="s">
        <v>555</v>
      </c>
      <c r="G392" s="63">
        <v>1706</v>
      </c>
      <c r="H392" s="121">
        <f>2371500+12600</f>
        <v>2384100</v>
      </c>
      <c r="I392" s="24"/>
      <c r="J392" s="24">
        <f t="shared" si="36"/>
        <v>2270571.4285714286</v>
      </c>
      <c r="K392" s="24">
        <f t="shared" si="31"/>
        <v>2270571.4285714286</v>
      </c>
      <c r="L392" s="123">
        <v>1</v>
      </c>
      <c r="M392" s="24">
        <f t="shared" si="32"/>
        <v>2270571.4285714286</v>
      </c>
      <c r="N392" s="124">
        <f t="shared" si="33"/>
        <v>0</v>
      </c>
      <c r="O392" s="107" t="s">
        <v>499</v>
      </c>
      <c r="AA392" s="130"/>
      <c r="AB392" s="130"/>
      <c r="AC392" s="130"/>
      <c r="AD392" s="130"/>
      <c r="AE392" s="130"/>
      <c r="AF392" s="167"/>
      <c r="AG392" s="167"/>
      <c r="AH392" s="167"/>
      <c r="AI392" s="125"/>
      <c r="AJ392" s="125"/>
      <c r="AK392" s="125"/>
      <c r="AL392" s="125"/>
      <c r="AM392" s="125"/>
      <c r="AN392" s="125"/>
      <c r="AO392" s="125"/>
      <c r="AP392" s="125"/>
      <c r="AQ392" s="125"/>
      <c r="AR392" s="125"/>
      <c r="AS392" s="125"/>
      <c r="AT392" s="125"/>
      <c r="AU392" s="125"/>
      <c r="AV392" s="125"/>
      <c r="AW392" s="125"/>
      <c r="AX392" s="125"/>
      <c r="AY392" s="167"/>
      <c r="AZ392" s="167"/>
      <c r="BA392" s="167"/>
      <c r="BB392" s="167"/>
      <c r="BC392" s="167"/>
      <c r="BD392" s="167"/>
      <c r="BE392" s="167"/>
      <c r="BF392" s="167"/>
      <c r="BG392" s="125"/>
      <c r="BH392" s="125"/>
      <c r="BI392" s="125"/>
      <c r="BJ392" s="125"/>
      <c r="BK392" s="125"/>
      <c r="BL392" s="125"/>
      <c r="BM392" s="125"/>
      <c r="BN392" s="125"/>
      <c r="BO392" s="125"/>
      <c r="BP392" s="125"/>
      <c r="BQ392" s="125"/>
      <c r="BR392" s="125"/>
      <c r="BS392" s="125"/>
      <c r="BT392" s="125"/>
      <c r="BU392" s="125"/>
      <c r="BV392" s="125"/>
      <c r="BW392" s="167"/>
      <c r="BX392" s="167"/>
      <c r="BY392" s="167"/>
      <c r="BZ392" s="167"/>
      <c r="CA392" s="167"/>
      <c r="CB392" s="167"/>
      <c r="CC392" s="167"/>
      <c r="CD392" s="167"/>
      <c r="CE392" s="125"/>
      <c r="CF392" s="125"/>
      <c r="CG392" s="125"/>
      <c r="CH392" s="125"/>
      <c r="CI392" s="125"/>
      <c r="CJ392" s="125"/>
      <c r="CK392" s="125"/>
      <c r="CL392" s="125"/>
      <c r="CM392" s="125"/>
      <c r="CN392" s="125"/>
      <c r="CO392" s="125"/>
      <c r="CP392" s="125"/>
      <c r="CQ392" s="125"/>
      <c r="CR392" s="125"/>
      <c r="CS392" s="125"/>
      <c r="CT392" s="125"/>
      <c r="CU392" s="167"/>
      <c r="CV392" s="167"/>
      <c r="CW392" s="167"/>
      <c r="CX392" s="167"/>
      <c r="CY392" s="167"/>
      <c r="CZ392" s="167"/>
      <c r="DA392" s="167"/>
      <c r="DB392" s="167"/>
      <c r="DC392" s="125"/>
      <c r="DD392" s="125"/>
      <c r="DE392" s="125"/>
      <c r="DF392" s="125"/>
      <c r="DG392" s="125"/>
      <c r="DH392" s="125"/>
      <c r="DI392" s="125"/>
      <c r="DJ392" s="125"/>
      <c r="DK392" s="125"/>
      <c r="DL392" s="125"/>
      <c r="DM392" s="125"/>
      <c r="DN392" s="125"/>
      <c r="DO392" s="125"/>
      <c r="DP392" s="125"/>
      <c r="DQ392" s="125"/>
      <c r="DR392" s="125"/>
      <c r="DS392" s="167"/>
      <c r="DT392" s="167"/>
      <c r="DU392" s="167"/>
      <c r="DV392" s="167"/>
      <c r="DW392" s="167"/>
      <c r="DX392" s="167"/>
      <c r="DY392" s="167"/>
      <c r="DZ392" s="167"/>
      <c r="EA392" s="125"/>
      <c r="EB392" s="125"/>
      <c r="EC392" s="125"/>
      <c r="ED392" s="125"/>
      <c r="EE392" s="125"/>
      <c r="EF392" s="125"/>
      <c r="EG392" s="125"/>
      <c r="EH392" s="125"/>
      <c r="EI392" s="125"/>
      <c r="EJ392" s="125"/>
      <c r="EK392" s="125"/>
      <c r="EL392" s="125"/>
      <c r="EM392" s="125"/>
      <c r="EN392" s="125"/>
      <c r="EO392" s="125"/>
      <c r="EP392" s="125"/>
      <c r="EQ392" s="167"/>
      <c r="ER392" s="167"/>
      <c r="ES392" s="167"/>
      <c r="ET392" s="167"/>
      <c r="EU392" s="167"/>
      <c r="EV392" s="167"/>
      <c r="EW392" s="167"/>
      <c r="EX392" s="167"/>
      <c r="EY392" s="125"/>
      <c r="EZ392" s="125"/>
      <c r="FA392" s="125"/>
      <c r="FB392" s="125"/>
      <c r="FC392" s="125"/>
      <c r="FD392" s="125"/>
      <c r="FE392" s="125"/>
      <c r="FF392" s="125"/>
      <c r="FG392" s="125"/>
      <c r="FH392" s="125"/>
      <c r="FI392" s="125"/>
      <c r="FJ392" s="125"/>
      <c r="FK392" s="125"/>
      <c r="FL392" s="125"/>
      <c r="FM392" s="125"/>
      <c r="FN392" s="125"/>
      <c r="FO392" s="167"/>
      <c r="FP392" s="167"/>
      <c r="FQ392" s="167"/>
      <c r="FR392" s="167"/>
      <c r="FS392" s="167"/>
      <c r="FT392" s="167"/>
      <c r="FU392" s="167"/>
      <c r="FV392" s="167"/>
      <c r="FW392" s="125"/>
      <c r="FX392" s="125"/>
      <c r="FY392" s="125"/>
      <c r="FZ392" s="125"/>
      <c r="GA392" s="125"/>
      <c r="GB392" s="125"/>
      <c r="GC392" s="125"/>
      <c r="GD392" s="125"/>
      <c r="GE392" s="125"/>
      <c r="GF392" s="125"/>
      <c r="GG392" s="125"/>
      <c r="GH392" s="125"/>
      <c r="GI392" s="125"/>
      <c r="GJ392" s="125"/>
      <c r="GK392" s="125"/>
      <c r="GL392" s="125"/>
      <c r="GM392" s="167"/>
      <c r="GN392" s="167"/>
      <c r="GO392" s="167"/>
      <c r="GP392" s="167"/>
      <c r="GQ392" s="167"/>
      <c r="GR392" s="167"/>
      <c r="GS392" s="167"/>
      <c r="GT392" s="167"/>
      <c r="GU392" s="125"/>
      <c r="GV392" s="125"/>
      <c r="GW392" s="125"/>
      <c r="GX392" s="125"/>
      <c r="GY392" s="125"/>
      <c r="GZ392" s="125"/>
      <c r="HA392" s="125"/>
      <c r="HB392" s="125"/>
      <c r="HC392" s="125"/>
      <c r="HD392" s="125"/>
      <c r="HE392" s="125"/>
      <c r="HF392" s="125"/>
      <c r="HG392" s="125"/>
      <c r="HH392" s="125"/>
      <c r="HI392" s="125"/>
      <c r="HJ392" s="125"/>
      <c r="HK392" s="167"/>
      <c r="HL392" s="167"/>
      <c r="HM392" s="167"/>
      <c r="HN392" s="167"/>
      <c r="HO392" s="167"/>
      <c r="HP392" s="167"/>
      <c r="HQ392" s="167"/>
      <c r="HR392" s="167"/>
      <c r="HS392" s="125"/>
      <c r="HT392" s="125"/>
      <c r="HU392" s="125"/>
      <c r="HV392" s="125"/>
      <c r="HW392" s="125"/>
      <c r="HX392" s="125"/>
      <c r="HY392" s="125"/>
      <c r="HZ392" s="125"/>
      <c r="IA392" s="125"/>
      <c r="IB392" s="125"/>
      <c r="IC392" s="125"/>
      <c r="ID392" s="125"/>
      <c r="IE392" s="125"/>
      <c r="IF392" s="125"/>
      <c r="IG392" s="125"/>
      <c r="IH392" s="125"/>
      <c r="II392" s="167"/>
      <c r="IJ392" s="167"/>
      <c r="IK392" s="167"/>
      <c r="IL392" s="167"/>
      <c r="IM392" s="167"/>
      <c r="IN392" s="167"/>
      <c r="IO392" s="167"/>
      <c r="IP392" s="167"/>
      <c r="IQ392" s="125"/>
      <c r="IR392" s="125"/>
      <c r="IS392" s="125"/>
      <c r="IT392" s="125"/>
      <c r="IU392" s="125"/>
      <c r="IV392" s="125"/>
    </row>
    <row r="393" spans="1:256" s="3" customFormat="1">
      <c r="A393" s="80">
        <v>40</v>
      </c>
      <c r="B393" s="60">
        <v>43083</v>
      </c>
      <c r="C393" s="18"/>
      <c r="D393" s="19" t="s">
        <v>316</v>
      </c>
      <c r="E393" s="20" t="s">
        <v>556</v>
      </c>
      <c r="F393" s="62" t="s">
        <v>557</v>
      </c>
      <c r="G393" s="63">
        <v>1707</v>
      </c>
      <c r="H393" s="121">
        <f>2033000-30000</f>
        <v>2003000</v>
      </c>
      <c r="I393" s="24"/>
      <c r="J393" s="24">
        <f t="shared" si="36"/>
        <v>1907619.0476190476</v>
      </c>
      <c r="K393" s="24">
        <f t="shared" si="31"/>
        <v>1907619.0476190476</v>
      </c>
      <c r="L393" s="123">
        <v>1</v>
      </c>
      <c r="M393" s="24">
        <f t="shared" si="32"/>
        <v>1907619.0476190476</v>
      </c>
      <c r="N393" s="124">
        <f t="shared" si="33"/>
        <v>0</v>
      </c>
      <c r="O393" s="107" t="s">
        <v>499</v>
      </c>
      <c r="AA393" s="130"/>
      <c r="AB393" s="130"/>
      <c r="AC393" s="130"/>
      <c r="AD393" s="130"/>
      <c r="AE393" s="130"/>
      <c r="AF393" s="167"/>
      <c r="AG393" s="167"/>
      <c r="AH393" s="167"/>
      <c r="AI393" s="125"/>
      <c r="AJ393" s="125"/>
      <c r="AK393" s="125"/>
      <c r="AL393" s="125"/>
      <c r="AM393" s="125"/>
      <c r="AN393" s="125"/>
      <c r="AO393" s="125"/>
      <c r="AP393" s="125"/>
      <c r="AQ393" s="125"/>
      <c r="AR393" s="125"/>
      <c r="AS393" s="125"/>
      <c r="AT393" s="125"/>
      <c r="AU393" s="125"/>
      <c r="AV393" s="125"/>
      <c r="AW393" s="125"/>
      <c r="AX393" s="125"/>
      <c r="AY393" s="167"/>
      <c r="AZ393" s="167"/>
      <c r="BA393" s="167"/>
      <c r="BB393" s="167"/>
      <c r="BC393" s="167"/>
      <c r="BD393" s="167"/>
      <c r="BE393" s="167"/>
      <c r="BF393" s="167"/>
      <c r="BG393" s="125"/>
      <c r="BH393" s="125"/>
      <c r="BI393" s="125"/>
      <c r="BJ393" s="125"/>
      <c r="BK393" s="125"/>
      <c r="BL393" s="125"/>
      <c r="BM393" s="125"/>
      <c r="BN393" s="125"/>
      <c r="BO393" s="125"/>
      <c r="BP393" s="125"/>
      <c r="BQ393" s="125"/>
      <c r="BR393" s="125"/>
      <c r="BS393" s="125"/>
      <c r="BT393" s="125"/>
      <c r="BU393" s="125"/>
      <c r="BV393" s="125"/>
      <c r="BW393" s="167"/>
      <c r="BX393" s="167"/>
      <c r="BY393" s="167"/>
      <c r="BZ393" s="167"/>
      <c r="CA393" s="167"/>
      <c r="CB393" s="167"/>
      <c r="CC393" s="167"/>
      <c r="CD393" s="167"/>
      <c r="CE393" s="125"/>
      <c r="CF393" s="125"/>
      <c r="CG393" s="125"/>
      <c r="CH393" s="125"/>
      <c r="CI393" s="125"/>
      <c r="CJ393" s="125"/>
      <c r="CK393" s="125"/>
      <c r="CL393" s="125"/>
      <c r="CM393" s="125"/>
      <c r="CN393" s="125"/>
      <c r="CO393" s="125"/>
      <c r="CP393" s="125"/>
      <c r="CQ393" s="125"/>
      <c r="CR393" s="125"/>
      <c r="CS393" s="125"/>
      <c r="CT393" s="125"/>
      <c r="CU393" s="167"/>
      <c r="CV393" s="167"/>
      <c r="CW393" s="167"/>
      <c r="CX393" s="167"/>
      <c r="CY393" s="167"/>
      <c r="CZ393" s="167"/>
      <c r="DA393" s="167"/>
      <c r="DB393" s="167"/>
      <c r="DC393" s="125"/>
      <c r="DD393" s="125"/>
      <c r="DE393" s="125"/>
      <c r="DF393" s="125"/>
      <c r="DG393" s="125"/>
      <c r="DH393" s="125"/>
      <c r="DI393" s="125"/>
      <c r="DJ393" s="125"/>
      <c r="DK393" s="125"/>
      <c r="DL393" s="125"/>
      <c r="DM393" s="125"/>
      <c r="DN393" s="125"/>
      <c r="DO393" s="125"/>
      <c r="DP393" s="125"/>
      <c r="DQ393" s="125"/>
      <c r="DR393" s="125"/>
      <c r="DS393" s="167"/>
      <c r="DT393" s="167"/>
      <c r="DU393" s="167"/>
      <c r="DV393" s="167"/>
      <c r="DW393" s="167"/>
      <c r="DX393" s="167"/>
      <c r="DY393" s="167"/>
      <c r="DZ393" s="167"/>
      <c r="EA393" s="125"/>
      <c r="EB393" s="125"/>
      <c r="EC393" s="125"/>
      <c r="ED393" s="125"/>
      <c r="EE393" s="125"/>
      <c r="EF393" s="125"/>
      <c r="EG393" s="125"/>
      <c r="EH393" s="125"/>
      <c r="EI393" s="125"/>
      <c r="EJ393" s="125"/>
      <c r="EK393" s="125"/>
      <c r="EL393" s="125"/>
      <c r="EM393" s="125"/>
      <c r="EN393" s="125"/>
      <c r="EO393" s="125"/>
      <c r="EP393" s="125"/>
      <c r="EQ393" s="167"/>
      <c r="ER393" s="167"/>
      <c r="ES393" s="167"/>
      <c r="ET393" s="167"/>
      <c r="EU393" s="167"/>
      <c r="EV393" s="167"/>
      <c r="EW393" s="167"/>
      <c r="EX393" s="167"/>
      <c r="EY393" s="125"/>
      <c r="EZ393" s="125"/>
      <c r="FA393" s="125"/>
      <c r="FB393" s="125"/>
      <c r="FC393" s="125"/>
      <c r="FD393" s="125"/>
      <c r="FE393" s="125"/>
      <c r="FF393" s="125"/>
      <c r="FG393" s="125"/>
      <c r="FH393" s="125"/>
      <c r="FI393" s="125"/>
      <c r="FJ393" s="125"/>
      <c r="FK393" s="125"/>
      <c r="FL393" s="125"/>
      <c r="FM393" s="125"/>
      <c r="FN393" s="125"/>
      <c r="FO393" s="167"/>
      <c r="FP393" s="167"/>
      <c r="FQ393" s="167"/>
      <c r="FR393" s="167"/>
      <c r="FS393" s="167"/>
      <c r="FT393" s="167"/>
      <c r="FU393" s="167"/>
      <c r="FV393" s="167"/>
      <c r="FW393" s="125"/>
      <c r="FX393" s="125"/>
      <c r="FY393" s="125"/>
      <c r="FZ393" s="125"/>
      <c r="GA393" s="125"/>
      <c r="GB393" s="125"/>
      <c r="GC393" s="125"/>
      <c r="GD393" s="125"/>
      <c r="GE393" s="125"/>
      <c r="GF393" s="125"/>
      <c r="GG393" s="125"/>
      <c r="GH393" s="125"/>
      <c r="GI393" s="125"/>
      <c r="GJ393" s="125"/>
      <c r="GK393" s="125"/>
      <c r="GL393" s="125"/>
      <c r="GM393" s="167"/>
      <c r="GN393" s="167"/>
      <c r="GO393" s="167"/>
      <c r="GP393" s="167"/>
      <c r="GQ393" s="167"/>
      <c r="GR393" s="167"/>
      <c r="GS393" s="167"/>
      <c r="GT393" s="167"/>
      <c r="GU393" s="125"/>
      <c r="GV393" s="125"/>
      <c r="GW393" s="125"/>
      <c r="GX393" s="125"/>
      <c r="GY393" s="125"/>
      <c r="GZ393" s="125"/>
      <c r="HA393" s="125"/>
      <c r="HB393" s="125"/>
      <c r="HC393" s="125"/>
      <c r="HD393" s="125"/>
      <c r="HE393" s="125"/>
      <c r="HF393" s="125"/>
      <c r="HG393" s="125"/>
      <c r="HH393" s="125"/>
      <c r="HI393" s="125"/>
      <c r="HJ393" s="125"/>
      <c r="HK393" s="167"/>
      <c r="HL393" s="167"/>
      <c r="HM393" s="167"/>
      <c r="HN393" s="167"/>
      <c r="HO393" s="167"/>
      <c r="HP393" s="167"/>
      <c r="HQ393" s="167"/>
      <c r="HR393" s="167"/>
      <c r="HS393" s="125"/>
      <c r="HT393" s="125"/>
      <c r="HU393" s="125"/>
      <c r="HV393" s="125"/>
      <c r="HW393" s="125"/>
      <c r="HX393" s="125"/>
      <c r="HY393" s="125"/>
      <c r="HZ393" s="125"/>
      <c r="IA393" s="125"/>
      <c r="IB393" s="125"/>
      <c r="IC393" s="125"/>
      <c r="ID393" s="125"/>
      <c r="IE393" s="125"/>
      <c r="IF393" s="125"/>
      <c r="IG393" s="125"/>
      <c r="IH393" s="125"/>
      <c r="II393" s="167"/>
      <c r="IJ393" s="167"/>
      <c r="IK393" s="167"/>
      <c r="IL393" s="167"/>
      <c r="IM393" s="167"/>
      <c r="IN393" s="167"/>
      <c r="IO393" s="167"/>
      <c r="IP393" s="167"/>
      <c r="IQ393" s="125"/>
      <c r="IR393" s="125"/>
      <c r="IS393" s="125"/>
      <c r="IT393" s="125"/>
      <c r="IU393" s="125"/>
      <c r="IV393" s="125"/>
    </row>
    <row r="394" spans="1:256" s="3" customFormat="1">
      <c r="A394" s="80">
        <v>41</v>
      </c>
      <c r="B394" s="29">
        <v>43082</v>
      </c>
      <c r="C394" s="18"/>
      <c r="D394" s="19" t="s">
        <v>316</v>
      </c>
      <c r="E394" s="20" t="s">
        <v>556</v>
      </c>
      <c r="F394" s="82" t="s">
        <v>558</v>
      </c>
      <c r="G394" s="58">
        <v>1709</v>
      </c>
      <c r="H394" s="121">
        <v>2033000</v>
      </c>
      <c r="I394" s="24"/>
      <c r="J394" s="24">
        <f t="shared" si="36"/>
        <v>1936190.4761904762</v>
      </c>
      <c r="K394" s="24">
        <f t="shared" si="31"/>
        <v>1936190.4761904762</v>
      </c>
      <c r="L394" s="123">
        <v>1</v>
      </c>
      <c r="M394" s="24">
        <f t="shared" si="32"/>
        <v>1936190.4761904762</v>
      </c>
      <c r="N394" s="124">
        <f t="shared" si="33"/>
        <v>0</v>
      </c>
      <c r="O394" s="107" t="s">
        <v>499</v>
      </c>
      <c r="Q394" s="140"/>
      <c r="AA394" s="130"/>
      <c r="AB394" s="130"/>
      <c r="AC394" s="130"/>
      <c r="AD394" s="130"/>
      <c r="AE394" s="130"/>
      <c r="AF394" s="130"/>
      <c r="AG394" s="130"/>
      <c r="AH394" s="130"/>
      <c r="AY394" s="130"/>
      <c r="AZ394" s="130"/>
      <c r="BA394" s="130"/>
      <c r="BB394" s="130"/>
      <c r="BC394" s="130"/>
      <c r="BD394" s="130"/>
      <c r="BE394" s="130"/>
      <c r="BF394" s="130"/>
      <c r="BW394" s="130"/>
      <c r="BX394" s="130"/>
      <c r="BY394" s="130"/>
      <c r="BZ394" s="130"/>
      <c r="CA394" s="130"/>
      <c r="CB394" s="130"/>
      <c r="CC394" s="130"/>
      <c r="CD394" s="130"/>
      <c r="CU394" s="130"/>
      <c r="CV394" s="130"/>
      <c r="CW394" s="130"/>
      <c r="CX394" s="130"/>
      <c r="CY394" s="130"/>
      <c r="CZ394" s="130"/>
      <c r="DA394" s="130"/>
      <c r="DB394" s="130"/>
      <c r="DS394" s="130"/>
      <c r="DT394" s="130"/>
      <c r="DU394" s="130"/>
      <c r="DV394" s="130"/>
      <c r="DW394" s="130"/>
      <c r="DX394" s="130"/>
      <c r="DY394" s="130"/>
      <c r="DZ394" s="130"/>
      <c r="EQ394" s="130"/>
      <c r="ER394" s="130"/>
      <c r="ES394" s="130"/>
      <c r="ET394" s="130"/>
      <c r="EU394" s="130"/>
      <c r="EV394" s="130"/>
      <c r="EW394" s="130"/>
      <c r="EX394" s="130"/>
      <c r="FO394" s="130"/>
      <c r="FP394" s="130"/>
      <c r="FQ394" s="130"/>
      <c r="FR394" s="130"/>
      <c r="FS394" s="130"/>
      <c r="FT394" s="130"/>
      <c r="FU394" s="130"/>
      <c r="FV394" s="130"/>
      <c r="GM394" s="130"/>
      <c r="GN394" s="130"/>
      <c r="GO394" s="130"/>
      <c r="GP394" s="130"/>
      <c r="GQ394" s="130"/>
      <c r="GR394" s="130"/>
      <c r="GS394" s="130"/>
      <c r="GT394" s="130"/>
      <c r="HK394" s="130"/>
      <c r="HL394" s="130"/>
      <c r="HM394" s="130"/>
      <c r="HN394" s="130"/>
      <c r="HO394" s="130"/>
      <c r="HP394" s="130"/>
      <c r="HQ394" s="130"/>
      <c r="HR394" s="130"/>
      <c r="II394" s="130"/>
      <c r="IJ394" s="130"/>
      <c r="IK394" s="130"/>
      <c r="IL394" s="130"/>
      <c r="IM394" s="130"/>
      <c r="IN394" s="130"/>
      <c r="IO394" s="130"/>
      <c r="IP394" s="130"/>
    </row>
    <row r="395" spans="1:256" s="3" customFormat="1">
      <c r="A395" s="80">
        <v>42</v>
      </c>
      <c r="B395" s="17">
        <v>43083</v>
      </c>
      <c r="C395" s="18" t="s">
        <v>235</v>
      </c>
      <c r="D395" s="19" t="s">
        <v>316</v>
      </c>
      <c r="E395" s="20" t="s">
        <v>559</v>
      </c>
      <c r="F395" s="168" t="s">
        <v>560</v>
      </c>
      <c r="G395" s="63">
        <v>1703</v>
      </c>
      <c r="H395" s="121">
        <f>2529600+13450</f>
        <v>2543050</v>
      </c>
      <c r="I395" s="24"/>
      <c r="J395" s="24">
        <f t="shared" si="36"/>
        <v>2421952.3809523811</v>
      </c>
      <c r="K395" s="24">
        <f t="shared" si="31"/>
        <v>2421952.3809523811</v>
      </c>
      <c r="L395" s="123">
        <v>1</v>
      </c>
      <c r="M395" s="24">
        <f t="shared" si="32"/>
        <v>2421952.3809523811</v>
      </c>
      <c r="N395" s="124">
        <f t="shared" si="33"/>
        <v>0</v>
      </c>
      <c r="O395" s="107" t="s">
        <v>499</v>
      </c>
      <c r="AA395" s="141"/>
      <c r="AB395" s="142"/>
      <c r="AC395" s="142"/>
      <c r="AD395" s="142"/>
      <c r="AE395" s="142"/>
      <c r="AF395" s="177"/>
      <c r="AG395" s="177"/>
      <c r="AH395" s="178"/>
      <c r="AI395" s="125"/>
      <c r="AJ395" s="125"/>
      <c r="AK395" s="125"/>
      <c r="AL395" s="125"/>
      <c r="AM395" s="125"/>
      <c r="AN395" s="125"/>
      <c r="AO395" s="125"/>
      <c r="AP395" s="125"/>
      <c r="AQ395" s="125"/>
      <c r="AR395" s="125"/>
      <c r="AS395" s="125"/>
      <c r="AT395" s="125"/>
      <c r="AU395" s="125"/>
      <c r="AV395" s="125"/>
      <c r="AW395" s="125"/>
      <c r="AX395" s="125"/>
      <c r="AY395" s="179"/>
      <c r="AZ395" s="177"/>
      <c r="BA395" s="177"/>
      <c r="BB395" s="177"/>
      <c r="BC395" s="177"/>
      <c r="BD395" s="177"/>
      <c r="BE395" s="177"/>
      <c r="BF395" s="178"/>
      <c r="BG395" s="125"/>
      <c r="BH395" s="125"/>
      <c r="BI395" s="125"/>
      <c r="BJ395" s="125"/>
      <c r="BK395" s="125"/>
      <c r="BL395" s="125"/>
      <c r="BM395" s="125"/>
      <c r="BN395" s="125"/>
      <c r="BO395" s="125"/>
      <c r="BP395" s="125"/>
      <c r="BQ395" s="125"/>
      <c r="BR395" s="125"/>
      <c r="BS395" s="125"/>
      <c r="BT395" s="125"/>
      <c r="BU395" s="125"/>
      <c r="BV395" s="125"/>
      <c r="BW395" s="179"/>
      <c r="BX395" s="177"/>
      <c r="BY395" s="177"/>
      <c r="BZ395" s="177"/>
      <c r="CA395" s="177"/>
      <c r="CB395" s="177"/>
      <c r="CC395" s="177"/>
      <c r="CD395" s="178"/>
      <c r="CE395" s="125"/>
      <c r="CF395" s="125"/>
      <c r="CG395" s="125"/>
      <c r="CH395" s="125"/>
      <c r="CI395" s="125"/>
      <c r="CJ395" s="125"/>
      <c r="CK395" s="125"/>
      <c r="CL395" s="125"/>
      <c r="CM395" s="125"/>
      <c r="CN395" s="125"/>
      <c r="CO395" s="125"/>
      <c r="CP395" s="125"/>
      <c r="CQ395" s="125"/>
      <c r="CR395" s="125"/>
      <c r="CS395" s="125"/>
      <c r="CT395" s="125"/>
      <c r="CU395" s="179"/>
      <c r="CV395" s="177"/>
      <c r="CW395" s="177"/>
      <c r="CX395" s="177"/>
      <c r="CY395" s="177"/>
      <c r="CZ395" s="177"/>
      <c r="DA395" s="177"/>
      <c r="DB395" s="178"/>
      <c r="DC395" s="125"/>
      <c r="DD395" s="125"/>
      <c r="DE395" s="125"/>
      <c r="DF395" s="125"/>
      <c r="DG395" s="125"/>
      <c r="DH395" s="125"/>
      <c r="DI395" s="125"/>
      <c r="DJ395" s="125"/>
      <c r="DK395" s="125"/>
      <c r="DL395" s="125"/>
      <c r="DM395" s="125"/>
      <c r="DN395" s="125"/>
      <c r="DO395" s="125"/>
      <c r="DP395" s="125"/>
      <c r="DQ395" s="125"/>
      <c r="DR395" s="125"/>
      <c r="DS395" s="179"/>
      <c r="DT395" s="177"/>
      <c r="DU395" s="177"/>
      <c r="DV395" s="177"/>
      <c r="DW395" s="177"/>
      <c r="DX395" s="177"/>
      <c r="DY395" s="177"/>
      <c r="DZ395" s="178"/>
      <c r="EA395" s="125"/>
      <c r="EB395" s="125"/>
      <c r="EC395" s="125"/>
      <c r="ED395" s="125"/>
      <c r="EE395" s="125"/>
      <c r="EF395" s="125"/>
      <c r="EG395" s="125"/>
      <c r="EH395" s="125"/>
      <c r="EI395" s="125"/>
      <c r="EJ395" s="125"/>
      <c r="EK395" s="125"/>
      <c r="EL395" s="125"/>
      <c r="EM395" s="125"/>
      <c r="EN395" s="125"/>
      <c r="EO395" s="125"/>
      <c r="EP395" s="125"/>
      <c r="EQ395" s="179"/>
      <c r="ER395" s="177"/>
      <c r="ES395" s="177"/>
      <c r="ET395" s="177"/>
      <c r="EU395" s="177"/>
      <c r="EV395" s="177"/>
      <c r="EW395" s="177"/>
      <c r="EX395" s="178"/>
      <c r="EY395" s="125"/>
      <c r="EZ395" s="125"/>
      <c r="FA395" s="125"/>
      <c r="FB395" s="125"/>
      <c r="FC395" s="125"/>
      <c r="FD395" s="125"/>
      <c r="FE395" s="125"/>
      <c r="FF395" s="125"/>
      <c r="FG395" s="125"/>
      <c r="FH395" s="125"/>
      <c r="FI395" s="125"/>
      <c r="FJ395" s="125"/>
      <c r="FK395" s="125"/>
      <c r="FL395" s="125"/>
      <c r="FM395" s="125"/>
      <c r="FN395" s="125"/>
      <c r="FO395" s="179"/>
      <c r="FP395" s="177"/>
      <c r="FQ395" s="177"/>
      <c r="FR395" s="177"/>
      <c r="FS395" s="177"/>
      <c r="FT395" s="177"/>
      <c r="FU395" s="177"/>
      <c r="FV395" s="178"/>
      <c r="FW395" s="125"/>
      <c r="FX395" s="125"/>
      <c r="FY395" s="125"/>
      <c r="FZ395" s="125"/>
      <c r="GA395" s="125"/>
      <c r="GB395" s="125"/>
      <c r="GC395" s="125"/>
      <c r="GD395" s="125"/>
      <c r="GE395" s="125"/>
      <c r="GF395" s="125"/>
      <c r="GG395" s="125"/>
      <c r="GH395" s="125"/>
      <c r="GI395" s="125"/>
      <c r="GJ395" s="125"/>
      <c r="GK395" s="125"/>
      <c r="GL395" s="125"/>
      <c r="GM395" s="179"/>
      <c r="GN395" s="177"/>
      <c r="GO395" s="177"/>
      <c r="GP395" s="177"/>
      <c r="GQ395" s="177"/>
      <c r="GR395" s="177"/>
      <c r="GS395" s="177"/>
      <c r="GT395" s="178"/>
      <c r="GU395" s="125"/>
      <c r="GV395" s="125"/>
      <c r="GW395" s="125"/>
      <c r="GX395" s="125"/>
      <c r="GY395" s="125"/>
      <c r="GZ395" s="125"/>
      <c r="HA395" s="125"/>
      <c r="HB395" s="125"/>
      <c r="HC395" s="125"/>
      <c r="HD395" s="125"/>
      <c r="HE395" s="125"/>
      <c r="HF395" s="125"/>
      <c r="HG395" s="125"/>
      <c r="HH395" s="125"/>
      <c r="HI395" s="125"/>
      <c r="HJ395" s="125"/>
      <c r="HK395" s="179"/>
      <c r="HL395" s="177"/>
      <c r="HM395" s="177"/>
      <c r="HN395" s="177"/>
      <c r="HO395" s="177"/>
      <c r="HP395" s="177"/>
      <c r="HQ395" s="177"/>
      <c r="HR395" s="178"/>
      <c r="HS395" s="125"/>
      <c r="HT395" s="125"/>
      <c r="HU395" s="125"/>
      <c r="HV395" s="125"/>
      <c r="HW395" s="125"/>
      <c r="HX395" s="125"/>
      <c r="HY395" s="125"/>
      <c r="HZ395" s="125"/>
      <c r="IA395" s="125"/>
      <c r="IB395" s="125"/>
      <c r="IC395" s="125"/>
      <c r="ID395" s="125"/>
      <c r="IE395" s="125"/>
      <c r="IF395" s="125"/>
      <c r="IG395" s="125"/>
      <c r="IH395" s="125"/>
      <c r="II395" s="179"/>
      <c r="IJ395" s="177"/>
      <c r="IK395" s="177"/>
      <c r="IL395" s="177"/>
      <c r="IM395" s="177"/>
      <c r="IN395" s="177"/>
      <c r="IO395" s="177"/>
      <c r="IP395" s="178"/>
      <c r="IQ395" s="125"/>
      <c r="IR395" s="125"/>
      <c r="IS395" s="125"/>
      <c r="IT395" s="125"/>
      <c r="IU395" s="125"/>
      <c r="IV395" s="125"/>
    </row>
    <row r="396" spans="1:256" s="3" customFormat="1">
      <c r="A396" s="80">
        <v>43</v>
      </c>
      <c r="B396" s="17">
        <v>43067</v>
      </c>
      <c r="C396" s="18"/>
      <c r="D396" s="19" t="s">
        <v>323</v>
      </c>
      <c r="E396" s="20" t="s">
        <v>324</v>
      </c>
      <c r="F396" s="168" t="s">
        <v>561</v>
      </c>
      <c r="G396" s="63">
        <v>1704</v>
      </c>
      <c r="H396" s="121">
        <f>2130000+20000</f>
        <v>2150000</v>
      </c>
      <c r="I396" s="24">
        <v>2047619</v>
      </c>
      <c r="J396" s="24"/>
      <c r="K396" s="24">
        <f t="shared" si="31"/>
        <v>2047619</v>
      </c>
      <c r="L396" s="123">
        <v>1</v>
      </c>
      <c r="M396" s="24">
        <f t="shared" si="32"/>
        <v>2047619</v>
      </c>
      <c r="N396" s="124">
        <f t="shared" si="33"/>
        <v>0</v>
      </c>
      <c r="O396" s="107" t="s">
        <v>499</v>
      </c>
      <c r="AA396" s="130"/>
      <c r="AB396" s="130"/>
      <c r="AC396" s="130"/>
      <c r="AD396" s="130"/>
      <c r="AE396" s="130"/>
      <c r="AF396" s="167"/>
      <c r="AG396" s="167"/>
      <c r="AH396" s="167"/>
      <c r="AI396" s="125"/>
      <c r="AJ396" s="125"/>
      <c r="AK396" s="125"/>
      <c r="AL396" s="125"/>
      <c r="AM396" s="125"/>
      <c r="AN396" s="125"/>
      <c r="AO396" s="125"/>
      <c r="AP396" s="125"/>
      <c r="AQ396" s="125"/>
      <c r="AR396" s="125"/>
      <c r="AS396" s="125"/>
      <c r="AT396" s="125"/>
      <c r="AU396" s="125"/>
      <c r="AV396" s="125"/>
      <c r="AW396" s="125"/>
      <c r="AX396" s="125"/>
      <c r="AY396" s="167"/>
      <c r="AZ396" s="167"/>
      <c r="BA396" s="167"/>
      <c r="BB396" s="167"/>
      <c r="BC396" s="167"/>
      <c r="BD396" s="167"/>
      <c r="BE396" s="167"/>
      <c r="BF396" s="167"/>
      <c r="BG396" s="125"/>
      <c r="BH396" s="125"/>
      <c r="BI396" s="125"/>
      <c r="BJ396" s="125"/>
      <c r="BK396" s="125"/>
      <c r="BL396" s="125"/>
      <c r="BM396" s="125"/>
      <c r="BN396" s="125"/>
      <c r="BO396" s="125"/>
      <c r="BP396" s="125"/>
      <c r="BQ396" s="125"/>
      <c r="BR396" s="125"/>
      <c r="BS396" s="125"/>
      <c r="BT396" s="125"/>
      <c r="BU396" s="125"/>
      <c r="BV396" s="125"/>
      <c r="BW396" s="167"/>
      <c r="BX396" s="167"/>
      <c r="BY396" s="167"/>
      <c r="BZ396" s="167"/>
      <c r="CA396" s="167"/>
      <c r="CB396" s="167"/>
      <c r="CC396" s="167"/>
      <c r="CD396" s="167"/>
      <c r="CE396" s="125"/>
      <c r="CF396" s="125"/>
      <c r="CG396" s="125"/>
      <c r="CH396" s="125"/>
      <c r="CI396" s="125"/>
      <c r="CJ396" s="125"/>
      <c r="CK396" s="125"/>
      <c r="CL396" s="125"/>
      <c r="CM396" s="125"/>
      <c r="CN396" s="125"/>
      <c r="CO396" s="125"/>
      <c r="CP396" s="125"/>
      <c r="CQ396" s="125"/>
      <c r="CR396" s="125"/>
      <c r="CS396" s="125"/>
      <c r="CT396" s="125"/>
      <c r="CU396" s="167"/>
      <c r="CV396" s="167"/>
      <c r="CW396" s="167"/>
      <c r="CX396" s="167"/>
      <c r="CY396" s="167"/>
      <c r="CZ396" s="167"/>
      <c r="DA396" s="167"/>
      <c r="DB396" s="167"/>
      <c r="DC396" s="125"/>
      <c r="DD396" s="125"/>
      <c r="DE396" s="125"/>
      <c r="DF396" s="125"/>
      <c r="DG396" s="125"/>
      <c r="DH396" s="125"/>
      <c r="DI396" s="125"/>
      <c r="DJ396" s="125"/>
      <c r="DK396" s="125"/>
      <c r="DL396" s="125"/>
      <c r="DM396" s="125"/>
      <c r="DN396" s="125"/>
      <c r="DO396" s="125"/>
      <c r="DP396" s="125"/>
      <c r="DQ396" s="125"/>
      <c r="DR396" s="125"/>
      <c r="DS396" s="167"/>
      <c r="DT396" s="167"/>
      <c r="DU396" s="167"/>
      <c r="DV396" s="167"/>
      <c r="DW396" s="167"/>
      <c r="DX396" s="167"/>
      <c r="DY396" s="167"/>
      <c r="DZ396" s="167"/>
      <c r="EA396" s="125"/>
      <c r="EB396" s="125"/>
      <c r="EC396" s="125"/>
      <c r="ED396" s="125"/>
      <c r="EE396" s="125"/>
      <c r="EF396" s="125"/>
      <c r="EG396" s="125"/>
      <c r="EH396" s="125"/>
      <c r="EI396" s="125"/>
      <c r="EJ396" s="125"/>
      <c r="EK396" s="125"/>
      <c r="EL396" s="125"/>
      <c r="EM396" s="125"/>
      <c r="EN396" s="125"/>
      <c r="EO396" s="125"/>
      <c r="EP396" s="125"/>
      <c r="EQ396" s="167"/>
      <c r="ER396" s="167"/>
      <c r="ES396" s="167"/>
      <c r="ET396" s="167"/>
      <c r="EU396" s="167"/>
      <c r="EV396" s="167"/>
      <c r="EW396" s="167"/>
      <c r="EX396" s="167"/>
      <c r="EY396" s="125"/>
      <c r="EZ396" s="125"/>
      <c r="FA396" s="125"/>
      <c r="FB396" s="125"/>
      <c r="FC396" s="125"/>
      <c r="FD396" s="125"/>
      <c r="FE396" s="125"/>
      <c r="FF396" s="125"/>
      <c r="FG396" s="125"/>
      <c r="FH396" s="125"/>
      <c r="FI396" s="125"/>
      <c r="FJ396" s="125"/>
      <c r="FK396" s="125"/>
      <c r="FL396" s="125"/>
      <c r="FM396" s="125"/>
      <c r="FN396" s="125"/>
      <c r="FO396" s="167"/>
      <c r="FP396" s="167"/>
      <c r="FQ396" s="167"/>
      <c r="FR396" s="167"/>
      <c r="FS396" s="167"/>
      <c r="FT396" s="167"/>
      <c r="FU396" s="167"/>
      <c r="FV396" s="167"/>
      <c r="FW396" s="125"/>
      <c r="FX396" s="125"/>
      <c r="FY396" s="125"/>
      <c r="FZ396" s="125"/>
      <c r="GA396" s="125"/>
      <c r="GB396" s="125"/>
      <c r="GC396" s="125"/>
      <c r="GD396" s="125"/>
      <c r="GE396" s="125"/>
      <c r="GF396" s="125"/>
      <c r="GG396" s="125"/>
      <c r="GH396" s="125"/>
      <c r="GI396" s="125"/>
      <c r="GJ396" s="125"/>
      <c r="GK396" s="125"/>
      <c r="GL396" s="125"/>
      <c r="GM396" s="167"/>
      <c r="GN396" s="167"/>
      <c r="GO396" s="167"/>
      <c r="GP396" s="167"/>
      <c r="GQ396" s="167"/>
      <c r="GR396" s="167"/>
      <c r="GS396" s="167"/>
      <c r="GT396" s="167"/>
      <c r="GU396" s="125"/>
      <c r="GV396" s="125"/>
      <c r="GW396" s="125"/>
      <c r="GX396" s="125"/>
      <c r="GY396" s="125"/>
      <c r="GZ396" s="125"/>
      <c r="HA396" s="125"/>
      <c r="HB396" s="125"/>
      <c r="HC396" s="125"/>
      <c r="HD396" s="125"/>
      <c r="HE396" s="125"/>
      <c r="HF396" s="125"/>
      <c r="HG396" s="125"/>
      <c r="HH396" s="125"/>
      <c r="HI396" s="125"/>
      <c r="HJ396" s="125"/>
      <c r="HK396" s="167"/>
      <c r="HL396" s="167"/>
      <c r="HM396" s="167"/>
      <c r="HN396" s="167"/>
      <c r="HO396" s="167"/>
      <c r="HP396" s="167"/>
      <c r="HQ396" s="167"/>
      <c r="HR396" s="167"/>
      <c r="HS396" s="125"/>
      <c r="HT396" s="125"/>
      <c r="HU396" s="125"/>
      <c r="HV396" s="125"/>
      <c r="HW396" s="125"/>
      <c r="HX396" s="125"/>
      <c r="HY396" s="125"/>
      <c r="HZ396" s="125"/>
      <c r="IA396" s="125"/>
      <c r="IB396" s="125"/>
      <c r="IC396" s="125"/>
      <c r="ID396" s="125"/>
      <c r="IE396" s="125"/>
      <c r="IF396" s="125"/>
      <c r="IG396" s="125"/>
      <c r="IH396" s="125"/>
      <c r="II396" s="167"/>
      <c r="IJ396" s="167"/>
      <c r="IK396" s="167"/>
      <c r="IL396" s="167"/>
      <c r="IM396" s="167"/>
      <c r="IN396" s="167"/>
      <c r="IO396" s="167"/>
      <c r="IP396" s="167"/>
      <c r="IQ396" s="125"/>
      <c r="IR396" s="125"/>
      <c r="IS396" s="125"/>
      <c r="IT396" s="125"/>
      <c r="IU396" s="125"/>
      <c r="IV396" s="125"/>
    </row>
    <row r="397" spans="1:256" s="3" customFormat="1">
      <c r="A397" s="80">
        <v>44</v>
      </c>
      <c r="B397" s="29">
        <v>43070</v>
      </c>
      <c r="C397" s="18"/>
      <c r="D397" s="19" t="s">
        <v>323</v>
      </c>
      <c r="E397" s="20" t="s">
        <v>324</v>
      </c>
      <c r="F397" s="62" t="s">
        <v>562</v>
      </c>
      <c r="G397" s="63">
        <v>1704</v>
      </c>
      <c r="H397" s="121">
        <f>20000+2130000</f>
        <v>2150000</v>
      </c>
      <c r="I397" s="24"/>
      <c r="J397" s="24">
        <f>SUM(H397)/1.05</f>
        <v>2047619.0476190476</v>
      </c>
      <c r="K397" s="199">
        <f t="shared" si="31"/>
        <v>2047619.0476190476</v>
      </c>
      <c r="L397" s="26">
        <v>1</v>
      </c>
      <c r="M397" s="24">
        <f t="shared" si="32"/>
        <v>2047619.0476190476</v>
      </c>
      <c r="N397" s="124">
        <f t="shared" si="33"/>
        <v>0</v>
      </c>
      <c r="O397" s="107" t="s">
        <v>499</v>
      </c>
      <c r="AA397" s="130"/>
      <c r="AB397" s="130"/>
      <c r="AC397" s="130"/>
      <c r="AD397" s="130"/>
      <c r="AE397" s="130"/>
      <c r="AF397" s="167"/>
      <c r="AG397" s="167"/>
      <c r="AH397" s="167"/>
      <c r="AI397" s="125"/>
      <c r="AJ397" s="125"/>
      <c r="AK397" s="125"/>
      <c r="AL397" s="125"/>
      <c r="AM397" s="125"/>
      <c r="AN397" s="125"/>
      <c r="AO397" s="125"/>
      <c r="AP397" s="125"/>
      <c r="AQ397" s="125"/>
      <c r="AR397" s="125"/>
      <c r="AS397" s="125"/>
      <c r="AT397" s="125"/>
      <c r="AU397" s="125"/>
      <c r="AV397" s="125"/>
      <c r="AW397" s="125"/>
      <c r="AX397" s="125"/>
      <c r="AY397" s="167"/>
      <c r="AZ397" s="167"/>
      <c r="BA397" s="167"/>
      <c r="BB397" s="167"/>
      <c r="BC397" s="167"/>
      <c r="BD397" s="167"/>
      <c r="BE397" s="167"/>
      <c r="BF397" s="167"/>
      <c r="BG397" s="125"/>
      <c r="BH397" s="125"/>
      <c r="BI397" s="125"/>
      <c r="BJ397" s="125"/>
      <c r="BK397" s="125"/>
      <c r="BL397" s="125"/>
      <c r="BM397" s="125"/>
      <c r="BN397" s="125"/>
      <c r="BO397" s="125"/>
      <c r="BP397" s="125"/>
      <c r="BQ397" s="125"/>
      <c r="BR397" s="125"/>
      <c r="BS397" s="125"/>
      <c r="BT397" s="125"/>
      <c r="BU397" s="125"/>
      <c r="BV397" s="125"/>
      <c r="BW397" s="167"/>
      <c r="BX397" s="167"/>
      <c r="BY397" s="167"/>
      <c r="BZ397" s="167"/>
      <c r="CA397" s="167"/>
      <c r="CB397" s="167"/>
      <c r="CC397" s="167"/>
      <c r="CD397" s="167"/>
      <c r="CE397" s="125"/>
      <c r="CF397" s="125"/>
      <c r="CG397" s="125"/>
      <c r="CH397" s="125"/>
      <c r="CI397" s="125"/>
      <c r="CJ397" s="125"/>
      <c r="CK397" s="125"/>
      <c r="CL397" s="125"/>
      <c r="CM397" s="125"/>
      <c r="CN397" s="125"/>
      <c r="CO397" s="125"/>
      <c r="CP397" s="125"/>
      <c r="CQ397" s="125"/>
      <c r="CR397" s="125"/>
      <c r="CS397" s="125"/>
      <c r="CT397" s="125"/>
      <c r="CU397" s="167"/>
      <c r="CV397" s="167"/>
      <c r="CW397" s="167"/>
      <c r="CX397" s="167"/>
      <c r="CY397" s="167"/>
      <c r="CZ397" s="167"/>
      <c r="DA397" s="167"/>
      <c r="DB397" s="167"/>
      <c r="DC397" s="125"/>
      <c r="DD397" s="125"/>
      <c r="DE397" s="125"/>
      <c r="DF397" s="125"/>
      <c r="DG397" s="125"/>
      <c r="DH397" s="125"/>
      <c r="DI397" s="125"/>
      <c r="DJ397" s="125"/>
      <c r="DK397" s="125"/>
      <c r="DL397" s="125"/>
      <c r="DM397" s="125"/>
      <c r="DN397" s="125"/>
      <c r="DO397" s="125"/>
      <c r="DP397" s="125"/>
      <c r="DQ397" s="125"/>
      <c r="DR397" s="125"/>
      <c r="DS397" s="167"/>
      <c r="DT397" s="167"/>
      <c r="DU397" s="167"/>
      <c r="DV397" s="167"/>
      <c r="DW397" s="167"/>
      <c r="DX397" s="167"/>
      <c r="DY397" s="167"/>
      <c r="DZ397" s="167"/>
      <c r="EA397" s="125"/>
      <c r="EB397" s="125"/>
      <c r="EC397" s="125"/>
      <c r="ED397" s="125"/>
      <c r="EE397" s="125"/>
      <c r="EF397" s="125"/>
      <c r="EG397" s="125"/>
      <c r="EH397" s="125"/>
      <c r="EI397" s="125"/>
      <c r="EJ397" s="125"/>
      <c r="EK397" s="125"/>
      <c r="EL397" s="125"/>
      <c r="EM397" s="125"/>
      <c r="EN397" s="125"/>
      <c r="EO397" s="125"/>
      <c r="EP397" s="125"/>
      <c r="EQ397" s="167"/>
      <c r="ER397" s="167"/>
      <c r="ES397" s="167"/>
      <c r="ET397" s="167"/>
      <c r="EU397" s="167"/>
      <c r="EV397" s="167"/>
      <c r="EW397" s="167"/>
      <c r="EX397" s="167"/>
      <c r="EY397" s="125"/>
      <c r="EZ397" s="125"/>
      <c r="FA397" s="125"/>
      <c r="FB397" s="125"/>
      <c r="FC397" s="125"/>
      <c r="FD397" s="125"/>
      <c r="FE397" s="125"/>
      <c r="FF397" s="125"/>
      <c r="FG397" s="125"/>
      <c r="FH397" s="125"/>
      <c r="FI397" s="125"/>
      <c r="FJ397" s="125"/>
      <c r="FK397" s="125"/>
      <c r="FL397" s="125"/>
      <c r="FM397" s="125"/>
      <c r="FN397" s="125"/>
      <c r="FO397" s="167"/>
      <c r="FP397" s="167"/>
      <c r="FQ397" s="167"/>
      <c r="FR397" s="167"/>
      <c r="FS397" s="167"/>
      <c r="FT397" s="167"/>
      <c r="FU397" s="167"/>
      <c r="FV397" s="167"/>
      <c r="FW397" s="125"/>
      <c r="FX397" s="125"/>
      <c r="FY397" s="125"/>
      <c r="FZ397" s="125"/>
      <c r="GA397" s="125"/>
      <c r="GB397" s="125"/>
      <c r="GC397" s="125"/>
      <c r="GD397" s="125"/>
      <c r="GE397" s="125"/>
      <c r="GF397" s="125"/>
      <c r="GG397" s="125"/>
      <c r="GH397" s="125"/>
      <c r="GI397" s="125"/>
      <c r="GJ397" s="125"/>
      <c r="GK397" s="125"/>
      <c r="GL397" s="125"/>
      <c r="GM397" s="167"/>
      <c r="GN397" s="167"/>
      <c r="GO397" s="167"/>
      <c r="GP397" s="167"/>
      <c r="GQ397" s="167"/>
      <c r="GR397" s="167"/>
      <c r="GS397" s="167"/>
      <c r="GT397" s="167"/>
      <c r="GU397" s="125"/>
      <c r="GV397" s="125"/>
      <c r="GW397" s="125"/>
      <c r="GX397" s="125"/>
      <c r="GY397" s="125"/>
      <c r="GZ397" s="125"/>
      <c r="HA397" s="125"/>
      <c r="HB397" s="125"/>
      <c r="HC397" s="125"/>
      <c r="HD397" s="125"/>
      <c r="HE397" s="125"/>
      <c r="HF397" s="125"/>
      <c r="HG397" s="125"/>
      <c r="HH397" s="125"/>
      <c r="HI397" s="125"/>
      <c r="HJ397" s="125"/>
      <c r="HK397" s="167"/>
      <c r="HL397" s="167"/>
      <c r="HM397" s="167"/>
      <c r="HN397" s="167"/>
      <c r="HO397" s="167"/>
      <c r="HP397" s="167"/>
      <c r="HQ397" s="167"/>
      <c r="HR397" s="167"/>
      <c r="HS397" s="125"/>
      <c r="HT397" s="125"/>
      <c r="HU397" s="125"/>
      <c r="HV397" s="125"/>
      <c r="HW397" s="125"/>
      <c r="HX397" s="125"/>
      <c r="HY397" s="125"/>
      <c r="HZ397" s="125"/>
      <c r="IA397" s="125"/>
      <c r="IB397" s="125"/>
      <c r="IC397" s="125"/>
      <c r="ID397" s="125"/>
      <c r="IE397" s="125"/>
      <c r="IF397" s="125"/>
      <c r="IG397" s="125"/>
      <c r="IH397" s="125"/>
      <c r="II397" s="167"/>
      <c r="IJ397" s="167"/>
      <c r="IK397" s="167"/>
      <c r="IL397" s="167"/>
      <c r="IM397" s="167"/>
      <c r="IN397" s="167"/>
      <c r="IO397" s="167"/>
      <c r="IP397" s="167"/>
      <c r="IQ397" s="125"/>
      <c r="IR397" s="125"/>
      <c r="IS397" s="125"/>
      <c r="IT397" s="125"/>
      <c r="IU397" s="125"/>
      <c r="IV397" s="125"/>
    </row>
    <row r="398" spans="1:256" s="125" customFormat="1">
      <c r="A398" s="80">
        <v>45</v>
      </c>
      <c r="B398" s="17">
        <v>43090</v>
      </c>
      <c r="C398" s="18" t="s">
        <v>563</v>
      </c>
      <c r="D398" s="19" t="s">
        <v>323</v>
      </c>
      <c r="E398" s="20" t="s">
        <v>564</v>
      </c>
      <c r="F398" s="168" t="s">
        <v>565</v>
      </c>
      <c r="G398" s="63">
        <v>1705</v>
      </c>
      <c r="H398" s="121">
        <f>2130000+11150</f>
        <v>2141150</v>
      </c>
      <c r="I398" s="24"/>
      <c r="J398" s="24">
        <f>SUM(H398)/1.05</f>
        <v>2039190.4761904762</v>
      </c>
      <c r="K398" s="24">
        <f t="shared" si="31"/>
        <v>2039190.4761904762</v>
      </c>
      <c r="L398" s="123">
        <v>1</v>
      </c>
      <c r="M398" s="24">
        <f t="shared" si="32"/>
        <v>2039190.4761904762</v>
      </c>
      <c r="N398" s="124">
        <f t="shared" si="33"/>
        <v>0</v>
      </c>
      <c r="O398" s="107" t="s">
        <v>499</v>
      </c>
      <c r="P398" s="3"/>
      <c r="Q398" s="140"/>
      <c r="R398" s="3"/>
      <c r="S398" s="3"/>
      <c r="T398" s="3"/>
      <c r="U398" s="3"/>
      <c r="V398" s="3"/>
      <c r="W398" s="3"/>
      <c r="X398" s="3"/>
      <c r="Y398" s="3"/>
      <c r="Z398" s="3"/>
      <c r="AA398" s="130"/>
      <c r="AB398" s="130"/>
      <c r="AC398" s="130"/>
      <c r="AD398" s="130"/>
      <c r="AE398" s="130"/>
      <c r="AF398" s="130"/>
      <c r="AG398" s="130"/>
      <c r="AH398" s="130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130"/>
      <c r="AZ398" s="130"/>
      <c r="BA398" s="130"/>
      <c r="BB398" s="130"/>
      <c r="BC398" s="130"/>
      <c r="BD398" s="130"/>
      <c r="BE398" s="130"/>
      <c r="BF398" s="130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130"/>
      <c r="BX398" s="130"/>
      <c r="BY398" s="130"/>
      <c r="BZ398" s="130"/>
      <c r="CA398" s="130"/>
      <c r="CB398" s="130"/>
      <c r="CC398" s="130"/>
      <c r="CD398" s="130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130"/>
      <c r="CV398" s="130"/>
      <c r="CW398" s="130"/>
      <c r="CX398" s="130"/>
      <c r="CY398" s="130"/>
      <c r="CZ398" s="130"/>
      <c r="DA398" s="130"/>
      <c r="DB398" s="130"/>
      <c r="DC398" s="3"/>
      <c r="DD398" s="3"/>
      <c r="DE398" s="3"/>
      <c r="DF398" s="3"/>
      <c r="DG398" s="3"/>
      <c r="DH398" s="3"/>
      <c r="DI398" s="3"/>
      <c r="DJ398" s="3"/>
      <c r="DK398" s="3"/>
      <c r="DL398" s="3"/>
      <c r="DM398" s="3"/>
      <c r="DN398" s="3"/>
      <c r="DO398" s="3"/>
      <c r="DP398" s="3"/>
      <c r="DQ398" s="3"/>
      <c r="DR398" s="3"/>
      <c r="DS398" s="130"/>
      <c r="DT398" s="130"/>
      <c r="DU398" s="130"/>
      <c r="DV398" s="130"/>
      <c r="DW398" s="130"/>
      <c r="DX398" s="130"/>
      <c r="DY398" s="130"/>
      <c r="DZ398" s="130"/>
      <c r="EA398" s="3"/>
      <c r="EB398" s="3"/>
      <c r="EC398" s="3"/>
      <c r="ED398" s="3"/>
      <c r="EE398" s="3"/>
      <c r="EF398" s="3"/>
      <c r="EG398" s="3"/>
      <c r="EH398" s="3"/>
      <c r="EI398" s="3"/>
      <c r="EJ398" s="3"/>
      <c r="EK398" s="3"/>
      <c r="EL398" s="3"/>
      <c r="EM398" s="3"/>
      <c r="EN398" s="3"/>
      <c r="EO398" s="3"/>
      <c r="EP398" s="3"/>
      <c r="EQ398" s="130"/>
      <c r="ER398" s="130"/>
      <c r="ES398" s="130"/>
      <c r="ET398" s="130"/>
      <c r="EU398" s="130"/>
      <c r="EV398" s="130"/>
      <c r="EW398" s="130"/>
      <c r="EX398" s="130"/>
      <c r="EY398" s="3"/>
      <c r="EZ398" s="3"/>
      <c r="FA398" s="3"/>
      <c r="FB398" s="3"/>
      <c r="FC398" s="3"/>
      <c r="FD398" s="3"/>
      <c r="FE398" s="3"/>
      <c r="FF398" s="3"/>
      <c r="FG398" s="3"/>
      <c r="FH398" s="3"/>
      <c r="FI398" s="3"/>
      <c r="FJ398" s="3"/>
      <c r="FK398" s="3"/>
      <c r="FL398" s="3"/>
      <c r="FM398" s="3"/>
      <c r="FN398" s="3"/>
      <c r="FO398" s="130"/>
      <c r="FP398" s="130"/>
      <c r="FQ398" s="130"/>
      <c r="FR398" s="130"/>
      <c r="FS398" s="130"/>
      <c r="FT398" s="130"/>
      <c r="FU398" s="130"/>
      <c r="FV398" s="130"/>
      <c r="FW398" s="3"/>
      <c r="FX398" s="3"/>
      <c r="FY398" s="3"/>
      <c r="FZ398" s="3"/>
      <c r="GA398" s="3"/>
      <c r="GB398" s="3"/>
      <c r="GC398" s="3"/>
      <c r="GD398" s="3"/>
      <c r="GE398" s="3"/>
      <c r="GF398" s="3"/>
      <c r="GG398" s="3"/>
      <c r="GH398" s="3"/>
      <c r="GI398" s="3"/>
      <c r="GJ398" s="3"/>
      <c r="GK398" s="3"/>
      <c r="GL398" s="3"/>
      <c r="GM398" s="130"/>
      <c r="GN398" s="130"/>
      <c r="GO398" s="130"/>
      <c r="GP398" s="130"/>
      <c r="GQ398" s="130"/>
      <c r="GR398" s="130"/>
      <c r="GS398" s="130"/>
      <c r="GT398" s="130"/>
      <c r="GU398" s="3"/>
      <c r="GV398" s="3"/>
      <c r="GW398" s="3"/>
      <c r="GX398" s="3"/>
      <c r="GY398" s="3"/>
      <c r="GZ398" s="3"/>
      <c r="HA398" s="3"/>
      <c r="HB398" s="3"/>
      <c r="HC398" s="3"/>
      <c r="HD398" s="3"/>
      <c r="HE398" s="3"/>
      <c r="HF398" s="3"/>
      <c r="HG398" s="3"/>
      <c r="HH398" s="3"/>
      <c r="HI398" s="3"/>
      <c r="HJ398" s="3"/>
      <c r="HK398" s="130"/>
      <c r="HL398" s="130"/>
      <c r="HM398" s="130"/>
      <c r="HN398" s="130"/>
      <c r="HO398" s="130"/>
      <c r="HP398" s="130"/>
      <c r="HQ398" s="130"/>
      <c r="HR398" s="130"/>
      <c r="HS398" s="3"/>
      <c r="HT398" s="3"/>
      <c r="HU398" s="3"/>
      <c r="HV398" s="3"/>
      <c r="HW398" s="3"/>
      <c r="HX398" s="3"/>
      <c r="HY398" s="3"/>
      <c r="HZ398" s="3"/>
      <c r="IA398" s="3"/>
      <c r="IB398" s="3"/>
      <c r="IC398" s="3"/>
      <c r="ID398" s="3"/>
      <c r="IE398" s="3"/>
      <c r="IF398" s="3"/>
      <c r="IG398" s="3"/>
      <c r="IH398" s="3"/>
      <c r="II398" s="130"/>
      <c r="IJ398" s="130"/>
      <c r="IK398" s="130"/>
      <c r="IL398" s="130"/>
      <c r="IM398" s="130"/>
      <c r="IN398" s="130"/>
      <c r="IO398" s="130"/>
      <c r="IP398" s="130"/>
      <c r="IQ398" s="3"/>
      <c r="IR398" s="3"/>
      <c r="IS398" s="3"/>
      <c r="IT398" s="3"/>
      <c r="IU398" s="3"/>
      <c r="IV398" s="3"/>
    </row>
    <row r="399" spans="1:256" s="3" customFormat="1">
      <c r="A399" s="80">
        <v>46</v>
      </c>
      <c r="B399" s="17">
        <v>43088</v>
      </c>
      <c r="C399" s="18" t="s">
        <v>311</v>
      </c>
      <c r="D399" s="19" t="s">
        <v>323</v>
      </c>
      <c r="E399" s="20" t="s">
        <v>564</v>
      </c>
      <c r="F399" s="168" t="s">
        <v>566</v>
      </c>
      <c r="G399" s="63">
        <v>1705</v>
      </c>
      <c r="H399" s="121">
        <v>2130000</v>
      </c>
      <c r="I399" s="24"/>
      <c r="J399" s="24">
        <f>SUM(H399)/1.05</f>
        <v>2028571.4285714284</v>
      </c>
      <c r="K399" s="24">
        <f t="shared" si="31"/>
        <v>2028571.4285714284</v>
      </c>
      <c r="L399" s="123">
        <v>1</v>
      </c>
      <c r="M399" s="24">
        <f t="shared" si="32"/>
        <v>2028571.4285714284</v>
      </c>
      <c r="N399" s="124">
        <f t="shared" si="33"/>
        <v>0</v>
      </c>
      <c r="O399" s="107" t="s">
        <v>499</v>
      </c>
      <c r="Q399" s="140"/>
      <c r="AA399" s="130"/>
      <c r="AB399" s="130"/>
      <c r="AC399" s="130"/>
      <c r="AD399" s="130"/>
      <c r="AE399" s="130"/>
      <c r="AF399" s="167"/>
      <c r="AG399" s="167"/>
      <c r="AH399" s="167"/>
      <c r="AI399" s="125"/>
      <c r="AJ399" s="125"/>
      <c r="AK399" s="125"/>
      <c r="AL399" s="125"/>
      <c r="AM399" s="125"/>
      <c r="AN399" s="125"/>
      <c r="AO399" s="125"/>
      <c r="AP399" s="125"/>
      <c r="AQ399" s="125"/>
      <c r="AR399" s="125"/>
      <c r="AS399" s="125"/>
      <c r="AT399" s="125"/>
      <c r="AU399" s="125"/>
      <c r="AV399" s="125"/>
      <c r="AW399" s="125"/>
      <c r="AX399" s="125"/>
      <c r="AY399" s="167"/>
      <c r="AZ399" s="167"/>
      <c r="BA399" s="167"/>
      <c r="BB399" s="167"/>
      <c r="BC399" s="167"/>
      <c r="BD399" s="167"/>
      <c r="BE399" s="167"/>
      <c r="BF399" s="167"/>
      <c r="BG399" s="125"/>
      <c r="BH399" s="125"/>
      <c r="BI399" s="125"/>
      <c r="BJ399" s="125"/>
      <c r="BK399" s="125"/>
      <c r="BL399" s="125"/>
      <c r="BM399" s="125"/>
      <c r="BN399" s="125"/>
      <c r="BO399" s="125"/>
      <c r="BP399" s="125"/>
      <c r="BQ399" s="125"/>
      <c r="BR399" s="125"/>
      <c r="BS399" s="125"/>
      <c r="BT399" s="125"/>
      <c r="BU399" s="125"/>
      <c r="BV399" s="125"/>
      <c r="BW399" s="167"/>
      <c r="BX399" s="167"/>
      <c r="BY399" s="167"/>
      <c r="BZ399" s="167"/>
      <c r="CA399" s="167"/>
      <c r="CB399" s="167"/>
      <c r="CC399" s="167"/>
      <c r="CD399" s="167"/>
      <c r="CE399" s="125"/>
      <c r="CF399" s="125"/>
      <c r="CG399" s="125"/>
      <c r="CH399" s="125"/>
      <c r="CI399" s="125"/>
      <c r="CJ399" s="125"/>
      <c r="CK399" s="125"/>
      <c r="CL399" s="125"/>
      <c r="CM399" s="125"/>
      <c r="CN399" s="125"/>
      <c r="CO399" s="125"/>
      <c r="CP399" s="125"/>
      <c r="CQ399" s="125"/>
      <c r="CR399" s="125"/>
      <c r="CS399" s="125"/>
      <c r="CT399" s="125"/>
      <c r="CU399" s="167"/>
      <c r="CV399" s="167"/>
      <c r="CW399" s="167"/>
      <c r="CX399" s="167"/>
      <c r="CY399" s="167"/>
      <c r="CZ399" s="167"/>
      <c r="DA399" s="167"/>
      <c r="DB399" s="167"/>
      <c r="DC399" s="125"/>
      <c r="DD399" s="125"/>
      <c r="DE399" s="125"/>
      <c r="DF399" s="125"/>
      <c r="DG399" s="125"/>
      <c r="DH399" s="125"/>
      <c r="DI399" s="125"/>
      <c r="DJ399" s="125"/>
      <c r="DK399" s="125"/>
      <c r="DL399" s="125"/>
      <c r="DM399" s="125"/>
      <c r="DN399" s="125"/>
      <c r="DO399" s="125"/>
      <c r="DP399" s="125"/>
      <c r="DQ399" s="125"/>
      <c r="DR399" s="125"/>
      <c r="DS399" s="167"/>
      <c r="DT399" s="167"/>
      <c r="DU399" s="167"/>
      <c r="DV399" s="167"/>
      <c r="DW399" s="167"/>
      <c r="DX399" s="167"/>
      <c r="DY399" s="167"/>
      <c r="DZ399" s="167"/>
      <c r="EA399" s="125"/>
      <c r="EB399" s="125"/>
      <c r="EC399" s="125"/>
      <c r="ED399" s="125"/>
      <c r="EE399" s="125"/>
      <c r="EF399" s="125"/>
      <c r="EG399" s="125"/>
      <c r="EH399" s="125"/>
      <c r="EI399" s="125"/>
      <c r="EJ399" s="125"/>
      <c r="EK399" s="125"/>
      <c r="EL399" s="125"/>
      <c r="EM399" s="125"/>
      <c r="EN399" s="125"/>
      <c r="EO399" s="125"/>
      <c r="EP399" s="125"/>
      <c r="EQ399" s="167"/>
      <c r="ER399" s="167"/>
      <c r="ES399" s="167"/>
      <c r="ET399" s="167"/>
      <c r="EU399" s="167"/>
      <c r="EV399" s="167"/>
      <c r="EW399" s="167"/>
      <c r="EX399" s="167"/>
      <c r="EY399" s="125"/>
      <c r="EZ399" s="125"/>
      <c r="FA399" s="125"/>
      <c r="FB399" s="125"/>
      <c r="FC399" s="125"/>
      <c r="FD399" s="125"/>
      <c r="FE399" s="125"/>
      <c r="FF399" s="125"/>
      <c r="FG399" s="125"/>
      <c r="FH399" s="125"/>
      <c r="FI399" s="125"/>
      <c r="FJ399" s="125"/>
      <c r="FK399" s="125"/>
      <c r="FL399" s="125"/>
      <c r="FM399" s="125"/>
      <c r="FN399" s="125"/>
      <c r="FO399" s="167"/>
      <c r="FP399" s="167"/>
      <c r="FQ399" s="167"/>
      <c r="FR399" s="167"/>
      <c r="FS399" s="167"/>
      <c r="FT399" s="167"/>
      <c r="FU399" s="167"/>
      <c r="FV399" s="167"/>
      <c r="FW399" s="125"/>
      <c r="FX399" s="125"/>
      <c r="FY399" s="125"/>
      <c r="FZ399" s="125"/>
      <c r="GA399" s="125"/>
      <c r="GB399" s="125"/>
      <c r="GC399" s="125"/>
      <c r="GD399" s="125"/>
      <c r="GE399" s="125"/>
      <c r="GF399" s="125"/>
      <c r="GG399" s="125"/>
      <c r="GH399" s="125"/>
      <c r="GI399" s="125"/>
      <c r="GJ399" s="125"/>
      <c r="GK399" s="125"/>
      <c r="GL399" s="125"/>
      <c r="GM399" s="167"/>
      <c r="GN399" s="167"/>
      <c r="GO399" s="167"/>
      <c r="GP399" s="167"/>
      <c r="GQ399" s="167"/>
      <c r="GR399" s="167"/>
      <c r="GS399" s="167"/>
      <c r="GT399" s="167"/>
      <c r="GU399" s="125"/>
      <c r="GV399" s="125"/>
      <c r="GW399" s="125"/>
      <c r="GX399" s="125"/>
      <c r="GY399" s="125"/>
      <c r="GZ399" s="125"/>
      <c r="HA399" s="125"/>
      <c r="HB399" s="125"/>
      <c r="HC399" s="125"/>
      <c r="HD399" s="125"/>
      <c r="HE399" s="125"/>
      <c r="HF399" s="125"/>
      <c r="HG399" s="125"/>
      <c r="HH399" s="125"/>
      <c r="HI399" s="125"/>
      <c r="HJ399" s="125"/>
      <c r="HK399" s="167"/>
      <c r="HL399" s="167"/>
      <c r="HM399" s="167"/>
      <c r="HN399" s="167"/>
      <c r="HO399" s="167"/>
      <c r="HP399" s="167"/>
      <c r="HQ399" s="167"/>
      <c r="HR399" s="167"/>
      <c r="HS399" s="125"/>
      <c r="HT399" s="125"/>
      <c r="HU399" s="125"/>
      <c r="HV399" s="125"/>
      <c r="HW399" s="125"/>
      <c r="HX399" s="125"/>
      <c r="HY399" s="125"/>
      <c r="HZ399" s="125"/>
      <c r="IA399" s="125"/>
      <c r="IB399" s="125"/>
      <c r="IC399" s="125"/>
      <c r="ID399" s="125"/>
      <c r="IE399" s="125"/>
      <c r="IF399" s="125"/>
      <c r="IG399" s="125"/>
      <c r="IH399" s="125"/>
      <c r="II399" s="167"/>
      <c r="IJ399" s="167"/>
      <c r="IK399" s="167"/>
      <c r="IL399" s="167"/>
      <c r="IM399" s="167"/>
      <c r="IN399" s="167"/>
      <c r="IO399" s="167"/>
      <c r="IP399" s="167"/>
      <c r="IQ399" s="125"/>
      <c r="IR399" s="125"/>
      <c r="IS399" s="125"/>
      <c r="IT399" s="125"/>
      <c r="IU399" s="125"/>
      <c r="IV399" s="125"/>
    </row>
    <row r="400" spans="1:256" s="3" customFormat="1">
      <c r="A400" s="80">
        <v>47</v>
      </c>
      <c r="B400" s="17">
        <v>43088</v>
      </c>
      <c r="C400" s="18" t="s">
        <v>235</v>
      </c>
      <c r="D400" s="19" t="s">
        <v>323</v>
      </c>
      <c r="E400" s="20" t="s">
        <v>564</v>
      </c>
      <c r="F400" s="168" t="s">
        <v>567</v>
      </c>
      <c r="G400" s="63">
        <v>1705</v>
      </c>
      <c r="H400" s="121">
        <f>2130000+11150</f>
        <v>2141150</v>
      </c>
      <c r="I400" s="24"/>
      <c r="J400" s="24">
        <f>SUM(H400)/1.05</f>
        <v>2039190.4761904762</v>
      </c>
      <c r="K400" s="24">
        <f t="shared" si="31"/>
        <v>2039190.4761904762</v>
      </c>
      <c r="L400" s="123">
        <v>1</v>
      </c>
      <c r="M400" s="24">
        <f t="shared" si="32"/>
        <v>2039190.4761904762</v>
      </c>
      <c r="N400" s="124">
        <f t="shared" si="33"/>
        <v>0</v>
      </c>
      <c r="O400" s="107" t="s">
        <v>499</v>
      </c>
      <c r="AA400" s="130"/>
      <c r="AB400" s="130"/>
      <c r="AC400" s="130"/>
      <c r="AD400" s="130"/>
      <c r="AE400" s="130"/>
      <c r="AF400" s="167"/>
      <c r="AG400" s="167"/>
      <c r="AH400" s="167"/>
      <c r="AI400" s="125"/>
      <c r="AJ400" s="125"/>
      <c r="AK400" s="125"/>
      <c r="AL400" s="125"/>
      <c r="AM400" s="125"/>
      <c r="AN400" s="125"/>
      <c r="AO400" s="125"/>
      <c r="AP400" s="125"/>
      <c r="AQ400" s="125"/>
      <c r="AR400" s="125"/>
      <c r="AS400" s="125"/>
      <c r="AT400" s="125"/>
      <c r="AU400" s="125"/>
      <c r="AV400" s="125"/>
      <c r="AW400" s="125"/>
      <c r="AX400" s="125"/>
      <c r="AY400" s="167"/>
      <c r="AZ400" s="167"/>
      <c r="BA400" s="167"/>
      <c r="BB400" s="167"/>
      <c r="BC400" s="167"/>
      <c r="BD400" s="167"/>
      <c r="BE400" s="167"/>
      <c r="BF400" s="167"/>
      <c r="BG400" s="125"/>
      <c r="BH400" s="125"/>
      <c r="BI400" s="125"/>
      <c r="BJ400" s="125"/>
      <c r="BK400" s="125"/>
      <c r="BL400" s="125"/>
      <c r="BM400" s="125"/>
      <c r="BN400" s="125"/>
      <c r="BO400" s="125"/>
      <c r="BP400" s="125"/>
      <c r="BQ400" s="125"/>
      <c r="BR400" s="125"/>
      <c r="BS400" s="125"/>
      <c r="BT400" s="125"/>
      <c r="BU400" s="125"/>
      <c r="BV400" s="125"/>
      <c r="BW400" s="167"/>
      <c r="BX400" s="167"/>
      <c r="BY400" s="167"/>
      <c r="BZ400" s="167"/>
      <c r="CA400" s="167"/>
      <c r="CB400" s="167"/>
      <c r="CC400" s="167"/>
      <c r="CD400" s="167"/>
      <c r="CE400" s="125"/>
      <c r="CF400" s="125"/>
      <c r="CG400" s="125"/>
      <c r="CH400" s="125"/>
      <c r="CI400" s="125"/>
      <c r="CJ400" s="125"/>
      <c r="CK400" s="125"/>
      <c r="CL400" s="125"/>
      <c r="CM400" s="125"/>
      <c r="CN400" s="125"/>
      <c r="CO400" s="125"/>
      <c r="CP400" s="125"/>
      <c r="CQ400" s="125"/>
      <c r="CR400" s="125"/>
      <c r="CS400" s="125"/>
      <c r="CT400" s="125"/>
      <c r="CU400" s="167"/>
      <c r="CV400" s="167"/>
      <c r="CW400" s="167"/>
      <c r="CX400" s="167"/>
      <c r="CY400" s="167"/>
      <c r="CZ400" s="167"/>
      <c r="DA400" s="167"/>
      <c r="DB400" s="167"/>
      <c r="DC400" s="125"/>
      <c r="DD400" s="125"/>
      <c r="DE400" s="125"/>
      <c r="DF400" s="125"/>
      <c r="DG400" s="125"/>
      <c r="DH400" s="125"/>
      <c r="DI400" s="125"/>
      <c r="DJ400" s="125"/>
      <c r="DK400" s="125"/>
      <c r="DL400" s="125"/>
      <c r="DM400" s="125"/>
      <c r="DN400" s="125"/>
      <c r="DO400" s="125"/>
      <c r="DP400" s="125"/>
      <c r="DQ400" s="125"/>
      <c r="DR400" s="125"/>
      <c r="DS400" s="167"/>
      <c r="DT400" s="167"/>
      <c r="DU400" s="167"/>
      <c r="DV400" s="167"/>
      <c r="DW400" s="167"/>
      <c r="DX400" s="167"/>
      <c r="DY400" s="167"/>
      <c r="DZ400" s="167"/>
      <c r="EA400" s="125"/>
      <c r="EB400" s="125"/>
      <c r="EC400" s="125"/>
      <c r="ED400" s="125"/>
      <c r="EE400" s="125"/>
      <c r="EF400" s="125"/>
      <c r="EG400" s="125"/>
      <c r="EH400" s="125"/>
      <c r="EI400" s="125"/>
      <c r="EJ400" s="125"/>
      <c r="EK400" s="125"/>
      <c r="EL400" s="125"/>
      <c r="EM400" s="125"/>
      <c r="EN400" s="125"/>
      <c r="EO400" s="125"/>
      <c r="EP400" s="125"/>
      <c r="EQ400" s="167"/>
      <c r="ER400" s="167"/>
      <c r="ES400" s="167"/>
      <c r="ET400" s="167"/>
      <c r="EU400" s="167"/>
      <c r="EV400" s="167"/>
      <c r="EW400" s="167"/>
      <c r="EX400" s="167"/>
      <c r="EY400" s="125"/>
      <c r="EZ400" s="125"/>
      <c r="FA400" s="125"/>
      <c r="FB400" s="125"/>
      <c r="FC400" s="125"/>
      <c r="FD400" s="125"/>
      <c r="FE400" s="125"/>
      <c r="FF400" s="125"/>
      <c r="FG400" s="125"/>
      <c r="FH400" s="125"/>
      <c r="FI400" s="125"/>
      <c r="FJ400" s="125"/>
      <c r="FK400" s="125"/>
      <c r="FL400" s="125"/>
      <c r="FM400" s="125"/>
      <c r="FN400" s="125"/>
      <c r="FO400" s="167"/>
      <c r="FP400" s="167"/>
      <c r="FQ400" s="167"/>
      <c r="FR400" s="167"/>
      <c r="FS400" s="167"/>
      <c r="FT400" s="167"/>
      <c r="FU400" s="167"/>
      <c r="FV400" s="167"/>
      <c r="FW400" s="125"/>
      <c r="FX400" s="125"/>
      <c r="FY400" s="125"/>
      <c r="FZ400" s="125"/>
      <c r="GA400" s="125"/>
      <c r="GB400" s="125"/>
      <c r="GC400" s="125"/>
      <c r="GD400" s="125"/>
      <c r="GE400" s="125"/>
      <c r="GF400" s="125"/>
      <c r="GG400" s="125"/>
      <c r="GH400" s="125"/>
      <c r="GI400" s="125"/>
      <c r="GJ400" s="125"/>
      <c r="GK400" s="125"/>
      <c r="GL400" s="125"/>
      <c r="GM400" s="167"/>
      <c r="GN400" s="167"/>
      <c r="GO400" s="167"/>
      <c r="GP400" s="167"/>
      <c r="GQ400" s="167"/>
      <c r="GR400" s="167"/>
      <c r="GS400" s="167"/>
      <c r="GT400" s="167"/>
      <c r="GU400" s="125"/>
      <c r="GV400" s="125"/>
      <c r="GW400" s="125"/>
      <c r="GX400" s="125"/>
      <c r="GY400" s="125"/>
      <c r="GZ400" s="125"/>
      <c r="HA400" s="125"/>
      <c r="HB400" s="125"/>
      <c r="HC400" s="125"/>
      <c r="HD400" s="125"/>
      <c r="HE400" s="125"/>
      <c r="HF400" s="125"/>
      <c r="HG400" s="125"/>
      <c r="HH400" s="125"/>
      <c r="HI400" s="125"/>
      <c r="HJ400" s="125"/>
      <c r="HK400" s="167"/>
      <c r="HL400" s="167"/>
      <c r="HM400" s="167"/>
      <c r="HN400" s="167"/>
      <c r="HO400" s="167"/>
      <c r="HP400" s="167"/>
      <c r="HQ400" s="167"/>
      <c r="HR400" s="167"/>
      <c r="HS400" s="125"/>
      <c r="HT400" s="125"/>
      <c r="HU400" s="125"/>
      <c r="HV400" s="125"/>
      <c r="HW400" s="125"/>
      <c r="HX400" s="125"/>
      <c r="HY400" s="125"/>
      <c r="HZ400" s="125"/>
      <c r="IA400" s="125"/>
      <c r="IB400" s="125"/>
      <c r="IC400" s="125"/>
      <c r="ID400" s="125"/>
      <c r="IE400" s="125"/>
      <c r="IF400" s="125"/>
      <c r="IG400" s="125"/>
      <c r="IH400" s="125"/>
      <c r="II400" s="167"/>
      <c r="IJ400" s="167"/>
      <c r="IK400" s="167"/>
      <c r="IL400" s="167"/>
      <c r="IM400" s="167"/>
      <c r="IN400" s="167"/>
      <c r="IO400" s="167"/>
      <c r="IP400" s="167"/>
      <c r="IQ400" s="125"/>
      <c r="IR400" s="125"/>
      <c r="IS400" s="125"/>
      <c r="IT400" s="125"/>
      <c r="IU400" s="125"/>
      <c r="IV400" s="125"/>
    </row>
    <row r="401" spans="1:256" s="3" customFormat="1">
      <c r="A401" s="80">
        <v>48</v>
      </c>
      <c r="B401" s="29">
        <v>43067</v>
      </c>
      <c r="C401" s="18" t="s">
        <v>311</v>
      </c>
      <c r="D401" s="19" t="s">
        <v>323</v>
      </c>
      <c r="E401" s="20" t="s">
        <v>568</v>
      </c>
      <c r="F401" s="82" t="s">
        <v>569</v>
      </c>
      <c r="G401" s="58">
        <v>1705</v>
      </c>
      <c r="H401" s="121">
        <v>2130000</v>
      </c>
      <c r="I401" s="24">
        <v>2028571</v>
      </c>
      <c r="J401" s="24"/>
      <c r="K401" s="24">
        <f t="shared" si="31"/>
        <v>2028571</v>
      </c>
      <c r="L401" s="123">
        <v>1</v>
      </c>
      <c r="M401" s="24">
        <f t="shared" si="32"/>
        <v>2028571</v>
      </c>
      <c r="N401" s="124">
        <f t="shared" si="33"/>
        <v>0</v>
      </c>
      <c r="O401" s="107" t="s">
        <v>499</v>
      </c>
      <c r="Q401" s="140"/>
      <c r="AA401" s="130"/>
      <c r="AB401" s="130"/>
      <c r="AC401" s="130"/>
      <c r="AD401" s="130"/>
      <c r="AE401" s="130"/>
      <c r="AF401" s="167"/>
      <c r="AG401" s="167"/>
      <c r="AH401" s="167"/>
      <c r="AI401" s="125"/>
      <c r="AJ401" s="125"/>
      <c r="AK401" s="125"/>
      <c r="AL401" s="125"/>
      <c r="AM401" s="125"/>
      <c r="AN401" s="125"/>
      <c r="AO401" s="125"/>
      <c r="AP401" s="125"/>
      <c r="AQ401" s="125"/>
      <c r="AR401" s="125"/>
      <c r="AS401" s="125"/>
      <c r="AT401" s="125"/>
      <c r="AU401" s="125"/>
      <c r="AV401" s="125"/>
      <c r="AW401" s="125"/>
      <c r="AX401" s="125"/>
      <c r="AY401" s="167"/>
      <c r="AZ401" s="167"/>
      <c r="BA401" s="167"/>
      <c r="BB401" s="167"/>
      <c r="BC401" s="167"/>
      <c r="BD401" s="167"/>
      <c r="BE401" s="167"/>
      <c r="BF401" s="167"/>
      <c r="BG401" s="125"/>
      <c r="BH401" s="125"/>
      <c r="BI401" s="125"/>
      <c r="BJ401" s="125"/>
      <c r="BK401" s="125"/>
      <c r="BL401" s="125"/>
      <c r="BM401" s="125"/>
      <c r="BN401" s="125"/>
      <c r="BO401" s="125"/>
      <c r="BP401" s="125"/>
      <c r="BQ401" s="125"/>
      <c r="BR401" s="125"/>
      <c r="BS401" s="125"/>
      <c r="BT401" s="125"/>
      <c r="BU401" s="125"/>
      <c r="BV401" s="125"/>
      <c r="BW401" s="167"/>
      <c r="BX401" s="167"/>
      <c r="BY401" s="167"/>
      <c r="BZ401" s="167"/>
      <c r="CA401" s="167"/>
      <c r="CB401" s="167"/>
      <c r="CC401" s="167"/>
      <c r="CD401" s="167"/>
      <c r="CE401" s="125"/>
      <c r="CF401" s="125"/>
      <c r="CG401" s="125"/>
      <c r="CH401" s="125"/>
      <c r="CI401" s="125"/>
      <c r="CJ401" s="125"/>
      <c r="CK401" s="125"/>
      <c r="CL401" s="125"/>
      <c r="CM401" s="125"/>
      <c r="CN401" s="125"/>
      <c r="CO401" s="125"/>
      <c r="CP401" s="125"/>
      <c r="CQ401" s="125"/>
      <c r="CR401" s="125"/>
      <c r="CS401" s="125"/>
      <c r="CT401" s="125"/>
      <c r="CU401" s="167"/>
      <c r="CV401" s="167"/>
      <c r="CW401" s="167"/>
      <c r="CX401" s="167"/>
      <c r="CY401" s="167"/>
      <c r="CZ401" s="167"/>
      <c r="DA401" s="167"/>
      <c r="DB401" s="167"/>
      <c r="DC401" s="125"/>
      <c r="DD401" s="125"/>
      <c r="DE401" s="125"/>
      <c r="DF401" s="125"/>
      <c r="DG401" s="125"/>
      <c r="DH401" s="125"/>
      <c r="DI401" s="125"/>
      <c r="DJ401" s="125"/>
      <c r="DK401" s="125"/>
      <c r="DL401" s="125"/>
      <c r="DM401" s="125"/>
      <c r="DN401" s="125"/>
      <c r="DO401" s="125"/>
      <c r="DP401" s="125"/>
      <c r="DQ401" s="125"/>
      <c r="DR401" s="125"/>
      <c r="DS401" s="167"/>
      <c r="DT401" s="167"/>
      <c r="DU401" s="167"/>
      <c r="DV401" s="167"/>
      <c r="DW401" s="167"/>
      <c r="DX401" s="167"/>
      <c r="DY401" s="167"/>
      <c r="DZ401" s="167"/>
      <c r="EA401" s="125"/>
      <c r="EB401" s="125"/>
      <c r="EC401" s="125"/>
      <c r="ED401" s="125"/>
      <c r="EE401" s="125"/>
      <c r="EF401" s="125"/>
      <c r="EG401" s="125"/>
      <c r="EH401" s="125"/>
      <c r="EI401" s="125"/>
      <c r="EJ401" s="125"/>
      <c r="EK401" s="125"/>
      <c r="EL401" s="125"/>
      <c r="EM401" s="125"/>
      <c r="EN401" s="125"/>
      <c r="EO401" s="125"/>
      <c r="EP401" s="125"/>
      <c r="EQ401" s="167"/>
      <c r="ER401" s="167"/>
      <c r="ES401" s="167"/>
      <c r="ET401" s="167"/>
      <c r="EU401" s="167"/>
      <c r="EV401" s="167"/>
      <c r="EW401" s="167"/>
      <c r="EX401" s="167"/>
      <c r="EY401" s="125"/>
      <c r="EZ401" s="125"/>
      <c r="FA401" s="125"/>
      <c r="FB401" s="125"/>
      <c r="FC401" s="125"/>
      <c r="FD401" s="125"/>
      <c r="FE401" s="125"/>
      <c r="FF401" s="125"/>
      <c r="FG401" s="125"/>
      <c r="FH401" s="125"/>
      <c r="FI401" s="125"/>
      <c r="FJ401" s="125"/>
      <c r="FK401" s="125"/>
      <c r="FL401" s="125"/>
      <c r="FM401" s="125"/>
      <c r="FN401" s="125"/>
      <c r="FO401" s="167"/>
      <c r="FP401" s="167"/>
      <c r="FQ401" s="167"/>
      <c r="FR401" s="167"/>
      <c r="FS401" s="167"/>
      <c r="FT401" s="167"/>
      <c r="FU401" s="167"/>
      <c r="FV401" s="167"/>
      <c r="FW401" s="125"/>
      <c r="FX401" s="125"/>
      <c r="FY401" s="125"/>
      <c r="FZ401" s="125"/>
      <c r="GA401" s="125"/>
      <c r="GB401" s="125"/>
      <c r="GC401" s="125"/>
      <c r="GD401" s="125"/>
      <c r="GE401" s="125"/>
      <c r="GF401" s="125"/>
      <c r="GG401" s="125"/>
      <c r="GH401" s="125"/>
      <c r="GI401" s="125"/>
      <c r="GJ401" s="125"/>
      <c r="GK401" s="125"/>
      <c r="GL401" s="125"/>
      <c r="GM401" s="167"/>
      <c r="GN401" s="167"/>
      <c r="GO401" s="167"/>
      <c r="GP401" s="167"/>
      <c r="GQ401" s="167"/>
      <c r="GR401" s="167"/>
      <c r="GS401" s="167"/>
      <c r="GT401" s="167"/>
      <c r="GU401" s="125"/>
      <c r="GV401" s="125"/>
      <c r="GW401" s="125"/>
      <c r="GX401" s="125"/>
      <c r="GY401" s="125"/>
      <c r="GZ401" s="125"/>
      <c r="HA401" s="125"/>
      <c r="HB401" s="125"/>
      <c r="HC401" s="125"/>
      <c r="HD401" s="125"/>
      <c r="HE401" s="125"/>
      <c r="HF401" s="125"/>
      <c r="HG401" s="125"/>
      <c r="HH401" s="125"/>
      <c r="HI401" s="125"/>
      <c r="HJ401" s="125"/>
      <c r="HK401" s="167"/>
      <c r="HL401" s="167"/>
      <c r="HM401" s="167"/>
      <c r="HN401" s="167"/>
      <c r="HO401" s="167"/>
      <c r="HP401" s="167"/>
      <c r="HQ401" s="167"/>
      <c r="HR401" s="167"/>
      <c r="HS401" s="125"/>
      <c r="HT401" s="125"/>
      <c r="HU401" s="125"/>
      <c r="HV401" s="125"/>
      <c r="HW401" s="125"/>
      <c r="HX401" s="125"/>
      <c r="HY401" s="125"/>
      <c r="HZ401" s="125"/>
      <c r="IA401" s="125"/>
      <c r="IB401" s="125"/>
      <c r="IC401" s="125"/>
      <c r="ID401" s="125"/>
      <c r="IE401" s="125"/>
      <c r="IF401" s="125"/>
      <c r="IG401" s="125"/>
      <c r="IH401" s="125"/>
      <c r="II401" s="167"/>
      <c r="IJ401" s="167"/>
      <c r="IK401" s="167"/>
      <c r="IL401" s="167"/>
      <c r="IM401" s="167"/>
      <c r="IN401" s="167"/>
      <c r="IO401" s="167"/>
      <c r="IP401" s="167"/>
      <c r="IQ401" s="125"/>
      <c r="IR401" s="125"/>
      <c r="IS401" s="125"/>
      <c r="IT401" s="125"/>
      <c r="IU401" s="125"/>
      <c r="IV401" s="125"/>
    </row>
    <row r="402" spans="1:256" s="3" customFormat="1">
      <c r="A402" s="80">
        <v>49</v>
      </c>
      <c r="B402" s="17">
        <v>43089</v>
      </c>
      <c r="C402" s="18" t="s">
        <v>563</v>
      </c>
      <c r="D402" s="19" t="s">
        <v>323</v>
      </c>
      <c r="E402" s="20" t="s">
        <v>564</v>
      </c>
      <c r="F402" s="168" t="s">
        <v>570</v>
      </c>
      <c r="G402" s="63">
        <v>1705</v>
      </c>
      <c r="H402" s="121">
        <f>2130000+11150</f>
        <v>2141150</v>
      </c>
      <c r="I402" s="24"/>
      <c r="J402" s="24">
        <f>SUM(H402)/1.05</f>
        <v>2039190.4761904762</v>
      </c>
      <c r="K402" s="24">
        <f t="shared" si="31"/>
        <v>2039190.4761904762</v>
      </c>
      <c r="L402" s="123">
        <v>1</v>
      </c>
      <c r="M402" s="24">
        <f t="shared" si="32"/>
        <v>2039190.4761904762</v>
      </c>
      <c r="N402" s="124">
        <f t="shared" si="33"/>
        <v>0</v>
      </c>
      <c r="O402" s="107" t="s">
        <v>499</v>
      </c>
      <c r="Q402" s="140"/>
      <c r="AA402" s="130"/>
      <c r="AB402" s="130"/>
      <c r="AC402" s="130"/>
      <c r="AD402" s="130"/>
      <c r="AE402" s="130"/>
      <c r="AF402" s="130"/>
      <c r="AG402" s="130"/>
      <c r="AH402" s="130"/>
      <c r="AY402" s="130"/>
      <c r="AZ402" s="130"/>
      <c r="BA402" s="130"/>
      <c r="BB402" s="130"/>
      <c r="BC402" s="130"/>
      <c r="BD402" s="130"/>
      <c r="BE402" s="130"/>
      <c r="BF402" s="130"/>
      <c r="BW402" s="130"/>
      <c r="BX402" s="130"/>
      <c r="BY402" s="130"/>
      <c r="BZ402" s="130"/>
      <c r="CA402" s="130"/>
      <c r="CB402" s="130"/>
      <c r="CC402" s="130"/>
      <c r="CD402" s="130"/>
      <c r="CU402" s="130"/>
      <c r="CV402" s="130"/>
      <c r="CW402" s="130"/>
      <c r="CX402" s="130"/>
      <c r="CY402" s="130"/>
      <c r="CZ402" s="130"/>
      <c r="DA402" s="130"/>
      <c r="DB402" s="130"/>
      <c r="DS402" s="130"/>
      <c r="DT402" s="130"/>
      <c r="DU402" s="130"/>
      <c r="DV402" s="130"/>
      <c r="DW402" s="130"/>
      <c r="DX402" s="130"/>
      <c r="DY402" s="130"/>
      <c r="DZ402" s="130"/>
      <c r="EQ402" s="130"/>
      <c r="ER402" s="130"/>
      <c r="ES402" s="130"/>
      <c r="ET402" s="130"/>
      <c r="EU402" s="130"/>
      <c r="EV402" s="130"/>
      <c r="EW402" s="130"/>
      <c r="EX402" s="130"/>
      <c r="FO402" s="130"/>
      <c r="FP402" s="130"/>
      <c r="FQ402" s="130"/>
      <c r="FR402" s="130"/>
      <c r="FS402" s="130"/>
      <c r="FT402" s="130"/>
      <c r="FU402" s="130"/>
      <c r="FV402" s="130"/>
      <c r="GM402" s="130"/>
      <c r="GN402" s="130"/>
      <c r="GO402" s="130"/>
      <c r="GP402" s="130"/>
      <c r="GQ402" s="130"/>
      <c r="GR402" s="130"/>
      <c r="GS402" s="130"/>
      <c r="GT402" s="130"/>
      <c r="HK402" s="130"/>
      <c r="HL402" s="130"/>
      <c r="HM402" s="130"/>
      <c r="HN402" s="130"/>
      <c r="HO402" s="130"/>
      <c r="HP402" s="130"/>
      <c r="HQ402" s="130"/>
      <c r="HR402" s="130"/>
      <c r="II402" s="130"/>
      <c r="IJ402" s="130"/>
      <c r="IK402" s="130"/>
      <c r="IL402" s="130"/>
      <c r="IM402" s="130"/>
      <c r="IN402" s="130"/>
      <c r="IO402" s="130"/>
      <c r="IP402" s="130"/>
    </row>
    <row r="403" spans="1:256" s="3" customFormat="1">
      <c r="A403" s="80">
        <v>50</v>
      </c>
      <c r="B403" s="29">
        <v>42990</v>
      </c>
      <c r="C403" s="18"/>
      <c r="D403" s="19" t="s">
        <v>571</v>
      </c>
      <c r="E403" s="20" t="s">
        <v>330</v>
      </c>
      <c r="F403" s="62" t="s">
        <v>572</v>
      </c>
      <c r="G403" s="63">
        <v>1707</v>
      </c>
      <c r="H403" s="121">
        <v>2451000</v>
      </c>
      <c r="I403" s="24">
        <v>2334286</v>
      </c>
      <c r="J403" s="24"/>
      <c r="K403" s="24">
        <f t="shared" si="31"/>
        <v>2334286</v>
      </c>
      <c r="L403" s="123">
        <v>1</v>
      </c>
      <c r="M403" s="24">
        <f t="shared" si="32"/>
        <v>2334286</v>
      </c>
      <c r="N403" s="124">
        <f t="shared" si="33"/>
        <v>0</v>
      </c>
      <c r="O403" s="107" t="s">
        <v>499</v>
      </c>
      <c r="AA403" s="130"/>
      <c r="AB403" s="130"/>
      <c r="AC403" s="130"/>
      <c r="AD403" s="130"/>
      <c r="AE403" s="130"/>
      <c r="AF403" s="130"/>
      <c r="AG403" s="130"/>
      <c r="AH403" s="130"/>
      <c r="AY403" s="130"/>
      <c r="AZ403" s="130"/>
      <c r="BA403" s="130"/>
      <c r="BB403" s="130"/>
      <c r="BC403" s="130"/>
      <c r="BD403" s="130"/>
      <c r="BE403" s="130"/>
      <c r="BF403" s="130"/>
      <c r="BW403" s="130"/>
      <c r="BX403" s="130"/>
      <c r="BY403" s="130"/>
      <c r="BZ403" s="130"/>
      <c r="CA403" s="130"/>
      <c r="CB403" s="130"/>
      <c r="CC403" s="130"/>
      <c r="CD403" s="130"/>
      <c r="CU403" s="130"/>
      <c r="CV403" s="130"/>
      <c r="CW403" s="130"/>
      <c r="CX403" s="130"/>
      <c r="CY403" s="130"/>
      <c r="CZ403" s="130"/>
      <c r="DA403" s="130"/>
      <c r="DB403" s="130"/>
      <c r="DS403" s="130"/>
      <c r="DT403" s="130"/>
      <c r="DU403" s="130"/>
      <c r="DV403" s="130"/>
      <c r="DW403" s="130"/>
      <c r="DX403" s="130"/>
      <c r="DY403" s="130"/>
      <c r="DZ403" s="130"/>
      <c r="EQ403" s="130"/>
      <c r="ER403" s="130"/>
      <c r="ES403" s="130"/>
      <c r="ET403" s="130"/>
      <c r="EU403" s="130"/>
      <c r="EV403" s="130"/>
      <c r="EW403" s="130"/>
      <c r="EX403" s="130"/>
      <c r="FO403" s="130"/>
      <c r="FP403" s="130"/>
      <c r="FQ403" s="130"/>
      <c r="FR403" s="130"/>
      <c r="FS403" s="130"/>
      <c r="FT403" s="130"/>
      <c r="FU403" s="130"/>
      <c r="FV403" s="130"/>
      <c r="GM403" s="130"/>
      <c r="GN403" s="130"/>
      <c r="GO403" s="130"/>
      <c r="GP403" s="130"/>
      <c r="GQ403" s="130"/>
      <c r="GR403" s="130"/>
      <c r="GS403" s="130"/>
      <c r="GT403" s="130"/>
      <c r="HK403" s="130"/>
      <c r="HL403" s="130"/>
      <c r="HM403" s="130"/>
      <c r="HN403" s="130"/>
      <c r="HO403" s="130"/>
      <c r="HP403" s="130"/>
      <c r="HQ403" s="130"/>
      <c r="HR403" s="130"/>
      <c r="II403" s="130"/>
      <c r="IJ403" s="130"/>
      <c r="IK403" s="130"/>
      <c r="IL403" s="130"/>
      <c r="IM403" s="130"/>
      <c r="IN403" s="130"/>
      <c r="IO403" s="130"/>
      <c r="IP403" s="130"/>
    </row>
    <row r="404" spans="1:256" s="3" customFormat="1">
      <c r="A404" s="80">
        <v>51</v>
      </c>
      <c r="B404" s="29">
        <v>43005</v>
      </c>
      <c r="C404" s="18"/>
      <c r="D404" s="19" t="s">
        <v>323</v>
      </c>
      <c r="E404" s="20" t="s">
        <v>330</v>
      </c>
      <c r="F404" s="82" t="s">
        <v>573</v>
      </c>
      <c r="G404" s="58">
        <v>1707</v>
      </c>
      <c r="H404" s="121">
        <v>2451000</v>
      </c>
      <c r="I404" s="24">
        <v>2334286</v>
      </c>
      <c r="J404" s="24"/>
      <c r="K404" s="24">
        <f t="shared" si="31"/>
        <v>2334286</v>
      </c>
      <c r="L404" s="123">
        <v>1</v>
      </c>
      <c r="M404" s="24">
        <f t="shared" si="32"/>
        <v>2334286</v>
      </c>
      <c r="N404" s="124">
        <f t="shared" si="33"/>
        <v>0</v>
      </c>
      <c r="O404" s="107" t="s">
        <v>499</v>
      </c>
      <c r="Q404" s="140"/>
      <c r="AA404" s="141"/>
      <c r="AB404" s="142"/>
      <c r="AC404" s="142"/>
      <c r="AD404" s="142"/>
      <c r="AE404" s="142"/>
      <c r="AF404" s="142"/>
      <c r="AG404" s="142"/>
      <c r="AH404" s="143"/>
      <c r="AY404" s="141"/>
      <c r="AZ404" s="142"/>
      <c r="BA404" s="142"/>
      <c r="BB404" s="142"/>
      <c r="BC404" s="142"/>
      <c r="BD404" s="142"/>
      <c r="BE404" s="142"/>
      <c r="BF404" s="143"/>
      <c r="BW404" s="141"/>
      <c r="BX404" s="142"/>
      <c r="BY404" s="142"/>
      <c r="BZ404" s="142"/>
      <c r="CA404" s="142"/>
      <c r="CB404" s="142"/>
      <c r="CC404" s="142"/>
      <c r="CD404" s="143"/>
      <c r="CU404" s="141"/>
      <c r="CV404" s="142"/>
      <c r="CW404" s="142"/>
      <c r="CX404" s="142"/>
      <c r="CY404" s="142"/>
      <c r="CZ404" s="142"/>
      <c r="DA404" s="142"/>
      <c r="DB404" s="143"/>
      <c r="DS404" s="141"/>
      <c r="DT404" s="142"/>
      <c r="DU404" s="142"/>
      <c r="DV404" s="142"/>
      <c r="DW404" s="142"/>
      <c r="DX404" s="142"/>
      <c r="DY404" s="142"/>
      <c r="DZ404" s="143"/>
      <c r="EQ404" s="141"/>
      <c r="ER404" s="142"/>
      <c r="ES404" s="142"/>
      <c r="ET404" s="142"/>
      <c r="EU404" s="142"/>
      <c r="EV404" s="142"/>
      <c r="EW404" s="142"/>
      <c r="EX404" s="143"/>
      <c r="FO404" s="141"/>
      <c r="FP404" s="142"/>
      <c r="FQ404" s="142"/>
      <c r="FR404" s="142"/>
      <c r="FS404" s="142"/>
      <c r="FT404" s="142"/>
      <c r="FU404" s="142"/>
      <c r="FV404" s="143"/>
      <c r="GM404" s="141"/>
      <c r="GN404" s="142"/>
      <c r="GO404" s="142"/>
      <c r="GP404" s="142"/>
      <c r="GQ404" s="142"/>
      <c r="GR404" s="142"/>
      <c r="GS404" s="142"/>
      <c r="GT404" s="143"/>
      <c r="HK404" s="141"/>
      <c r="HL404" s="142"/>
      <c r="HM404" s="142"/>
      <c r="HN404" s="142"/>
      <c r="HO404" s="142"/>
      <c r="HP404" s="142"/>
      <c r="HQ404" s="142"/>
      <c r="HR404" s="143"/>
      <c r="II404" s="141"/>
      <c r="IJ404" s="142"/>
      <c r="IK404" s="142"/>
      <c r="IL404" s="142"/>
      <c r="IM404" s="142"/>
      <c r="IN404" s="142"/>
      <c r="IO404" s="142"/>
      <c r="IP404" s="143"/>
    </row>
    <row r="405" spans="1:256" s="3" customFormat="1">
      <c r="A405" s="80">
        <v>52</v>
      </c>
      <c r="B405" s="17">
        <v>43088</v>
      </c>
      <c r="C405" s="18"/>
      <c r="D405" s="19" t="s">
        <v>323</v>
      </c>
      <c r="E405" s="20" t="s">
        <v>330</v>
      </c>
      <c r="F405" s="168" t="s">
        <v>574</v>
      </c>
      <c r="G405" s="63">
        <v>1708</v>
      </c>
      <c r="H405" s="121">
        <v>2440000</v>
      </c>
      <c r="I405" s="24"/>
      <c r="J405" s="24">
        <f>SUM(H405)/1.05</f>
        <v>2323809.5238095238</v>
      </c>
      <c r="K405" s="24">
        <f t="shared" si="31"/>
        <v>2323809.5238095238</v>
      </c>
      <c r="L405" s="123">
        <v>1</v>
      </c>
      <c r="M405" s="24">
        <f t="shared" si="32"/>
        <v>2323809.5238095238</v>
      </c>
      <c r="N405" s="124">
        <f t="shared" si="33"/>
        <v>0</v>
      </c>
      <c r="O405" s="107" t="s">
        <v>499</v>
      </c>
      <c r="AA405" s="130"/>
      <c r="AB405" s="130"/>
      <c r="AC405" s="130"/>
      <c r="AD405" s="130"/>
      <c r="AE405" s="130"/>
      <c r="AF405" s="167"/>
      <c r="AG405" s="167"/>
      <c r="AH405" s="167"/>
      <c r="AI405" s="125"/>
      <c r="AJ405" s="125"/>
      <c r="AK405" s="125"/>
      <c r="AL405" s="125"/>
      <c r="AM405" s="125"/>
      <c r="AN405" s="125"/>
      <c r="AO405" s="125"/>
      <c r="AP405" s="125"/>
      <c r="AQ405" s="125"/>
      <c r="AR405" s="125"/>
      <c r="AS405" s="125"/>
      <c r="AT405" s="125"/>
      <c r="AU405" s="125"/>
      <c r="AV405" s="125"/>
      <c r="AW405" s="125"/>
      <c r="AX405" s="125"/>
      <c r="AY405" s="167"/>
      <c r="AZ405" s="167"/>
      <c r="BA405" s="167"/>
      <c r="BB405" s="167"/>
      <c r="BC405" s="167"/>
      <c r="BD405" s="167"/>
      <c r="BE405" s="167"/>
      <c r="BF405" s="167"/>
      <c r="BG405" s="125"/>
      <c r="BH405" s="125"/>
      <c r="BI405" s="125"/>
      <c r="BJ405" s="125"/>
      <c r="BK405" s="125"/>
      <c r="BL405" s="125"/>
      <c r="BM405" s="125"/>
      <c r="BN405" s="125"/>
      <c r="BO405" s="125"/>
      <c r="BP405" s="125"/>
      <c r="BQ405" s="125"/>
      <c r="BR405" s="125"/>
      <c r="BS405" s="125"/>
      <c r="BT405" s="125"/>
      <c r="BU405" s="125"/>
      <c r="BV405" s="125"/>
      <c r="BW405" s="167"/>
      <c r="BX405" s="167"/>
      <c r="BY405" s="167"/>
      <c r="BZ405" s="167"/>
      <c r="CA405" s="167"/>
      <c r="CB405" s="167"/>
      <c r="CC405" s="167"/>
      <c r="CD405" s="167"/>
      <c r="CE405" s="125"/>
      <c r="CF405" s="125"/>
      <c r="CG405" s="125"/>
      <c r="CH405" s="125"/>
      <c r="CI405" s="125"/>
      <c r="CJ405" s="125"/>
      <c r="CK405" s="125"/>
      <c r="CL405" s="125"/>
      <c r="CM405" s="125"/>
      <c r="CN405" s="125"/>
      <c r="CO405" s="125"/>
      <c r="CP405" s="125"/>
      <c r="CQ405" s="125"/>
      <c r="CR405" s="125"/>
      <c r="CS405" s="125"/>
      <c r="CT405" s="125"/>
      <c r="CU405" s="167"/>
      <c r="CV405" s="167"/>
      <c r="CW405" s="167"/>
      <c r="CX405" s="167"/>
      <c r="CY405" s="167"/>
      <c r="CZ405" s="167"/>
      <c r="DA405" s="167"/>
      <c r="DB405" s="167"/>
      <c r="DC405" s="125"/>
      <c r="DD405" s="125"/>
      <c r="DE405" s="125"/>
      <c r="DF405" s="125"/>
      <c r="DG405" s="125"/>
      <c r="DH405" s="125"/>
      <c r="DI405" s="125"/>
      <c r="DJ405" s="125"/>
      <c r="DK405" s="125"/>
      <c r="DL405" s="125"/>
      <c r="DM405" s="125"/>
      <c r="DN405" s="125"/>
      <c r="DO405" s="125"/>
      <c r="DP405" s="125"/>
      <c r="DQ405" s="125"/>
      <c r="DR405" s="125"/>
      <c r="DS405" s="167"/>
      <c r="DT405" s="167"/>
      <c r="DU405" s="167"/>
      <c r="DV405" s="167"/>
      <c r="DW405" s="167"/>
      <c r="DX405" s="167"/>
      <c r="DY405" s="167"/>
      <c r="DZ405" s="167"/>
      <c r="EA405" s="125"/>
      <c r="EB405" s="125"/>
      <c r="EC405" s="125"/>
      <c r="ED405" s="125"/>
      <c r="EE405" s="125"/>
      <c r="EF405" s="125"/>
      <c r="EG405" s="125"/>
      <c r="EH405" s="125"/>
      <c r="EI405" s="125"/>
      <c r="EJ405" s="125"/>
      <c r="EK405" s="125"/>
      <c r="EL405" s="125"/>
      <c r="EM405" s="125"/>
      <c r="EN405" s="125"/>
      <c r="EO405" s="125"/>
      <c r="EP405" s="125"/>
      <c r="EQ405" s="167"/>
      <c r="ER405" s="167"/>
      <c r="ES405" s="167"/>
      <c r="ET405" s="167"/>
      <c r="EU405" s="167"/>
      <c r="EV405" s="167"/>
      <c r="EW405" s="167"/>
      <c r="EX405" s="167"/>
      <c r="EY405" s="125"/>
      <c r="EZ405" s="125"/>
      <c r="FA405" s="125"/>
      <c r="FB405" s="125"/>
      <c r="FC405" s="125"/>
      <c r="FD405" s="125"/>
      <c r="FE405" s="125"/>
      <c r="FF405" s="125"/>
      <c r="FG405" s="125"/>
      <c r="FH405" s="125"/>
      <c r="FI405" s="125"/>
      <c r="FJ405" s="125"/>
      <c r="FK405" s="125"/>
      <c r="FL405" s="125"/>
      <c r="FM405" s="125"/>
      <c r="FN405" s="125"/>
      <c r="FO405" s="167"/>
      <c r="FP405" s="167"/>
      <c r="FQ405" s="167"/>
      <c r="FR405" s="167"/>
      <c r="FS405" s="167"/>
      <c r="FT405" s="167"/>
      <c r="FU405" s="167"/>
      <c r="FV405" s="167"/>
      <c r="FW405" s="125"/>
      <c r="FX405" s="125"/>
      <c r="FY405" s="125"/>
      <c r="FZ405" s="125"/>
      <c r="GA405" s="125"/>
      <c r="GB405" s="125"/>
      <c r="GC405" s="125"/>
      <c r="GD405" s="125"/>
      <c r="GE405" s="125"/>
      <c r="GF405" s="125"/>
      <c r="GG405" s="125"/>
      <c r="GH405" s="125"/>
      <c r="GI405" s="125"/>
      <c r="GJ405" s="125"/>
      <c r="GK405" s="125"/>
      <c r="GL405" s="125"/>
      <c r="GM405" s="167"/>
      <c r="GN405" s="167"/>
      <c r="GO405" s="167"/>
      <c r="GP405" s="167"/>
      <c r="GQ405" s="167"/>
      <c r="GR405" s="167"/>
      <c r="GS405" s="167"/>
      <c r="GT405" s="167"/>
      <c r="GU405" s="125"/>
      <c r="GV405" s="125"/>
      <c r="GW405" s="125"/>
      <c r="GX405" s="125"/>
      <c r="GY405" s="125"/>
      <c r="GZ405" s="125"/>
      <c r="HA405" s="125"/>
      <c r="HB405" s="125"/>
      <c r="HC405" s="125"/>
      <c r="HD405" s="125"/>
      <c r="HE405" s="125"/>
      <c r="HF405" s="125"/>
      <c r="HG405" s="125"/>
      <c r="HH405" s="125"/>
      <c r="HI405" s="125"/>
      <c r="HJ405" s="125"/>
      <c r="HK405" s="167"/>
      <c r="HL405" s="167"/>
      <c r="HM405" s="167"/>
      <c r="HN405" s="167"/>
      <c r="HO405" s="167"/>
      <c r="HP405" s="167"/>
      <c r="HQ405" s="167"/>
      <c r="HR405" s="167"/>
      <c r="HS405" s="125"/>
      <c r="HT405" s="125"/>
      <c r="HU405" s="125"/>
      <c r="HV405" s="125"/>
      <c r="HW405" s="125"/>
      <c r="HX405" s="125"/>
      <c r="HY405" s="125"/>
      <c r="HZ405" s="125"/>
      <c r="IA405" s="125"/>
      <c r="IB405" s="125"/>
      <c r="IC405" s="125"/>
      <c r="ID405" s="125"/>
      <c r="IE405" s="125"/>
      <c r="IF405" s="125"/>
      <c r="IG405" s="125"/>
      <c r="IH405" s="125"/>
      <c r="II405" s="167"/>
      <c r="IJ405" s="167"/>
      <c r="IK405" s="167"/>
      <c r="IL405" s="167"/>
      <c r="IM405" s="167"/>
      <c r="IN405" s="167"/>
      <c r="IO405" s="167"/>
      <c r="IP405" s="167"/>
      <c r="IQ405" s="125"/>
      <c r="IR405" s="125"/>
      <c r="IS405" s="125"/>
      <c r="IT405" s="125"/>
      <c r="IU405" s="125"/>
      <c r="IV405" s="125"/>
    </row>
    <row r="406" spans="1:256" s="212" customFormat="1">
      <c r="A406" s="80">
        <v>53</v>
      </c>
      <c r="B406" s="17">
        <v>43088</v>
      </c>
      <c r="C406" s="18"/>
      <c r="D406" s="19" t="s">
        <v>323</v>
      </c>
      <c r="E406" s="20" t="s">
        <v>330</v>
      </c>
      <c r="F406" s="82" t="s">
        <v>575</v>
      </c>
      <c r="G406" s="58">
        <v>1708</v>
      </c>
      <c r="H406" s="121">
        <v>2440000</v>
      </c>
      <c r="I406" s="24"/>
      <c r="J406" s="24">
        <f>SUM(H406)/1.05</f>
        <v>2323809.5238095238</v>
      </c>
      <c r="K406" s="24">
        <f t="shared" si="31"/>
        <v>2323809.5238095238</v>
      </c>
      <c r="L406" s="123">
        <v>1</v>
      </c>
      <c r="M406" s="24">
        <f t="shared" si="32"/>
        <v>2323809.5238095238</v>
      </c>
      <c r="N406" s="124">
        <f t="shared" si="33"/>
        <v>0</v>
      </c>
      <c r="O406" s="107" t="s">
        <v>499</v>
      </c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130"/>
      <c r="AB406" s="130"/>
      <c r="AC406" s="130"/>
      <c r="AD406" s="130"/>
      <c r="AE406" s="130"/>
      <c r="AF406" s="167"/>
      <c r="AG406" s="167"/>
      <c r="AH406" s="167"/>
      <c r="AI406" s="125"/>
      <c r="AJ406" s="125"/>
      <c r="AK406" s="125"/>
      <c r="AL406" s="125"/>
      <c r="AM406" s="125"/>
      <c r="AN406" s="125"/>
      <c r="AO406" s="125"/>
      <c r="AP406" s="125"/>
      <c r="AQ406" s="125"/>
      <c r="AR406" s="125"/>
      <c r="AS406" s="125"/>
      <c r="AT406" s="125"/>
      <c r="AU406" s="125"/>
      <c r="AV406" s="125"/>
      <c r="AW406" s="125"/>
      <c r="AX406" s="125"/>
      <c r="AY406" s="167"/>
      <c r="AZ406" s="167"/>
      <c r="BA406" s="167"/>
      <c r="BB406" s="167"/>
      <c r="BC406" s="167"/>
      <c r="BD406" s="167"/>
      <c r="BE406" s="167"/>
      <c r="BF406" s="167"/>
      <c r="BG406" s="125"/>
      <c r="BH406" s="125"/>
      <c r="BI406" s="125"/>
      <c r="BJ406" s="125"/>
      <c r="BK406" s="125"/>
      <c r="BL406" s="125"/>
      <c r="BM406" s="125"/>
      <c r="BN406" s="125"/>
      <c r="BO406" s="125"/>
      <c r="BP406" s="125"/>
      <c r="BQ406" s="125"/>
      <c r="BR406" s="125"/>
      <c r="BS406" s="125"/>
      <c r="BT406" s="125"/>
      <c r="BU406" s="125"/>
      <c r="BV406" s="125"/>
      <c r="BW406" s="167"/>
      <c r="BX406" s="167"/>
      <c r="BY406" s="167"/>
      <c r="BZ406" s="167"/>
      <c r="CA406" s="167"/>
      <c r="CB406" s="167"/>
      <c r="CC406" s="167"/>
      <c r="CD406" s="167"/>
      <c r="CE406" s="125"/>
      <c r="CF406" s="125"/>
      <c r="CG406" s="125"/>
      <c r="CH406" s="125"/>
      <c r="CI406" s="125"/>
      <c r="CJ406" s="125"/>
      <c r="CK406" s="125"/>
      <c r="CL406" s="125"/>
      <c r="CM406" s="125"/>
      <c r="CN406" s="125"/>
      <c r="CO406" s="125"/>
      <c r="CP406" s="125"/>
      <c r="CQ406" s="125"/>
      <c r="CR406" s="125"/>
      <c r="CS406" s="125"/>
      <c r="CT406" s="125"/>
      <c r="CU406" s="167"/>
      <c r="CV406" s="167"/>
      <c r="CW406" s="167"/>
      <c r="CX406" s="167"/>
      <c r="CY406" s="167"/>
      <c r="CZ406" s="167"/>
      <c r="DA406" s="167"/>
      <c r="DB406" s="167"/>
      <c r="DC406" s="125"/>
      <c r="DD406" s="125"/>
      <c r="DE406" s="125"/>
      <c r="DF406" s="125"/>
      <c r="DG406" s="125"/>
      <c r="DH406" s="125"/>
      <c r="DI406" s="125"/>
      <c r="DJ406" s="125"/>
      <c r="DK406" s="125"/>
      <c r="DL406" s="125"/>
      <c r="DM406" s="125"/>
      <c r="DN406" s="125"/>
      <c r="DO406" s="125"/>
      <c r="DP406" s="125"/>
      <c r="DQ406" s="125"/>
      <c r="DR406" s="125"/>
      <c r="DS406" s="167"/>
      <c r="DT406" s="167"/>
      <c r="DU406" s="167"/>
      <c r="DV406" s="167"/>
      <c r="DW406" s="167"/>
      <c r="DX406" s="167"/>
      <c r="DY406" s="167"/>
      <c r="DZ406" s="167"/>
      <c r="EA406" s="125"/>
      <c r="EB406" s="125"/>
      <c r="EC406" s="125"/>
      <c r="ED406" s="125"/>
      <c r="EE406" s="125"/>
      <c r="EF406" s="125"/>
      <c r="EG406" s="125"/>
      <c r="EH406" s="125"/>
      <c r="EI406" s="125"/>
      <c r="EJ406" s="125"/>
      <c r="EK406" s="125"/>
      <c r="EL406" s="125"/>
      <c r="EM406" s="125"/>
      <c r="EN406" s="125"/>
      <c r="EO406" s="125"/>
      <c r="EP406" s="125"/>
      <c r="EQ406" s="167"/>
      <c r="ER406" s="167"/>
      <c r="ES406" s="167"/>
      <c r="ET406" s="167"/>
      <c r="EU406" s="167"/>
      <c r="EV406" s="167"/>
      <c r="EW406" s="167"/>
      <c r="EX406" s="167"/>
      <c r="EY406" s="125"/>
      <c r="EZ406" s="125"/>
      <c r="FA406" s="125"/>
      <c r="FB406" s="125"/>
      <c r="FC406" s="125"/>
      <c r="FD406" s="125"/>
      <c r="FE406" s="125"/>
      <c r="FF406" s="125"/>
      <c r="FG406" s="125"/>
      <c r="FH406" s="125"/>
      <c r="FI406" s="125"/>
      <c r="FJ406" s="125"/>
      <c r="FK406" s="125"/>
      <c r="FL406" s="125"/>
      <c r="FM406" s="125"/>
      <c r="FN406" s="125"/>
      <c r="FO406" s="167"/>
      <c r="FP406" s="167"/>
      <c r="FQ406" s="167"/>
      <c r="FR406" s="167"/>
      <c r="FS406" s="167"/>
      <c r="FT406" s="167"/>
      <c r="FU406" s="167"/>
      <c r="FV406" s="167"/>
      <c r="FW406" s="125"/>
      <c r="FX406" s="125"/>
      <c r="FY406" s="125"/>
      <c r="FZ406" s="125"/>
      <c r="GA406" s="125"/>
      <c r="GB406" s="125"/>
      <c r="GC406" s="125"/>
      <c r="GD406" s="125"/>
      <c r="GE406" s="125"/>
      <c r="GF406" s="125"/>
      <c r="GG406" s="125"/>
      <c r="GH406" s="125"/>
      <c r="GI406" s="125"/>
      <c r="GJ406" s="125"/>
      <c r="GK406" s="125"/>
      <c r="GL406" s="125"/>
      <c r="GM406" s="167"/>
      <c r="GN406" s="167"/>
      <c r="GO406" s="167"/>
      <c r="GP406" s="167"/>
      <c r="GQ406" s="167"/>
      <c r="GR406" s="167"/>
      <c r="GS406" s="167"/>
      <c r="GT406" s="167"/>
      <c r="GU406" s="125"/>
      <c r="GV406" s="125"/>
      <c r="GW406" s="125"/>
      <c r="GX406" s="125"/>
      <c r="GY406" s="125"/>
      <c r="GZ406" s="125"/>
      <c r="HA406" s="125"/>
      <c r="HB406" s="125"/>
      <c r="HC406" s="125"/>
      <c r="HD406" s="125"/>
      <c r="HE406" s="125"/>
      <c r="HF406" s="125"/>
      <c r="HG406" s="125"/>
      <c r="HH406" s="125"/>
      <c r="HI406" s="125"/>
      <c r="HJ406" s="125"/>
      <c r="HK406" s="167"/>
      <c r="HL406" s="167"/>
      <c r="HM406" s="167"/>
      <c r="HN406" s="167"/>
      <c r="HO406" s="167"/>
      <c r="HP406" s="167"/>
      <c r="HQ406" s="167"/>
      <c r="HR406" s="167"/>
      <c r="HS406" s="125"/>
      <c r="HT406" s="125"/>
      <c r="HU406" s="125"/>
      <c r="HV406" s="125"/>
      <c r="HW406" s="125"/>
      <c r="HX406" s="125"/>
      <c r="HY406" s="125"/>
      <c r="HZ406" s="125"/>
      <c r="IA406" s="125"/>
      <c r="IB406" s="125"/>
      <c r="IC406" s="125"/>
      <c r="ID406" s="125"/>
      <c r="IE406" s="125"/>
      <c r="IF406" s="125"/>
      <c r="IG406" s="125"/>
      <c r="IH406" s="125"/>
      <c r="II406" s="167"/>
      <c r="IJ406" s="167"/>
      <c r="IK406" s="167"/>
      <c r="IL406" s="167"/>
      <c r="IM406" s="167"/>
      <c r="IN406" s="167"/>
      <c r="IO406" s="167"/>
      <c r="IP406" s="167"/>
      <c r="IQ406" s="125"/>
      <c r="IR406" s="125"/>
      <c r="IS406" s="125"/>
      <c r="IT406" s="125"/>
      <c r="IU406" s="125"/>
      <c r="IV406" s="125"/>
    </row>
    <row r="407" spans="1:256" s="125" customFormat="1">
      <c r="A407" s="80">
        <v>54</v>
      </c>
      <c r="B407" s="17">
        <v>43041</v>
      </c>
      <c r="C407" s="18"/>
      <c r="D407" s="19" t="s">
        <v>323</v>
      </c>
      <c r="E407" s="20" t="s">
        <v>330</v>
      </c>
      <c r="F407" s="168" t="s">
        <v>576</v>
      </c>
      <c r="G407" s="63">
        <v>1708</v>
      </c>
      <c r="H407" s="121">
        <v>2368800</v>
      </c>
      <c r="I407" s="24">
        <v>2256000</v>
      </c>
      <c r="J407" s="24"/>
      <c r="K407" s="24">
        <f t="shared" si="31"/>
        <v>2256000</v>
      </c>
      <c r="L407" s="123">
        <v>1</v>
      </c>
      <c r="M407" s="24">
        <f t="shared" si="32"/>
        <v>2256000</v>
      </c>
      <c r="N407" s="124">
        <f t="shared" si="33"/>
        <v>0</v>
      </c>
      <c r="O407" s="107" t="s">
        <v>499</v>
      </c>
      <c r="P407" s="3"/>
      <c r="Q407" s="140"/>
      <c r="R407" s="3"/>
      <c r="S407" s="3"/>
      <c r="T407" s="3"/>
      <c r="U407" s="3"/>
      <c r="V407" s="3"/>
      <c r="W407" s="3"/>
      <c r="X407" s="3"/>
      <c r="Y407" s="3"/>
      <c r="Z407" s="3"/>
      <c r="AA407" s="130"/>
      <c r="AB407" s="130"/>
      <c r="AC407" s="130"/>
      <c r="AD407" s="130"/>
      <c r="AE407" s="130"/>
      <c r="AF407" s="167"/>
      <c r="AG407" s="167"/>
      <c r="AH407" s="167"/>
      <c r="AY407" s="167"/>
      <c r="AZ407" s="167"/>
      <c r="BA407" s="167"/>
      <c r="BB407" s="167"/>
      <c r="BC407" s="167"/>
      <c r="BD407" s="167"/>
      <c r="BE407" s="167"/>
      <c r="BF407" s="167"/>
      <c r="BW407" s="167"/>
      <c r="BX407" s="167"/>
      <c r="BY407" s="167"/>
      <c r="BZ407" s="167"/>
      <c r="CA407" s="167"/>
      <c r="CB407" s="167"/>
      <c r="CC407" s="167"/>
      <c r="CD407" s="167"/>
      <c r="CU407" s="167"/>
      <c r="CV407" s="167"/>
      <c r="CW407" s="167"/>
      <c r="CX407" s="167"/>
      <c r="CY407" s="167"/>
      <c r="CZ407" s="167"/>
      <c r="DA407" s="167"/>
      <c r="DB407" s="167"/>
      <c r="DS407" s="167"/>
      <c r="DT407" s="167"/>
      <c r="DU407" s="167"/>
      <c r="DV407" s="167"/>
      <c r="DW407" s="167"/>
      <c r="DX407" s="167"/>
      <c r="DY407" s="167"/>
      <c r="DZ407" s="167"/>
      <c r="EQ407" s="167"/>
      <c r="ER407" s="167"/>
      <c r="ES407" s="167"/>
      <c r="ET407" s="167"/>
      <c r="EU407" s="167"/>
      <c r="EV407" s="167"/>
      <c r="EW407" s="167"/>
      <c r="EX407" s="167"/>
      <c r="FO407" s="167"/>
      <c r="FP407" s="167"/>
      <c r="FQ407" s="167"/>
      <c r="FR407" s="167"/>
      <c r="FS407" s="167"/>
      <c r="FT407" s="167"/>
      <c r="FU407" s="167"/>
      <c r="FV407" s="167"/>
      <c r="GM407" s="167"/>
      <c r="GN407" s="167"/>
      <c r="GO407" s="167"/>
      <c r="GP407" s="167"/>
      <c r="GQ407" s="167"/>
      <c r="GR407" s="167"/>
      <c r="GS407" s="167"/>
      <c r="GT407" s="167"/>
      <c r="HK407" s="167"/>
      <c r="HL407" s="167"/>
      <c r="HM407" s="167"/>
      <c r="HN407" s="167"/>
      <c r="HO407" s="167"/>
      <c r="HP407" s="167"/>
      <c r="HQ407" s="167"/>
      <c r="HR407" s="167"/>
      <c r="II407" s="167"/>
      <c r="IJ407" s="167"/>
      <c r="IK407" s="167"/>
      <c r="IL407" s="167"/>
      <c r="IM407" s="167"/>
      <c r="IN407" s="167"/>
      <c r="IO407" s="167"/>
      <c r="IP407" s="167"/>
    </row>
    <row r="408" spans="1:256" s="3" customFormat="1">
      <c r="A408" s="80">
        <v>55</v>
      </c>
      <c r="B408" s="17">
        <v>43074</v>
      </c>
      <c r="C408" s="18"/>
      <c r="D408" s="19" t="s">
        <v>323</v>
      </c>
      <c r="E408" s="20" t="s">
        <v>330</v>
      </c>
      <c r="F408" s="168" t="s">
        <v>577</v>
      </c>
      <c r="G408" s="63">
        <v>1708</v>
      </c>
      <c r="H408" s="121">
        <v>2368800</v>
      </c>
      <c r="I408" s="24"/>
      <c r="J408" s="24">
        <f>SUM(H408)/1.05</f>
        <v>2256000</v>
      </c>
      <c r="K408" s="24">
        <f t="shared" si="31"/>
        <v>2256000</v>
      </c>
      <c r="L408" s="123">
        <v>1</v>
      </c>
      <c r="M408" s="24">
        <f t="shared" si="32"/>
        <v>2256000</v>
      </c>
      <c r="N408" s="124">
        <f t="shared" si="33"/>
        <v>0</v>
      </c>
      <c r="O408" s="107" t="s">
        <v>499</v>
      </c>
      <c r="AA408" s="130"/>
      <c r="AB408" s="130"/>
      <c r="AC408" s="130"/>
      <c r="AD408" s="130"/>
      <c r="AE408" s="130"/>
      <c r="AF408" s="167"/>
      <c r="AG408" s="167"/>
      <c r="AH408" s="167"/>
      <c r="AI408" s="125"/>
      <c r="AJ408" s="125"/>
      <c r="AK408" s="125"/>
      <c r="AL408" s="125"/>
      <c r="AM408" s="125"/>
      <c r="AN408" s="125"/>
      <c r="AO408" s="125"/>
      <c r="AP408" s="125"/>
      <c r="AQ408" s="125"/>
      <c r="AR408" s="125"/>
      <c r="AS408" s="125"/>
      <c r="AT408" s="125"/>
      <c r="AU408" s="125"/>
      <c r="AV408" s="125"/>
      <c r="AW408" s="125"/>
      <c r="AX408" s="125"/>
      <c r="AY408" s="167"/>
      <c r="AZ408" s="167"/>
      <c r="BA408" s="167"/>
      <c r="BB408" s="167"/>
      <c r="BC408" s="167"/>
      <c r="BD408" s="167"/>
      <c r="BE408" s="167"/>
      <c r="BF408" s="167"/>
      <c r="BG408" s="125"/>
      <c r="BH408" s="125"/>
      <c r="BI408" s="125"/>
      <c r="BJ408" s="125"/>
      <c r="BK408" s="125"/>
      <c r="BL408" s="125"/>
      <c r="BM408" s="125"/>
      <c r="BN408" s="125"/>
      <c r="BO408" s="125"/>
      <c r="BP408" s="125"/>
      <c r="BQ408" s="125"/>
      <c r="BR408" s="125"/>
      <c r="BS408" s="125"/>
      <c r="BT408" s="125"/>
      <c r="BU408" s="125"/>
      <c r="BV408" s="125"/>
      <c r="BW408" s="167"/>
      <c r="BX408" s="167"/>
      <c r="BY408" s="167"/>
      <c r="BZ408" s="167"/>
      <c r="CA408" s="167"/>
      <c r="CB408" s="167"/>
      <c r="CC408" s="167"/>
      <c r="CD408" s="167"/>
      <c r="CE408" s="125"/>
      <c r="CF408" s="125"/>
      <c r="CG408" s="125"/>
      <c r="CH408" s="125"/>
      <c r="CI408" s="125"/>
      <c r="CJ408" s="125"/>
      <c r="CK408" s="125"/>
      <c r="CL408" s="125"/>
      <c r="CM408" s="125"/>
      <c r="CN408" s="125"/>
      <c r="CO408" s="125"/>
      <c r="CP408" s="125"/>
      <c r="CQ408" s="125"/>
      <c r="CR408" s="125"/>
      <c r="CS408" s="125"/>
      <c r="CT408" s="125"/>
      <c r="CU408" s="167"/>
      <c r="CV408" s="167"/>
      <c r="CW408" s="167"/>
      <c r="CX408" s="167"/>
      <c r="CY408" s="167"/>
      <c r="CZ408" s="167"/>
      <c r="DA408" s="167"/>
      <c r="DB408" s="167"/>
      <c r="DC408" s="125"/>
      <c r="DD408" s="125"/>
      <c r="DE408" s="125"/>
      <c r="DF408" s="125"/>
      <c r="DG408" s="125"/>
      <c r="DH408" s="125"/>
      <c r="DI408" s="125"/>
      <c r="DJ408" s="125"/>
      <c r="DK408" s="125"/>
      <c r="DL408" s="125"/>
      <c r="DM408" s="125"/>
      <c r="DN408" s="125"/>
      <c r="DO408" s="125"/>
      <c r="DP408" s="125"/>
      <c r="DQ408" s="125"/>
      <c r="DR408" s="125"/>
      <c r="DS408" s="167"/>
      <c r="DT408" s="167"/>
      <c r="DU408" s="167"/>
      <c r="DV408" s="167"/>
      <c r="DW408" s="167"/>
      <c r="DX408" s="167"/>
      <c r="DY408" s="167"/>
      <c r="DZ408" s="167"/>
      <c r="EA408" s="125"/>
      <c r="EB408" s="125"/>
      <c r="EC408" s="125"/>
      <c r="ED408" s="125"/>
      <c r="EE408" s="125"/>
      <c r="EF408" s="125"/>
      <c r="EG408" s="125"/>
      <c r="EH408" s="125"/>
      <c r="EI408" s="125"/>
      <c r="EJ408" s="125"/>
      <c r="EK408" s="125"/>
      <c r="EL408" s="125"/>
      <c r="EM408" s="125"/>
      <c r="EN408" s="125"/>
      <c r="EO408" s="125"/>
      <c r="EP408" s="125"/>
      <c r="EQ408" s="167"/>
      <c r="ER408" s="167"/>
      <c r="ES408" s="167"/>
      <c r="ET408" s="167"/>
      <c r="EU408" s="167"/>
      <c r="EV408" s="167"/>
      <c r="EW408" s="167"/>
      <c r="EX408" s="167"/>
      <c r="EY408" s="125"/>
      <c r="EZ408" s="125"/>
      <c r="FA408" s="125"/>
      <c r="FB408" s="125"/>
      <c r="FC408" s="125"/>
      <c r="FD408" s="125"/>
      <c r="FE408" s="125"/>
      <c r="FF408" s="125"/>
      <c r="FG408" s="125"/>
      <c r="FH408" s="125"/>
      <c r="FI408" s="125"/>
      <c r="FJ408" s="125"/>
      <c r="FK408" s="125"/>
      <c r="FL408" s="125"/>
      <c r="FM408" s="125"/>
      <c r="FN408" s="125"/>
      <c r="FO408" s="167"/>
      <c r="FP408" s="167"/>
      <c r="FQ408" s="167"/>
      <c r="FR408" s="167"/>
      <c r="FS408" s="167"/>
      <c r="FT408" s="167"/>
      <c r="FU408" s="167"/>
      <c r="FV408" s="167"/>
      <c r="FW408" s="125"/>
      <c r="FX408" s="125"/>
      <c r="FY408" s="125"/>
      <c r="FZ408" s="125"/>
      <c r="GA408" s="125"/>
      <c r="GB408" s="125"/>
      <c r="GC408" s="125"/>
      <c r="GD408" s="125"/>
      <c r="GE408" s="125"/>
      <c r="GF408" s="125"/>
      <c r="GG408" s="125"/>
      <c r="GH408" s="125"/>
      <c r="GI408" s="125"/>
      <c r="GJ408" s="125"/>
      <c r="GK408" s="125"/>
      <c r="GL408" s="125"/>
      <c r="GM408" s="167"/>
      <c r="GN408" s="167"/>
      <c r="GO408" s="167"/>
      <c r="GP408" s="167"/>
      <c r="GQ408" s="167"/>
      <c r="GR408" s="167"/>
      <c r="GS408" s="167"/>
      <c r="GT408" s="167"/>
      <c r="GU408" s="125"/>
      <c r="GV408" s="125"/>
      <c r="GW408" s="125"/>
      <c r="GX408" s="125"/>
      <c r="GY408" s="125"/>
      <c r="GZ408" s="125"/>
      <c r="HA408" s="125"/>
      <c r="HB408" s="125"/>
      <c r="HC408" s="125"/>
      <c r="HD408" s="125"/>
      <c r="HE408" s="125"/>
      <c r="HF408" s="125"/>
      <c r="HG408" s="125"/>
      <c r="HH408" s="125"/>
      <c r="HI408" s="125"/>
      <c r="HJ408" s="125"/>
      <c r="HK408" s="167"/>
      <c r="HL408" s="167"/>
      <c r="HM408" s="167"/>
      <c r="HN408" s="167"/>
      <c r="HO408" s="167"/>
      <c r="HP408" s="167"/>
      <c r="HQ408" s="167"/>
      <c r="HR408" s="167"/>
      <c r="HS408" s="125"/>
      <c r="HT408" s="125"/>
      <c r="HU408" s="125"/>
      <c r="HV408" s="125"/>
      <c r="HW408" s="125"/>
      <c r="HX408" s="125"/>
      <c r="HY408" s="125"/>
      <c r="HZ408" s="125"/>
      <c r="IA408" s="125"/>
      <c r="IB408" s="125"/>
      <c r="IC408" s="125"/>
      <c r="ID408" s="125"/>
      <c r="IE408" s="125"/>
      <c r="IF408" s="125"/>
      <c r="IG408" s="125"/>
      <c r="IH408" s="125"/>
      <c r="II408" s="167"/>
      <c r="IJ408" s="167"/>
      <c r="IK408" s="167"/>
      <c r="IL408" s="167"/>
      <c r="IM408" s="167"/>
      <c r="IN408" s="167"/>
      <c r="IO408" s="167"/>
      <c r="IP408" s="167"/>
      <c r="IQ408" s="125"/>
      <c r="IR408" s="125"/>
      <c r="IS408" s="125"/>
      <c r="IT408" s="125"/>
      <c r="IU408" s="125"/>
      <c r="IV408" s="125"/>
    </row>
    <row r="409" spans="1:256" s="3" customFormat="1">
      <c r="A409" s="80">
        <v>56</v>
      </c>
      <c r="B409" s="17">
        <v>43063</v>
      </c>
      <c r="C409" s="18"/>
      <c r="D409" s="19" t="s">
        <v>323</v>
      </c>
      <c r="E409" s="20" t="s">
        <v>330</v>
      </c>
      <c r="F409" s="82" t="s">
        <v>578</v>
      </c>
      <c r="G409" s="58">
        <v>1709</v>
      </c>
      <c r="H409" s="121">
        <f>222300+2368800</f>
        <v>2591100</v>
      </c>
      <c r="I409" s="24">
        <v>2467714</v>
      </c>
      <c r="J409" s="24"/>
      <c r="K409" s="24">
        <f t="shared" ref="K409:K472" si="37">I409+J409</f>
        <v>2467714</v>
      </c>
      <c r="L409" s="123">
        <v>1</v>
      </c>
      <c r="M409" s="24">
        <f t="shared" ref="M409:M472" si="38">K409*L409</f>
        <v>2467714</v>
      </c>
      <c r="N409" s="124">
        <f t="shared" ref="N409:N472" si="39">K409-M409</f>
        <v>0</v>
      </c>
      <c r="O409" s="107" t="s">
        <v>499</v>
      </c>
      <c r="AA409" s="130"/>
      <c r="AB409" s="130"/>
      <c r="AC409" s="130"/>
      <c r="AD409" s="130"/>
      <c r="AE409" s="130"/>
      <c r="AF409" s="167"/>
      <c r="AG409" s="167"/>
      <c r="AH409" s="167"/>
      <c r="AI409" s="125"/>
      <c r="AJ409" s="125"/>
      <c r="AK409" s="125"/>
      <c r="AL409" s="125"/>
      <c r="AM409" s="125"/>
      <c r="AN409" s="125"/>
      <c r="AO409" s="125"/>
      <c r="AP409" s="125"/>
      <c r="AQ409" s="125"/>
      <c r="AR409" s="125"/>
      <c r="AS409" s="125"/>
      <c r="AT409" s="125"/>
      <c r="AU409" s="125"/>
      <c r="AV409" s="125"/>
      <c r="AW409" s="125"/>
      <c r="AX409" s="125"/>
      <c r="AY409" s="167"/>
      <c r="AZ409" s="167"/>
      <c r="BA409" s="167"/>
      <c r="BB409" s="167"/>
      <c r="BC409" s="167"/>
      <c r="BD409" s="167"/>
      <c r="BE409" s="167"/>
      <c r="BF409" s="167"/>
      <c r="BG409" s="125"/>
      <c r="BH409" s="125"/>
      <c r="BI409" s="125"/>
      <c r="BJ409" s="125"/>
      <c r="BK409" s="125"/>
      <c r="BL409" s="125"/>
      <c r="BM409" s="125"/>
      <c r="BN409" s="125"/>
      <c r="BO409" s="125"/>
      <c r="BP409" s="125"/>
      <c r="BQ409" s="125"/>
      <c r="BR409" s="125"/>
      <c r="BS409" s="125"/>
      <c r="BT409" s="125"/>
      <c r="BU409" s="125"/>
      <c r="BV409" s="125"/>
      <c r="BW409" s="167"/>
      <c r="BX409" s="167"/>
      <c r="BY409" s="167"/>
      <c r="BZ409" s="167"/>
      <c r="CA409" s="167"/>
      <c r="CB409" s="167"/>
      <c r="CC409" s="167"/>
      <c r="CD409" s="167"/>
      <c r="CE409" s="125"/>
      <c r="CF409" s="125"/>
      <c r="CG409" s="125"/>
      <c r="CH409" s="125"/>
      <c r="CI409" s="125"/>
      <c r="CJ409" s="125"/>
      <c r="CK409" s="125"/>
      <c r="CL409" s="125"/>
      <c r="CM409" s="125"/>
      <c r="CN409" s="125"/>
      <c r="CO409" s="125"/>
      <c r="CP409" s="125"/>
      <c r="CQ409" s="125"/>
      <c r="CR409" s="125"/>
      <c r="CS409" s="125"/>
      <c r="CT409" s="125"/>
      <c r="CU409" s="167"/>
      <c r="CV409" s="167"/>
      <c r="CW409" s="167"/>
      <c r="CX409" s="167"/>
      <c r="CY409" s="167"/>
      <c r="CZ409" s="167"/>
      <c r="DA409" s="167"/>
      <c r="DB409" s="167"/>
      <c r="DC409" s="125"/>
      <c r="DD409" s="125"/>
      <c r="DE409" s="125"/>
      <c r="DF409" s="125"/>
      <c r="DG409" s="125"/>
      <c r="DH409" s="125"/>
      <c r="DI409" s="125"/>
      <c r="DJ409" s="125"/>
      <c r="DK409" s="125"/>
      <c r="DL409" s="125"/>
      <c r="DM409" s="125"/>
      <c r="DN409" s="125"/>
      <c r="DO409" s="125"/>
      <c r="DP409" s="125"/>
      <c r="DQ409" s="125"/>
      <c r="DR409" s="125"/>
      <c r="DS409" s="167"/>
      <c r="DT409" s="167"/>
      <c r="DU409" s="167"/>
      <c r="DV409" s="167"/>
      <c r="DW409" s="167"/>
      <c r="DX409" s="167"/>
      <c r="DY409" s="167"/>
      <c r="DZ409" s="167"/>
      <c r="EA409" s="125"/>
      <c r="EB409" s="125"/>
      <c r="EC409" s="125"/>
      <c r="ED409" s="125"/>
      <c r="EE409" s="125"/>
      <c r="EF409" s="125"/>
      <c r="EG409" s="125"/>
      <c r="EH409" s="125"/>
      <c r="EI409" s="125"/>
      <c r="EJ409" s="125"/>
      <c r="EK409" s="125"/>
      <c r="EL409" s="125"/>
      <c r="EM409" s="125"/>
      <c r="EN409" s="125"/>
      <c r="EO409" s="125"/>
      <c r="EP409" s="125"/>
      <c r="EQ409" s="167"/>
      <c r="ER409" s="167"/>
      <c r="ES409" s="167"/>
      <c r="ET409" s="167"/>
      <c r="EU409" s="167"/>
      <c r="EV409" s="167"/>
      <c r="EW409" s="167"/>
      <c r="EX409" s="167"/>
      <c r="EY409" s="125"/>
      <c r="EZ409" s="125"/>
      <c r="FA409" s="125"/>
      <c r="FB409" s="125"/>
      <c r="FC409" s="125"/>
      <c r="FD409" s="125"/>
      <c r="FE409" s="125"/>
      <c r="FF409" s="125"/>
      <c r="FG409" s="125"/>
      <c r="FH409" s="125"/>
      <c r="FI409" s="125"/>
      <c r="FJ409" s="125"/>
      <c r="FK409" s="125"/>
      <c r="FL409" s="125"/>
      <c r="FM409" s="125"/>
      <c r="FN409" s="125"/>
      <c r="FO409" s="167"/>
      <c r="FP409" s="167"/>
      <c r="FQ409" s="167"/>
      <c r="FR409" s="167"/>
      <c r="FS409" s="167"/>
      <c r="FT409" s="167"/>
      <c r="FU409" s="167"/>
      <c r="FV409" s="167"/>
      <c r="FW409" s="125"/>
      <c r="FX409" s="125"/>
      <c r="FY409" s="125"/>
      <c r="FZ409" s="125"/>
      <c r="GA409" s="125"/>
      <c r="GB409" s="125"/>
      <c r="GC409" s="125"/>
      <c r="GD409" s="125"/>
      <c r="GE409" s="125"/>
      <c r="GF409" s="125"/>
      <c r="GG409" s="125"/>
      <c r="GH409" s="125"/>
      <c r="GI409" s="125"/>
      <c r="GJ409" s="125"/>
      <c r="GK409" s="125"/>
      <c r="GL409" s="125"/>
      <c r="GM409" s="167"/>
      <c r="GN409" s="167"/>
      <c r="GO409" s="167"/>
      <c r="GP409" s="167"/>
      <c r="GQ409" s="167"/>
      <c r="GR409" s="167"/>
      <c r="GS409" s="167"/>
      <c r="GT409" s="167"/>
      <c r="GU409" s="125"/>
      <c r="GV409" s="125"/>
      <c r="GW409" s="125"/>
      <c r="GX409" s="125"/>
      <c r="GY409" s="125"/>
      <c r="GZ409" s="125"/>
      <c r="HA409" s="125"/>
      <c r="HB409" s="125"/>
      <c r="HC409" s="125"/>
      <c r="HD409" s="125"/>
      <c r="HE409" s="125"/>
      <c r="HF409" s="125"/>
      <c r="HG409" s="125"/>
      <c r="HH409" s="125"/>
      <c r="HI409" s="125"/>
      <c r="HJ409" s="125"/>
      <c r="HK409" s="167"/>
      <c r="HL409" s="167"/>
      <c r="HM409" s="167"/>
      <c r="HN409" s="167"/>
      <c r="HO409" s="167"/>
      <c r="HP409" s="167"/>
      <c r="HQ409" s="167"/>
      <c r="HR409" s="167"/>
      <c r="HS409" s="125"/>
      <c r="HT409" s="125"/>
      <c r="HU409" s="125"/>
      <c r="HV409" s="125"/>
      <c r="HW409" s="125"/>
      <c r="HX409" s="125"/>
      <c r="HY409" s="125"/>
      <c r="HZ409" s="125"/>
      <c r="IA409" s="125"/>
      <c r="IB409" s="125"/>
      <c r="IC409" s="125"/>
      <c r="ID409" s="125"/>
      <c r="IE409" s="125"/>
      <c r="IF409" s="125"/>
      <c r="IG409" s="125"/>
      <c r="IH409" s="125"/>
      <c r="II409" s="167"/>
      <c r="IJ409" s="167"/>
      <c r="IK409" s="167"/>
      <c r="IL409" s="167"/>
      <c r="IM409" s="167"/>
      <c r="IN409" s="167"/>
      <c r="IO409" s="167"/>
      <c r="IP409" s="167"/>
      <c r="IQ409" s="125"/>
      <c r="IR409" s="125"/>
      <c r="IS409" s="125"/>
      <c r="IT409" s="125"/>
      <c r="IU409" s="125"/>
      <c r="IV409" s="125"/>
    </row>
    <row r="410" spans="1:256" s="3" customFormat="1">
      <c r="A410" s="80">
        <v>57</v>
      </c>
      <c r="B410" s="128">
        <v>43003</v>
      </c>
      <c r="C410" s="18"/>
      <c r="D410" s="19" t="s">
        <v>571</v>
      </c>
      <c r="E410" s="20" t="s">
        <v>341</v>
      </c>
      <c r="F410" s="82" t="s">
        <v>579</v>
      </c>
      <c r="G410" s="63">
        <v>1707</v>
      </c>
      <c r="H410" s="121">
        <v>2641000</v>
      </c>
      <c r="I410" s="24">
        <v>2515238</v>
      </c>
      <c r="J410" s="24"/>
      <c r="K410" s="24">
        <f t="shared" si="37"/>
        <v>2515238</v>
      </c>
      <c r="L410" s="123">
        <v>1</v>
      </c>
      <c r="M410" s="24">
        <f t="shared" si="38"/>
        <v>2515238</v>
      </c>
      <c r="N410" s="124">
        <f t="shared" si="39"/>
        <v>0</v>
      </c>
      <c r="O410" s="107" t="s">
        <v>499</v>
      </c>
      <c r="AA410" s="130"/>
      <c r="AB410" s="130"/>
      <c r="AC410" s="130"/>
      <c r="AD410" s="130"/>
      <c r="AE410" s="130"/>
      <c r="AF410" s="130"/>
      <c r="AG410" s="130"/>
      <c r="AH410" s="130"/>
      <c r="AY410" s="130"/>
      <c r="AZ410" s="130"/>
      <c r="BA410" s="130"/>
      <c r="BB410" s="130"/>
      <c r="BC410" s="130"/>
      <c r="BD410" s="130"/>
      <c r="BE410" s="130"/>
      <c r="BF410" s="130"/>
      <c r="BW410" s="130"/>
      <c r="BX410" s="130"/>
      <c r="BY410" s="130"/>
      <c r="BZ410" s="130"/>
      <c r="CA410" s="130"/>
      <c r="CB410" s="130"/>
      <c r="CC410" s="130"/>
      <c r="CD410" s="130"/>
      <c r="CU410" s="130"/>
      <c r="CV410" s="130"/>
      <c r="CW410" s="130"/>
      <c r="CX410" s="130"/>
      <c r="CY410" s="130"/>
      <c r="CZ410" s="130"/>
      <c r="DA410" s="130"/>
      <c r="DB410" s="130"/>
      <c r="DS410" s="130"/>
      <c r="DT410" s="130"/>
      <c r="DU410" s="130"/>
      <c r="DV410" s="130"/>
      <c r="DW410" s="130"/>
      <c r="DX410" s="130"/>
      <c r="DY410" s="130"/>
      <c r="DZ410" s="130"/>
      <c r="EQ410" s="130"/>
      <c r="ER410" s="130"/>
      <c r="ES410" s="130"/>
      <c r="ET410" s="130"/>
      <c r="EU410" s="130"/>
      <c r="EV410" s="130"/>
      <c r="EW410" s="130"/>
      <c r="EX410" s="130"/>
      <c r="FO410" s="130"/>
      <c r="FP410" s="130"/>
      <c r="FQ410" s="130"/>
      <c r="FR410" s="130"/>
      <c r="FS410" s="130"/>
      <c r="FT410" s="130"/>
      <c r="FU410" s="130"/>
      <c r="FV410" s="130"/>
      <c r="GM410" s="130"/>
      <c r="GN410" s="130"/>
      <c r="GO410" s="130"/>
      <c r="GP410" s="130"/>
      <c r="GQ410" s="130"/>
      <c r="GR410" s="130"/>
      <c r="GS410" s="130"/>
      <c r="GT410" s="130"/>
      <c r="HK410" s="130"/>
      <c r="HL410" s="130"/>
      <c r="HM410" s="130"/>
      <c r="HN410" s="130"/>
      <c r="HO410" s="130"/>
      <c r="HP410" s="130"/>
      <c r="HQ410" s="130"/>
      <c r="HR410" s="130"/>
      <c r="II410" s="130"/>
      <c r="IJ410" s="130"/>
      <c r="IK410" s="130"/>
      <c r="IL410" s="130"/>
      <c r="IM410" s="130"/>
      <c r="IN410" s="130"/>
      <c r="IO410" s="130"/>
      <c r="IP410" s="130"/>
    </row>
    <row r="411" spans="1:256" s="3" customFormat="1">
      <c r="A411" s="80">
        <v>58</v>
      </c>
      <c r="B411" s="29">
        <v>43075</v>
      </c>
      <c r="C411" s="18"/>
      <c r="D411" s="19" t="s">
        <v>323</v>
      </c>
      <c r="E411" s="20" t="s">
        <v>341</v>
      </c>
      <c r="F411" s="82" t="s">
        <v>580</v>
      </c>
      <c r="G411" s="58">
        <v>1707</v>
      </c>
      <c r="H411" s="121">
        <v>2556800</v>
      </c>
      <c r="I411" s="24"/>
      <c r="J411" s="24">
        <f>SUM(H411)/1.05</f>
        <v>2435047.6190476189</v>
      </c>
      <c r="K411" s="24">
        <f t="shared" si="37"/>
        <v>2435047.6190476189</v>
      </c>
      <c r="L411" s="123">
        <v>1</v>
      </c>
      <c r="M411" s="24">
        <f t="shared" si="38"/>
        <v>2435047.6190476189</v>
      </c>
      <c r="N411" s="124">
        <f t="shared" si="39"/>
        <v>0</v>
      </c>
      <c r="O411" s="107" t="s">
        <v>499</v>
      </c>
      <c r="AA411" s="130"/>
      <c r="AB411" s="130"/>
      <c r="AC411" s="130"/>
      <c r="AD411" s="130"/>
      <c r="AE411" s="130"/>
      <c r="AF411" s="130"/>
      <c r="AG411" s="130"/>
      <c r="AH411" s="130"/>
      <c r="AY411" s="130"/>
      <c r="AZ411" s="130"/>
      <c r="BA411" s="130"/>
      <c r="BB411" s="130"/>
      <c r="BC411" s="130"/>
      <c r="BD411" s="130"/>
      <c r="BE411" s="130"/>
      <c r="BF411" s="130"/>
      <c r="BW411" s="130"/>
      <c r="BX411" s="130"/>
      <c r="BY411" s="130"/>
      <c r="BZ411" s="130"/>
      <c r="CA411" s="130"/>
      <c r="CB411" s="130"/>
      <c r="CC411" s="130"/>
      <c r="CD411" s="130"/>
      <c r="CU411" s="130"/>
      <c r="CV411" s="130"/>
      <c r="CW411" s="130"/>
      <c r="CX411" s="130"/>
      <c r="CY411" s="130"/>
      <c r="CZ411" s="130"/>
      <c r="DA411" s="130"/>
      <c r="DB411" s="130"/>
      <c r="DS411" s="130"/>
      <c r="DT411" s="130"/>
      <c r="DU411" s="130"/>
      <c r="DV411" s="130"/>
      <c r="DW411" s="130"/>
      <c r="DX411" s="130"/>
      <c r="DY411" s="130"/>
      <c r="DZ411" s="130"/>
      <c r="EQ411" s="130"/>
      <c r="ER411" s="130"/>
      <c r="ES411" s="130"/>
      <c r="ET411" s="130"/>
      <c r="EU411" s="130"/>
      <c r="EV411" s="130"/>
      <c r="EW411" s="130"/>
      <c r="EX411" s="130"/>
      <c r="FO411" s="130"/>
      <c r="FP411" s="130"/>
      <c r="FQ411" s="130"/>
      <c r="FR411" s="130"/>
      <c r="FS411" s="130"/>
      <c r="FT411" s="130"/>
      <c r="FU411" s="130"/>
      <c r="FV411" s="130"/>
      <c r="GM411" s="130"/>
      <c r="GN411" s="130"/>
      <c r="GO411" s="130"/>
      <c r="GP411" s="130"/>
      <c r="GQ411" s="130"/>
      <c r="GR411" s="130"/>
      <c r="GS411" s="130"/>
      <c r="GT411" s="130"/>
      <c r="HK411" s="130"/>
      <c r="HL411" s="130"/>
      <c r="HM411" s="130"/>
      <c r="HN411" s="130"/>
      <c r="HO411" s="130"/>
      <c r="HP411" s="130"/>
      <c r="HQ411" s="130"/>
      <c r="HR411" s="130"/>
      <c r="II411" s="130"/>
      <c r="IJ411" s="130"/>
      <c r="IK411" s="130"/>
      <c r="IL411" s="130"/>
      <c r="IM411" s="130"/>
      <c r="IN411" s="130"/>
      <c r="IO411" s="130"/>
      <c r="IP411" s="130"/>
    </row>
    <row r="412" spans="1:256" s="3" customFormat="1">
      <c r="A412" s="80">
        <v>59</v>
      </c>
      <c r="B412" s="17">
        <v>42991</v>
      </c>
      <c r="C412" s="18"/>
      <c r="D412" s="19" t="s">
        <v>571</v>
      </c>
      <c r="E412" s="20" t="s">
        <v>344</v>
      </c>
      <c r="F412" s="120" t="s">
        <v>581</v>
      </c>
      <c r="G412" s="63">
        <v>1707</v>
      </c>
      <c r="H412" s="121">
        <v>2580300</v>
      </c>
      <c r="I412" s="24">
        <v>2457429</v>
      </c>
      <c r="J412" s="24"/>
      <c r="K412" s="24">
        <f t="shared" si="37"/>
        <v>2457429</v>
      </c>
      <c r="L412" s="123">
        <v>1</v>
      </c>
      <c r="M412" s="24">
        <f t="shared" si="38"/>
        <v>2457429</v>
      </c>
      <c r="N412" s="124">
        <f t="shared" si="39"/>
        <v>0</v>
      </c>
      <c r="O412" s="107" t="s">
        <v>499</v>
      </c>
      <c r="Y412" s="131"/>
      <c r="Z412" s="15"/>
      <c r="AA412" s="132"/>
      <c r="AB412" s="133"/>
      <c r="AC412" s="134"/>
      <c r="AD412" s="134"/>
      <c r="AE412" s="135"/>
      <c r="AF412" s="182"/>
      <c r="AG412" s="183"/>
      <c r="AH412" s="183"/>
      <c r="AI412" s="125"/>
      <c r="AJ412" s="184"/>
      <c r="AK412" s="185"/>
      <c r="AL412" s="186"/>
      <c r="AM412" s="125"/>
      <c r="AN412" s="125"/>
      <c r="AO412" s="125"/>
      <c r="AP412" s="125"/>
      <c r="AQ412" s="125"/>
      <c r="AR412" s="125"/>
      <c r="AS412" s="125"/>
      <c r="AT412" s="125"/>
      <c r="AU412" s="125"/>
      <c r="AV412" s="125"/>
      <c r="AW412" s="187"/>
      <c r="AX412" s="188"/>
      <c r="AY412" s="189"/>
      <c r="AZ412" s="190"/>
      <c r="BA412" s="191"/>
      <c r="BB412" s="191"/>
      <c r="BC412" s="192"/>
      <c r="BD412" s="182"/>
      <c r="BE412" s="183"/>
      <c r="BF412" s="183"/>
      <c r="BG412" s="125"/>
      <c r="BH412" s="184"/>
      <c r="BI412" s="185"/>
      <c r="BJ412" s="186"/>
      <c r="BK412" s="125"/>
      <c r="BL412" s="125"/>
      <c r="BM412" s="125"/>
      <c r="BN412" s="125"/>
      <c r="BO412" s="125"/>
      <c r="BP412" s="125"/>
      <c r="BQ412" s="125"/>
      <c r="BR412" s="125"/>
      <c r="BS412" s="125"/>
      <c r="BT412" s="125"/>
      <c r="BU412" s="187"/>
      <c r="BV412" s="188"/>
      <c r="BW412" s="189"/>
      <c r="BX412" s="190"/>
      <c r="BY412" s="191"/>
      <c r="BZ412" s="191"/>
      <c r="CA412" s="192"/>
      <c r="CB412" s="182"/>
      <c r="CC412" s="183"/>
      <c r="CD412" s="183"/>
      <c r="CE412" s="125"/>
      <c r="CF412" s="184"/>
      <c r="CG412" s="185"/>
      <c r="CH412" s="186"/>
      <c r="CI412" s="125"/>
      <c r="CJ412" s="125"/>
      <c r="CK412" s="125"/>
      <c r="CL412" s="125"/>
      <c r="CM412" s="125"/>
      <c r="CN412" s="125"/>
      <c r="CO412" s="125"/>
      <c r="CP412" s="125"/>
      <c r="CQ412" s="125"/>
      <c r="CR412" s="125"/>
      <c r="CS412" s="187"/>
      <c r="CT412" s="188"/>
      <c r="CU412" s="189"/>
      <c r="CV412" s="190"/>
      <c r="CW412" s="191"/>
      <c r="CX412" s="191"/>
      <c r="CY412" s="192"/>
      <c r="CZ412" s="182"/>
      <c r="DA412" s="183"/>
      <c r="DB412" s="183"/>
      <c r="DC412" s="125"/>
      <c r="DD412" s="184"/>
      <c r="DE412" s="185"/>
      <c r="DF412" s="186"/>
      <c r="DG412" s="125"/>
      <c r="DH412" s="125"/>
      <c r="DI412" s="125"/>
      <c r="DJ412" s="125"/>
      <c r="DK412" s="125"/>
      <c r="DL412" s="125"/>
      <c r="DM412" s="125"/>
      <c r="DN412" s="125"/>
      <c r="DO412" s="125"/>
      <c r="DP412" s="125"/>
      <c r="DQ412" s="187"/>
      <c r="DR412" s="188"/>
      <c r="DS412" s="189"/>
      <c r="DT412" s="190"/>
      <c r="DU412" s="191"/>
      <c r="DV412" s="191"/>
      <c r="DW412" s="192"/>
      <c r="DX412" s="182"/>
      <c r="DY412" s="183"/>
      <c r="DZ412" s="183"/>
      <c r="EA412" s="125"/>
      <c r="EB412" s="184"/>
      <c r="EC412" s="185"/>
      <c r="ED412" s="186"/>
      <c r="EE412" s="125"/>
      <c r="EF412" s="125"/>
      <c r="EG412" s="125"/>
      <c r="EH412" s="125"/>
      <c r="EI412" s="125"/>
      <c r="EJ412" s="125"/>
      <c r="EK412" s="125"/>
      <c r="EL412" s="125"/>
      <c r="EM412" s="125"/>
      <c r="EN412" s="125"/>
      <c r="EO412" s="187"/>
      <c r="EP412" s="188"/>
      <c r="EQ412" s="189"/>
      <c r="ER412" s="190"/>
      <c r="ES412" s="191"/>
      <c r="ET412" s="191"/>
      <c r="EU412" s="192"/>
      <c r="EV412" s="182"/>
      <c r="EW412" s="183"/>
      <c r="EX412" s="183"/>
      <c r="EY412" s="125"/>
      <c r="EZ412" s="184"/>
      <c r="FA412" s="185"/>
      <c r="FB412" s="186"/>
      <c r="FC412" s="125"/>
      <c r="FD412" s="125"/>
      <c r="FE412" s="125"/>
      <c r="FF412" s="125"/>
      <c r="FG412" s="125"/>
      <c r="FH412" s="125"/>
      <c r="FI412" s="125"/>
      <c r="FJ412" s="125"/>
      <c r="FK412" s="125"/>
      <c r="FL412" s="125"/>
      <c r="FM412" s="187"/>
      <c r="FN412" s="188"/>
      <c r="FO412" s="189"/>
      <c r="FP412" s="190"/>
      <c r="FQ412" s="191"/>
      <c r="FR412" s="191"/>
      <c r="FS412" s="192"/>
      <c r="FT412" s="182"/>
      <c r="FU412" s="183"/>
      <c r="FV412" s="183"/>
      <c r="FW412" s="125"/>
      <c r="FX412" s="184"/>
      <c r="FY412" s="185"/>
      <c r="FZ412" s="186"/>
      <c r="GA412" s="125"/>
      <c r="GB412" s="125"/>
      <c r="GC412" s="125"/>
      <c r="GD412" s="125"/>
      <c r="GE412" s="125"/>
      <c r="GF412" s="125"/>
      <c r="GG412" s="125"/>
      <c r="GH412" s="125"/>
      <c r="GI412" s="125"/>
      <c r="GJ412" s="125"/>
      <c r="GK412" s="187"/>
      <c r="GL412" s="188"/>
      <c r="GM412" s="189"/>
      <c r="GN412" s="190"/>
      <c r="GO412" s="191"/>
      <c r="GP412" s="191"/>
      <c r="GQ412" s="192"/>
      <c r="GR412" s="182"/>
      <c r="GS412" s="183"/>
      <c r="GT412" s="183"/>
      <c r="GU412" s="125"/>
      <c r="GV412" s="184"/>
      <c r="GW412" s="185"/>
      <c r="GX412" s="186"/>
      <c r="GY412" s="125"/>
      <c r="GZ412" s="125"/>
      <c r="HA412" s="125"/>
      <c r="HB412" s="125"/>
      <c r="HC412" s="125"/>
      <c r="HD412" s="125"/>
      <c r="HE412" s="125"/>
      <c r="HF412" s="125"/>
      <c r="HG412" s="125"/>
      <c r="HH412" s="125"/>
      <c r="HI412" s="187"/>
      <c r="HJ412" s="188"/>
      <c r="HK412" s="189"/>
      <c r="HL412" s="190"/>
      <c r="HM412" s="191"/>
      <c r="HN412" s="191"/>
      <c r="HO412" s="192"/>
      <c r="HP412" s="182"/>
      <c r="HQ412" s="183"/>
      <c r="HR412" s="183"/>
      <c r="HS412" s="125"/>
      <c r="HT412" s="184"/>
      <c r="HU412" s="185"/>
      <c r="HV412" s="186"/>
      <c r="HW412" s="125"/>
      <c r="HX412" s="125"/>
      <c r="HY412" s="125"/>
      <c r="HZ412" s="125"/>
      <c r="IA412" s="125"/>
      <c r="IB412" s="125"/>
      <c r="IC412" s="125"/>
      <c r="ID412" s="125"/>
      <c r="IE412" s="125"/>
      <c r="IF412" s="125"/>
      <c r="IG412" s="187"/>
      <c r="IH412" s="188"/>
      <c r="II412" s="189"/>
      <c r="IJ412" s="190"/>
      <c r="IK412" s="191"/>
      <c r="IL412" s="191"/>
      <c r="IM412" s="192"/>
      <c r="IN412" s="182"/>
      <c r="IO412" s="183"/>
      <c r="IP412" s="183"/>
      <c r="IQ412" s="125"/>
      <c r="IR412" s="184"/>
      <c r="IS412" s="185"/>
      <c r="IT412" s="186"/>
      <c r="IU412" s="125"/>
      <c r="IV412" s="125"/>
    </row>
    <row r="413" spans="1:256" s="3" customFormat="1">
      <c r="A413" s="80">
        <v>60</v>
      </c>
      <c r="B413" s="29">
        <v>42898</v>
      </c>
      <c r="C413" s="18"/>
      <c r="D413" s="19">
        <v>5</v>
      </c>
      <c r="E413" s="20" t="s">
        <v>582</v>
      </c>
      <c r="F413" s="82" t="s">
        <v>583</v>
      </c>
      <c r="G413" s="58">
        <v>1701</v>
      </c>
      <c r="H413" s="121">
        <f>17100</f>
        <v>17100</v>
      </c>
      <c r="I413" s="24">
        <v>2839143</v>
      </c>
      <c r="J413" s="24"/>
      <c r="K413" s="199">
        <f t="shared" si="37"/>
        <v>2839143</v>
      </c>
      <c r="L413" s="123">
        <v>1</v>
      </c>
      <c r="M413" s="24">
        <f t="shared" si="38"/>
        <v>2839143</v>
      </c>
      <c r="N413" s="124">
        <f t="shared" si="39"/>
        <v>0</v>
      </c>
      <c r="O413" s="107" t="s">
        <v>499</v>
      </c>
      <c r="Y413" s="131"/>
      <c r="Z413" s="15"/>
      <c r="AA413" s="132"/>
      <c r="AB413" s="133"/>
      <c r="AC413" s="134"/>
      <c r="AD413" s="134"/>
      <c r="AE413" s="135"/>
      <c r="AF413" s="182"/>
      <c r="AG413" s="183"/>
      <c r="AH413" s="183"/>
      <c r="AI413" s="125"/>
      <c r="AJ413" s="184"/>
      <c r="AK413" s="185"/>
      <c r="AL413" s="186"/>
      <c r="AM413" s="125"/>
      <c r="AN413" s="125"/>
      <c r="AO413" s="125"/>
      <c r="AP413" s="125"/>
      <c r="AQ413" s="125"/>
      <c r="AR413" s="125"/>
      <c r="AS413" s="125"/>
      <c r="AT413" s="125"/>
      <c r="AU413" s="125"/>
      <c r="AV413" s="125"/>
      <c r="AW413" s="187"/>
      <c r="AX413" s="188"/>
      <c r="AY413" s="189"/>
      <c r="AZ413" s="190"/>
      <c r="BA413" s="191"/>
      <c r="BB413" s="191"/>
      <c r="BC413" s="192"/>
      <c r="BD413" s="182"/>
      <c r="BE413" s="183"/>
      <c r="BF413" s="183"/>
      <c r="BG413" s="125"/>
      <c r="BH413" s="184"/>
      <c r="BI413" s="185"/>
      <c r="BJ413" s="186"/>
      <c r="BK413" s="125"/>
      <c r="BL413" s="125"/>
      <c r="BM413" s="125"/>
      <c r="BN413" s="125"/>
      <c r="BO413" s="125"/>
      <c r="BP413" s="125"/>
      <c r="BQ413" s="125"/>
      <c r="BR413" s="125"/>
      <c r="BS413" s="125"/>
      <c r="BT413" s="125"/>
      <c r="BU413" s="187"/>
      <c r="BV413" s="188"/>
      <c r="BW413" s="189"/>
      <c r="BX413" s="190"/>
      <c r="BY413" s="191"/>
      <c r="BZ413" s="191"/>
      <c r="CA413" s="192"/>
      <c r="CB413" s="182"/>
      <c r="CC413" s="183"/>
      <c r="CD413" s="183"/>
      <c r="CE413" s="125"/>
      <c r="CF413" s="184"/>
      <c r="CG413" s="185"/>
      <c r="CH413" s="186"/>
      <c r="CI413" s="125"/>
      <c r="CJ413" s="125"/>
      <c r="CK413" s="125"/>
      <c r="CL413" s="125"/>
      <c r="CM413" s="125"/>
      <c r="CN413" s="125"/>
      <c r="CO413" s="125"/>
      <c r="CP413" s="125"/>
      <c r="CQ413" s="125"/>
      <c r="CR413" s="125"/>
      <c r="CS413" s="187"/>
      <c r="CT413" s="188"/>
      <c r="CU413" s="189"/>
      <c r="CV413" s="190"/>
      <c r="CW413" s="191"/>
      <c r="CX413" s="191"/>
      <c r="CY413" s="192"/>
      <c r="CZ413" s="182"/>
      <c r="DA413" s="183"/>
      <c r="DB413" s="183"/>
      <c r="DC413" s="125"/>
      <c r="DD413" s="184"/>
      <c r="DE413" s="185"/>
      <c r="DF413" s="186"/>
      <c r="DG413" s="125"/>
      <c r="DH413" s="125"/>
      <c r="DI413" s="125"/>
      <c r="DJ413" s="125"/>
      <c r="DK413" s="125"/>
      <c r="DL413" s="125"/>
      <c r="DM413" s="125"/>
      <c r="DN413" s="125"/>
      <c r="DO413" s="125"/>
      <c r="DP413" s="125"/>
      <c r="DQ413" s="187"/>
      <c r="DR413" s="188"/>
      <c r="DS413" s="189"/>
      <c r="DT413" s="190"/>
      <c r="DU413" s="191"/>
      <c r="DV413" s="191"/>
      <c r="DW413" s="192"/>
      <c r="DX413" s="182"/>
      <c r="DY413" s="183"/>
      <c r="DZ413" s="183"/>
      <c r="EA413" s="125"/>
      <c r="EB413" s="184"/>
      <c r="EC413" s="185"/>
      <c r="ED413" s="186"/>
      <c r="EE413" s="125"/>
      <c r="EF413" s="125"/>
      <c r="EG413" s="125"/>
      <c r="EH413" s="125"/>
      <c r="EI413" s="125"/>
      <c r="EJ413" s="125"/>
      <c r="EK413" s="125"/>
      <c r="EL413" s="125"/>
      <c r="EM413" s="125"/>
      <c r="EN413" s="125"/>
      <c r="EO413" s="187"/>
      <c r="EP413" s="188"/>
      <c r="EQ413" s="189"/>
      <c r="ER413" s="190"/>
      <c r="ES413" s="191"/>
      <c r="ET413" s="191"/>
      <c r="EU413" s="192"/>
      <c r="EV413" s="182"/>
      <c r="EW413" s="183"/>
      <c r="EX413" s="183"/>
      <c r="EY413" s="125"/>
      <c r="EZ413" s="184"/>
      <c r="FA413" s="185"/>
      <c r="FB413" s="186"/>
      <c r="FC413" s="125"/>
      <c r="FD413" s="125"/>
      <c r="FE413" s="125"/>
      <c r="FF413" s="125"/>
      <c r="FG413" s="125"/>
      <c r="FH413" s="125"/>
      <c r="FI413" s="125"/>
      <c r="FJ413" s="125"/>
      <c r="FK413" s="125"/>
      <c r="FL413" s="125"/>
      <c r="FM413" s="187"/>
      <c r="FN413" s="188"/>
      <c r="FO413" s="189"/>
      <c r="FP413" s="190"/>
      <c r="FQ413" s="191"/>
      <c r="FR413" s="191"/>
      <c r="FS413" s="192"/>
      <c r="FT413" s="182"/>
      <c r="FU413" s="183"/>
      <c r="FV413" s="183"/>
      <c r="FW413" s="125"/>
      <c r="FX413" s="184"/>
      <c r="FY413" s="185"/>
      <c r="FZ413" s="186"/>
      <c r="GA413" s="125"/>
      <c r="GB413" s="125"/>
      <c r="GC413" s="125"/>
      <c r="GD413" s="125"/>
      <c r="GE413" s="125"/>
      <c r="GF413" s="125"/>
      <c r="GG413" s="125"/>
      <c r="GH413" s="125"/>
      <c r="GI413" s="125"/>
      <c r="GJ413" s="125"/>
      <c r="GK413" s="187"/>
      <c r="GL413" s="188"/>
      <c r="GM413" s="189"/>
      <c r="GN413" s="190"/>
      <c r="GO413" s="191"/>
      <c r="GP413" s="191"/>
      <c r="GQ413" s="192"/>
      <c r="GR413" s="182"/>
      <c r="GS413" s="183"/>
      <c r="GT413" s="183"/>
      <c r="GU413" s="125"/>
      <c r="GV413" s="184"/>
      <c r="GW413" s="185"/>
      <c r="GX413" s="186"/>
      <c r="GY413" s="125"/>
      <c r="GZ413" s="125"/>
      <c r="HA413" s="125"/>
      <c r="HB413" s="125"/>
      <c r="HC413" s="125"/>
      <c r="HD413" s="125"/>
      <c r="HE413" s="125"/>
      <c r="HF413" s="125"/>
      <c r="HG413" s="125"/>
      <c r="HH413" s="125"/>
      <c r="HI413" s="187"/>
      <c r="HJ413" s="188"/>
      <c r="HK413" s="189"/>
      <c r="HL413" s="190"/>
      <c r="HM413" s="191"/>
      <c r="HN413" s="191"/>
      <c r="HO413" s="192"/>
      <c r="HP413" s="182"/>
      <c r="HQ413" s="183"/>
      <c r="HR413" s="183"/>
      <c r="HS413" s="125"/>
      <c r="HT413" s="184"/>
      <c r="HU413" s="185"/>
      <c r="HV413" s="186"/>
      <c r="HW413" s="125"/>
      <c r="HX413" s="125"/>
      <c r="HY413" s="125"/>
      <c r="HZ413" s="125"/>
      <c r="IA413" s="125"/>
      <c r="IB413" s="125"/>
      <c r="IC413" s="125"/>
      <c r="ID413" s="125"/>
      <c r="IE413" s="125"/>
      <c r="IF413" s="125"/>
      <c r="IG413" s="187"/>
      <c r="IH413" s="188"/>
      <c r="II413" s="189"/>
      <c r="IJ413" s="190"/>
      <c r="IK413" s="191"/>
      <c r="IL413" s="191"/>
      <c r="IM413" s="192"/>
      <c r="IN413" s="182"/>
      <c r="IO413" s="183"/>
      <c r="IP413" s="183"/>
      <c r="IQ413" s="125"/>
      <c r="IR413" s="184"/>
      <c r="IS413" s="185"/>
      <c r="IT413" s="186"/>
      <c r="IU413" s="125"/>
      <c r="IV413" s="125"/>
    </row>
    <row r="414" spans="1:256" s="3" customFormat="1">
      <c r="A414" s="80">
        <v>61</v>
      </c>
      <c r="B414" s="29">
        <v>43073</v>
      </c>
      <c r="C414" s="18"/>
      <c r="D414" s="19" t="s">
        <v>323</v>
      </c>
      <c r="E414" s="20" t="s">
        <v>353</v>
      </c>
      <c r="F414" s="82" t="s">
        <v>584</v>
      </c>
      <c r="G414" s="63">
        <v>1705</v>
      </c>
      <c r="H414" s="121">
        <v>3000000</v>
      </c>
      <c r="I414" s="24"/>
      <c r="J414" s="24">
        <f>SUM(H414)/1.05</f>
        <v>2857142.8571428568</v>
      </c>
      <c r="K414" s="24">
        <f t="shared" si="37"/>
        <v>2857142.8571428568</v>
      </c>
      <c r="L414" s="123">
        <v>1</v>
      </c>
      <c r="M414" s="24">
        <f t="shared" si="38"/>
        <v>2857142.8571428568</v>
      </c>
      <c r="N414" s="124">
        <f t="shared" si="39"/>
        <v>0</v>
      </c>
      <c r="O414" s="107" t="s">
        <v>499</v>
      </c>
      <c r="Q414" s="140"/>
      <c r="Y414" s="131"/>
      <c r="Z414" s="15"/>
      <c r="AA414" s="99"/>
      <c r="AB414" s="149"/>
      <c r="AC414" s="134"/>
      <c r="AD414" s="134"/>
      <c r="AE414" s="137"/>
      <c r="AF414" s="150"/>
      <c r="AG414" s="137"/>
      <c r="AH414" s="137"/>
      <c r="AJ414" s="138"/>
      <c r="AK414" s="2"/>
      <c r="AL414" s="139"/>
      <c r="AW414" s="131"/>
      <c r="AX414" s="15"/>
      <c r="AY414" s="99"/>
      <c r="AZ414" s="149"/>
      <c r="BA414" s="134"/>
      <c r="BB414" s="134"/>
      <c r="BC414" s="137"/>
      <c r="BD414" s="150"/>
      <c r="BE414" s="137"/>
      <c r="BF414" s="137"/>
      <c r="BH414" s="138"/>
      <c r="BI414" s="2"/>
      <c r="BJ414" s="139"/>
      <c r="BU414" s="131"/>
      <c r="BV414" s="15"/>
      <c r="BW414" s="99"/>
      <c r="BX414" s="149"/>
      <c r="BY414" s="134"/>
      <c r="BZ414" s="134"/>
      <c r="CA414" s="137"/>
      <c r="CB414" s="150"/>
      <c r="CC414" s="137"/>
      <c r="CD414" s="137"/>
      <c r="CF414" s="138"/>
      <c r="CG414" s="2"/>
      <c r="CH414" s="139"/>
      <c r="CS414" s="131"/>
      <c r="CT414" s="15"/>
      <c r="CU414" s="99"/>
      <c r="CV414" s="149"/>
      <c r="CW414" s="134"/>
      <c r="CX414" s="134"/>
      <c r="CY414" s="137"/>
      <c r="CZ414" s="150"/>
      <c r="DA414" s="137"/>
      <c r="DB414" s="137"/>
      <c r="DD414" s="138"/>
      <c r="DE414" s="2"/>
      <c r="DF414" s="139"/>
      <c r="DQ414" s="131"/>
      <c r="DR414" s="15"/>
      <c r="DS414" s="99"/>
      <c r="DT414" s="149"/>
      <c r="DU414" s="134"/>
      <c r="DV414" s="134"/>
      <c r="DW414" s="137"/>
      <c r="DX414" s="150"/>
      <c r="DY414" s="137"/>
      <c r="DZ414" s="137"/>
      <c r="EB414" s="138"/>
      <c r="EC414" s="2"/>
      <c r="ED414" s="139"/>
      <c r="EO414" s="131"/>
      <c r="EP414" s="15"/>
      <c r="EQ414" s="99"/>
      <c r="ER414" s="149"/>
      <c r="ES414" s="134"/>
      <c r="ET414" s="134"/>
      <c r="EU414" s="137"/>
      <c r="EV414" s="150"/>
      <c r="EW414" s="137"/>
      <c r="EX414" s="137"/>
      <c r="EZ414" s="138"/>
      <c r="FA414" s="2"/>
      <c r="FB414" s="139"/>
      <c r="FM414" s="131"/>
      <c r="FN414" s="15"/>
      <c r="FO414" s="99"/>
      <c r="FP414" s="149"/>
      <c r="FQ414" s="134"/>
      <c r="FR414" s="134"/>
      <c r="FS414" s="137"/>
      <c r="FT414" s="150"/>
      <c r="FU414" s="137"/>
      <c r="FV414" s="137"/>
      <c r="FX414" s="138"/>
      <c r="FY414" s="2"/>
      <c r="FZ414" s="139"/>
      <c r="GK414" s="131"/>
      <c r="GL414" s="15"/>
      <c r="GM414" s="99"/>
      <c r="GN414" s="149"/>
      <c r="GO414" s="134"/>
      <c r="GP414" s="134"/>
      <c r="GQ414" s="137"/>
      <c r="GR414" s="150"/>
      <c r="GS414" s="137"/>
      <c r="GT414" s="137"/>
      <c r="GV414" s="138"/>
      <c r="GW414" s="2"/>
      <c r="GX414" s="139"/>
      <c r="HI414" s="131"/>
      <c r="HJ414" s="15"/>
      <c r="HK414" s="99"/>
      <c r="HL414" s="149"/>
      <c r="HM414" s="134"/>
      <c r="HN414" s="134"/>
      <c r="HO414" s="137"/>
      <c r="HP414" s="150"/>
      <c r="HQ414" s="137"/>
      <c r="HR414" s="137"/>
      <c r="HT414" s="138"/>
      <c r="HU414" s="2"/>
      <c r="HV414" s="139"/>
      <c r="IG414" s="131"/>
      <c r="IH414" s="15"/>
      <c r="II414" s="99"/>
      <c r="IJ414" s="149"/>
      <c r="IK414" s="134"/>
      <c r="IL414" s="134"/>
      <c r="IM414" s="137"/>
      <c r="IN414" s="150"/>
      <c r="IO414" s="137"/>
      <c r="IP414" s="137"/>
      <c r="IR414" s="138"/>
      <c r="IS414" s="2"/>
      <c r="IT414" s="139"/>
    </row>
    <row r="415" spans="1:256" s="3" customFormat="1">
      <c r="A415" s="80">
        <v>62</v>
      </c>
      <c r="B415" s="29">
        <v>43075</v>
      </c>
      <c r="C415" s="18"/>
      <c r="D415" s="19" t="s">
        <v>323</v>
      </c>
      <c r="E415" s="20" t="s">
        <v>353</v>
      </c>
      <c r="F415" s="82" t="s">
        <v>585</v>
      </c>
      <c r="G415" s="63">
        <v>1706</v>
      </c>
      <c r="H415" s="121">
        <v>3000000</v>
      </c>
      <c r="I415" s="24"/>
      <c r="J415" s="24">
        <f>SUM(H415)/1.05</f>
        <v>2857142.8571428568</v>
      </c>
      <c r="K415" s="24">
        <f t="shared" si="37"/>
        <v>2857142.8571428568</v>
      </c>
      <c r="L415" s="123">
        <v>1</v>
      </c>
      <c r="M415" s="24">
        <f t="shared" si="38"/>
        <v>2857142.8571428568</v>
      </c>
      <c r="N415" s="124">
        <f t="shared" si="39"/>
        <v>0</v>
      </c>
      <c r="O415" s="107" t="s">
        <v>499</v>
      </c>
      <c r="Q415" s="140"/>
      <c r="AA415" s="141"/>
      <c r="AB415" s="142"/>
      <c r="AC415" s="142"/>
      <c r="AD415" s="142"/>
      <c r="AE415" s="142"/>
      <c r="AF415" s="142"/>
      <c r="AG415" s="142"/>
      <c r="AH415" s="143"/>
      <c r="AY415" s="141"/>
      <c r="AZ415" s="142"/>
      <c r="BA415" s="142"/>
      <c r="BB415" s="142"/>
      <c r="BC415" s="142"/>
      <c r="BD415" s="142"/>
      <c r="BE415" s="142"/>
      <c r="BF415" s="143"/>
      <c r="BW415" s="141"/>
      <c r="BX415" s="142"/>
      <c r="BY415" s="142"/>
      <c r="BZ415" s="142"/>
      <c r="CA415" s="142"/>
      <c r="CB415" s="142"/>
      <c r="CC415" s="142"/>
      <c r="CD415" s="143"/>
      <c r="CU415" s="141"/>
      <c r="CV415" s="142"/>
      <c r="CW415" s="142"/>
      <c r="CX415" s="142"/>
      <c r="CY415" s="142"/>
      <c r="CZ415" s="142"/>
      <c r="DA415" s="142"/>
      <c r="DB415" s="143"/>
      <c r="DS415" s="141"/>
      <c r="DT415" s="142"/>
      <c r="DU415" s="142"/>
      <c r="DV415" s="142"/>
      <c r="DW415" s="142"/>
      <c r="DX415" s="142"/>
      <c r="DY415" s="142"/>
      <c r="DZ415" s="143"/>
      <c r="EQ415" s="141"/>
      <c r="ER415" s="142"/>
      <c r="ES415" s="142"/>
      <c r="ET415" s="142"/>
      <c r="EU415" s="142"/>
      <c r="EV415" s="142"/>
      <c r="EW415" s="142"/>
      <c r="EX415" s="143"/>
      <c r="FO415" s="141"/>
      <c r="FP415" s="142"/>
      <c r="FQ415" s="142"/>
      <c r="FR415" s="142"/>
      <c r="FS415" s="142"/>
      <c r="FT415" s="142"/>
      <c r="FU415" s="142"/>
      <c r="FV415" s="143"/>
      <c r="GM415" s="141"/>
      <c r="GN415" s="142"/>
      <c r="GO415" s="142"/>
      <c r="GP415" s="142"/>
      <c r="GQ415" s="142"/>
      <c r="GR415" s="142"/>
      <c r="GS415" s="142"/>
      <c r="GT415" s="143"/>
      <c r="HK415" s="141"/>
      <c r="HL415" s="142"/>
      <c r="HM415" s="142"/>
      <c r="HN415" s="142"/>
      <c r="HO415" s="142"/>
      <c r="HP415" s="142"/>
      <c r="HQ415" s="142"/>
      <c r="HR415" s="143"/>
      <c r="II415" s="141"/>
      <c r="IJ415" s="142"/>
      <c r="IK415" s="142"/>
      <c r="IL415" s="142"/>
      <c r="IM415" s="142"/>
      <c r="IN415" s="142"/>
      <c r="IO415" s="142"/>
      <c r="IP415" s="143"/>
    </row>
    <row r="416" spans="1:256" s="3" customFormat="1">
      <c r="A416" s="80">
        <v>63</v>
      </c>
      <c r="B416" s="29">
        <v>43048</v>
      </c>
      <c r="C416" s="18"/>
      <c r="D416" s="19" t="s">
        <v>323</v>
      </c>
      <c r="E416" s="20" t="s">
        <v>353</v>
      </c>
      <c r="F416" s="82" t="s">
        <v>586</v>
      </c>
      <c r="G416" s="58">
        <v>1706</v>
      </c>
      <c r="H416" s="121">
        <v>3000000</v>
      </c>
      <c r="I416" s="24">
        <v>2857143</v>
      </c>
      <c r="J416" s="24"/>
      <c r="K416" s="24">
        <f t="shared" si="37"/>
        <v>2857143</v>
      </c>
      <c r="L416" s="123">
        <v>1</v>
      </c>
      <c r="M416" s="24">
        <f t="shared" si="38"/>
        <v>2857143</v>
      </c>
      <c r="N416" s="124">
        <f t="shared" si="39"/>
        <v>0</v>
      </c>
      <c r="O416" s="107" t="s">
        <v>499</v>
      </c>
      <c r="Q416" s="140"/>
      <c r="AA416" s="130"/>
      <c r="AB416" s="130"/>
      <c r="AC416" s="130"/>
      <c r="AD416" s="130"/>
      <c r="AE416" s="130"/>
      <c r="AF416" s="130"/>
      <c r="AG416" s="130"/>
      <c r="AH416" s="130"/>
      <c r="AY416" s="130"/>
      <c r="AZ416" s="130"/>
      <c r="BA416" s="130"/>
      <c r="BB416" s="130"/>
      <c r="BC416" s="130"/>
      <c r="BD416" s="130"/>
      <c r="BE416" s="130"/>
      <c r="BF416" s="130"/>
      <c r="BW416" s="130"/>
      <c r="BX416" s="130"/>
      <c r="BY416" s="130"/>
      <c r="BZ416" s="130"/>
      <c r="CA416" s="130"/>
      <c r="CB416" s="130"/>
      <c r="CC416" s="130"/>
      <c r="CD416" s="130"/>
      <c r="CU416" s="130"/>
      <c r="CV416" s="130"/>
      <c r="CW416" s="130"/>
      <c r="CX416" s="130"/>
      <c r="CY416" s="130"/>
      <c r="CZ416" s="130"/>
      <c r="DA416" s="130"/>
      <c r="DB416" s="130"/>
      <c r="DS416" s="130"/>
      <c r="DT416" s="130"/>
      <c r="DU416" s="130"/>
      <c r="DV416" s="130"/>
      <c r="DW416" s="130"/>
      <c r="DX416" s="130"/>
      <c r="DY416" s="130"/>
      <c r="DZ416" s="130"/>
      <c r="EQ416" s="130"/>
      <c r="ER416" s="130"/>
      <c r="ES416" s="130"/>
      <c r="ET416" s="130"/>
      <c r="EU416" s="130"/>
      <c r="EV416" s="130"/>
      <c r="EW416" s="130"/>
      <c r="EX416" s="130"/>
      <c r="FO416" s="130"/>
      <c r="FP416" s="130"/>
      <c r="FQ416" s="130"/>
      <c r="FR416" s="130"/>
      <c r="FS416" s="130"/>
      <c r="FT416" s="130"/>
      <c r="FU416" s="130"/>
      <c r="FV416" s="130"/>
      <c r="GM416" s="130"/>
      <c r="GN416" s="130"/>
      <c r="GO416" s="130"/>
      <c r="GP416" s="130"/>
      <c r="GQ416" s="130"/>
      <c r="GR416" s="130"/>
      <c r="GS416" s="130"/>
      <c r="GT416" s="130"/>
      <c r="HK416" s="130"/>
      <c r="HL416" s="130"/>
      <c r="HM416" s="130"/>
      <c r="HN416" s="130"/>
      <c r="HO416" s="130"/>
      <c r="HP416" s="130"/>
      <c r="HQ416" s="130"/>
      <c r="HR416" s="130"/>
      <c r="II416" s="130"/>
      <c r="IJ416" s="130"/>
      <c r="IK416" s="130"/>
      <c r="IL416" s="130"/>
      <c r="IM416" s="130"/>
      <c r="IN416" s="130"/>
      <c r="IO416" s="130"/>
      <c r="IP416" s="130"/>
    </row>
    <row r="417" spans="1:250" s="3" customFormat="1">
      <c r="A417" s="80">
        <v>64</v>
      </c>
      <c r="B417" s="29">
        <v>43090</v>
      </c>
      <c r="C417" s="18"/>
      <c r="D417" s="19" t="s">
        <v>323</v>
      </c>
      <c r="E417" s="20" t="s">
        <v>353</v>
      </c>
      <c r="F417" s="82" t="s">
        <v>587</v>
      </c>
      <c r="G417" s="58">
        <v>1707</v>
      </c>
      <c r="H417" s="121">
        <v>3130000</v>
      </c>
      <c r="I417" s="24"/>
      <c r="J417" s="24">
        <f t="shared" ref="J417:J427" si="40">SUM(H417)/1.05</f>
        <v>2980952.3809523806</v>
      </c>
      <c r="K417" s="24">
        <f t="shared" si="37"/>
        <v>2980952.3809523806</v>
      </c>
      <c r="L417" s="123">
        <v>1</v>
      </c>
      <c r="M417" s="24">
        <f t="shared" si="38"/>
        <v>2980952.3809523806</v>
      </c>
      <c r="N417" s="124">
        <f t="shared" si="39"/>
        <v>0</v>
      </c>
      <c r="O417" s="107" t="s">
        <v>499</v>
      </c>
      <c r="AA417" s="130"/>
      <c r="AB417" s="130"/>
      <c r="AC417" s="130"/>
      <c r="AD417" s="130"/>
      <c r="AE417" s="130"/>
      <c r="AF417" s="130"/>
      <c r="AG417" s="130"/>
      <c r="AH417" s="130"/>
      <c r="AY417" s="130"/>
      <c r="AZ417" s="130"/>
      <c r="BA417" s="130"/>
      <c r="BB417" s="130"/>
      <c r="BC417" s="130"/>
      <c r="BD417" s="130"/>
      <c r="BE417" s="130"/>
      <c r="BF417" s="130"/>
      <c r="BW417" s="130"/>
      <c r="BX417" s="130"/>
      <c r="BY417" s="130"/>
      <c r="BZ417" s="130"/>
      <c r="CA417" s="130"/>
      <c r="CB417" s="130"/>
      <c r="CC417" s="130"/>
      <c r="CD417" s="130"/>
      <c r="CU417" s="130"/>
      <c r="CV417" s="130"/>
      <c r="CW417" s="130"/>
      <c r="CX417" s="130"/>
      <c r="CY417" s="130"/>
      <c r="CZ417" s="130"/>
      <c r="DA417" s="130"/>
      <c r="DB417" s="130"/>
      <c r="DS417" s="130"/>
      <c r="DT417" s="130"/>
      <c r="DU417" s="130"/>
      <c r="DV417" s="130"/>
      <c r="DW417" s="130"/>
      <c r="DX417" s="130"/>
      <c r="DY417" s="130"/>
      <c r="DZ417" s="130"/>
      <c r="EQ417" s="130"/>
      <c r="ER417" s="130"/>
      <c r="ES417" s="130"/>
      <c r="ET417" s="130"/>
      <c r="EU417" s="130"/>
      <c r="EV417" s="130"/>
      <c r="EW417" s="130"/>
      <c r="EX417" s="130"/>
      <c r="FO417" s="130"/>
      <c r="FP417" s="130"/>
      <c r="FQ417" s="130"/>
      <c r="FR417" s="130"/>
      <c r="FS417" s="130"/>
      <c r="FT417" s="130"/>
      <c r="FU417" s="130"/>
      <c r="FV417" s="130"/>
      <c r="GM417" s="130"/>
      <c r="GN417" s="130"/>
      <c r="GO417" s="130"/>
      <c r="GP417" s="130"/>
      <c r="GQ417" s="130"/>
      <c r="GR417" s="130"/>
      <c r="GS417" s="130"/>
      <c r="GT417" s="130"/>
      <c r="HK417" s="130"/>
      <c r="HL417" s="130"/>
      <c r="HM417" s="130"/>
      <c r="HN417" s="130"/>
      <c r="HO417" s="130"/>
      <c r="HP417" s="130"/>
      <c r="HQ417" s="130"/>
      <c r="HR417" s="130"/>
      <c r="II417" s="130"/>
      <c r="IJ417" s="130"/>
      <c r="IK417" s="130"/>
      <c r="IL417" s="130"/>
      <c r="IM417" s="130"/>
      <c r="IN417" s="130"/>
      <c r="IO417" s="130"/>
      <c r="IP417" s="130"/>
    </row>
    <row r="418" spans="1:250" s="3" customFormat="1">
      <c r="A418" s="80">
        <v>65</v>
      </c>
      <c r="B418" s="29">
        <v>43077</v>
      </c>
      <c r="C418" s="18"/>
      <c r="D418" s="19" t="s">
        <v>323</v>
      </c>
      <c r="E418" s="20" t="s">
        <v>353</v>
      </c>
      <c r="F418" s="82" t="s">
        <v>588</v>
      </c>
      <c r="G418" s="58">
        <v>1709</v>
      </c>
      <c r="H418" s="121">
        <v>3055000</v>
      </c>
      <c r="I418" s="24"/>
      <c r="J418" s="24">
        <f t="shared" si="40"/>
        <v>2909523.8095238092</v>
      </c>
      <c r="K418" s="24">
        <f t="shared" si="37"/>
        <v>2909523.8095238092</v>
      </c>
      <c r="L418" s="123">
        <v>1</v>
      </c>
      <c r="M418" s="24">
        <f t="shared" si="38"/>
        <v>2909523.8095238092</v>
      </c>
      <c r="N418" s="124">
        <f t="shared" si="39"/>
        <v>0</v>
      </c>
      <c r="O418" s="107" t="s">
        <v>499</v>
      </c>
      <c r="AA418" s="130"/>
      <c r="AB418" s="130"/>
      <c r="AC418" s="130"/>
      <c r="AD418" s="130"/>
      <c r="AE418" s="130"/>
      <c r="AF418" s="130"/>
      <c r="AG418" s="130"/>
      <c r="AH418" s="130"/>
      <c r="AY418" s="130"/>
      <c r="AZ418" s="130"/>
      <c r="BA418" s="130"/>
      <c r="BB418" s="130"/>
      <c r="BC418" s="130"/>
      <c r="BD418" s="130"/>
      <c r="BE418" s="130"/>
      <c r="BF418" s="130"/>
      <c r="BW418" s="130"/>
      <c r="BX418" s="130"/>
      <c r="BY418" s="130"/>
      <c r="BZ418" s="130"/>
      <c r="CA418" s="130"/>
      <c r="CB418" s="130"/>
      <c r="CC418" s="130"/>
      <c r="CD418" s="130"/>
      <c r="CU418" s="130"/>
      <c r="CV418" s="130"/>
      <c r="CW418" s="130"/>
      <c r="CX418" s="130"/>
      <c r="CY418" s="130"/>
      <c r="CZ418" s="130"/>
      <c r="DA418" s="130"/>
      <c r="DB418" s="130"/>
      <c r="DS418" s="130"/>
      <c r="DT418" s="130"/>
      <c r="DU418" s="130"/>
      <c r="DV418" s="130"/>
      <c r="DW418" s="130"/>
      <c r="DX418" s="130"/>
      <c r="DY418" s="130"/>
      <c r="DZ418" s="130"/>
      <c r="EQ418" s="130"/>
      <c r="ER418" s="130"/>
      <c r="ES418" s="130"/>
      <c r="ET418" s="130"/>
      <c r="EU418" s="130"/>
      <c r="EV418" s="130"/>
      <c r="EW418" s="130"/>
      <c r="EX418" s="130"/>
      <c r="FO418" s="130"/>
      <c r="FP418" s="130"/>
      <c r="FQ418" s="130"/>
      <c r="FR418" s="130"/>
      <c r="FS418" s="130"/>
      <c r="FT418" s="130"/>
      <c r="FU418" s="130"/>
      <c r="FV418" s="130"/>
      <c r="GM418" s="130"/>
      <c r="GN418" s="130"/>
      <c r="GO418" s="130"/>
      <c r="GP418" s="130"/>
      <c r="GQ418" s="130"/>
      <c r="GR418" s="130"/>
      <c r="GS418" s="130"/>
      <c r="GT418" s="130"/>
      <c r="HK418" s="130"/>
      <c r="HL418" s="130"/>
      <c r="HM418" s="130"/>
      <c r="HN418" s="130"/>
      <c r="HO418" s="130"/>
      <c r="HP418" s="130"/>
      <c r="HQ418" s="130"/>
      <c r="HR418" s="130"/>
      <c r="II418" s="130"/>
      <c r="IJ418" s="130"/>
      <c r="IK418" s="130"/>
      <c r="IL418" s="130"/>
      <c r="IM418" s="130"/>
      <c r="IN418" s="130"/>
      <c r="IO418" s="130"/>
      <c r="IP418" s="130"/>
    </row>
    <row r="419" spans="1:250" s="3" customFormat="1">
      <c r="A419" s="80">
        <v>66</v>
      </c>
      <c r="B419" s="29">
        <v>43097</v>
      </c>
      <c r="C419" s="18"/>
      <c r="D419" s="19" t="s">
        <v>323</v>
      </c>
      <c r="E419" s="20" t="s">
        <v>353</v>
      </c>
      <c r="F419" s="62" t="s">
        <v>589</v>
      </c>
      <c r="G419" s="63">
        <v>1711</v>
      </c>
      <c r="H419" s="121">
        <f>227700+3055000</f>
        <v>3282700</v>
      </c>
      <c r="I419" s="24"/>
      <c r="J419" s="24">
        <f t="shared" si="40"/>
        <v>3126380.9523809524</v>
      </c>
      <c r="K419" s="24">
        <f t="shared" si="37"/>
        <v>3126380.9523809524</v>
      </c>
      <c r="L419" s="123">
        <v>1</v>
      </c>
      <c r="M419" s="24">
        <f t="shared" si="38"/>
        <v>3126380.9523809524</v>
      </c>
      <c r="N419" s="124">
        <f t="shared" si="39"/>
        <v>0</v>
      </c>
      <c r="O419" s="107" t="s">
        <v>499</v>
      </c>
      <c r="AA419" s="130"/>
      <c r="AB419" s="130"/>
      <c r="AC419" s="130"/>
      <c r="AD419" s="130"/>
      <c r="AE419" s="130"/>
      <c r="AF419" s="130"/>
      <c r="AG419" s="130"/>
      <c r="AH419" s="130"/>
      <c r="AY419" s="130"/>
      <c r="AZ419" s="130"/>
      <c r="BA419" s="130"/>
      <c r="BB419" s="130"/>
      <c r="BC419" s="130"/>
      <c r="BD419" s="130"/>
      <c r="BE419" s="130"/>
      <c r="BF419" s="130"/>
      <c r="BW419" s="130"/>
      <c r="BX419" s="130"/>
      <c r="BY419" s="130"/>
      <c r="BZ419" s="130"/>
      <c r="CA419" s="130"/>
      <c r="CB419" s="130"/>
      <c r="CC419" s="130"/>
      <c r="CD419" s="130"/>
      <c r="CU419" s="130"/>
      <c r="CV419" s="130"/>
      <c r="CW419" s="130"/>
      <c r="CX419" s="130"/>
      <c r="CY419" s="130"/>
      <c r="CZ419" s="130"/>
      <c r="DA419" s="130"/>
      <c r="DB419" s="130"/>
      <c r="DS419" s="130"/>
      <c r="DT419" s="130"/>
      <c r="DU419" s="130"/>
      <c r="DV419" s="130"/>
      <c r="DW419" s="130"/>
      <c r="DX419" s="130"/>
      <c r="DY419" s="130"/>
      <c r="DZ419" s="130"/>
      <c r="EQ419" s="130"/>
      <c r="ER419" s="130"/>
      <c r="ES419" s="130"/>
      <c r="ET419" s="130"/>
      <c r="EU419" s="130"/>
      <c r="EV419" s="130"/>
      <c r="EW419" s="130"/>
      <c r="EX419" s="130"/>
      <c r="FO419" s="130"/>
      <c r="FP419" s="130"/>
      <c r="FQ419" s="130"/>
      <c r="FR419" s="130"/>
      <c r="FS419" s="130"/>
      <c r="FT419" s="130"/>
      <c r="FU419" s="130"/>
      <c r="FV419" s="130"/>
      <c r="GM419" s="130"/>
      <c r="GN419" s="130"/>
      <c r="GO419" s="130"/>
      <c r="GP419" s="130"/>
      <c r="GQ419" s="130"/>
      <c r="GR419" s="130"/>
      <c r="GS419" s="130"/>
      <c r="GT419" s="130"/>
      <c r="HK419" s="130"/>
      <c r="HL419" s="130"/>
      <c r="HM419" s="130"/>
      <c r="HN419" s="130"/>
      <c r="HO419" s="130"/>
      <c r="HP419" s="130"/>
      <c r="HQ419" s="130"/>
      <c r="HR419" s="130"/>
      <c r="II419" s="130"/>
      <c r="IJ419" s="130"/>
      <c r="IK419" s="130"/>
      <c r="IL419" s="130"/>
      <c r="IM419" s="130"/>
      <c r="IN419" s="130"/>
      <c r="IO419" s="130"/>
      <c r="IP419" s="130"/>
    </row>
    <row r="420" spans="1:250" s="3" customFormat="1">
      <c r="A420" s="80">
        <v>67</v>
      </c>
      <c r="B420" s="29">
        <v>43097</v>
      </c>
      <c r="C420" s="18"/>
      <c r="D420" s="19" t="s">
        <v>323</v>
      </c>
      <c r="E420" s="20" t="s">
        <v>357</v>
      </c>
      <c r="F420" s="62" t="s">
        <v>590</v>
      </c>
      <c r="G420" s="63">
        <v>1710</v>
      </c>
      <c r="H420" s="121">
        <f>27900+3180600</f>
        <v>3208500</v>
      </c>
      <c r="I420" s="24"/>
      <c r="J420" s="24">
        <f t="shared" si="40"/>
        <v>3055714.2857142854</v>
      </c>
      <c r="K420" s="24">
        <f t="shared" si="37"/>
        <v>3055714.2857142854</v>
      </c>
      <c r="L420" s="123">
        <v>1</v>
      </c>
      <c r="M420" s="24">
        <f t="shared" si="38"/>
        <v>3055714.2857142854</v>
      </c>
      <c r="N420" s="124">
        <f t="shared" si="39"/>
        <v>0</v>
      </c>
      <c r="O420" s="107" t="s">
        <v>499</v>
      </c>
      <c r="AA420" s="130"/>
      <c r="AB420" s="130"/>
      <c r="AC420" s="130"/>
      <c r="AD420" s="130"/>
      <c r="AE420" s="130"/>
      <c r="AF420" s="130"/>
      <c r="AG420" s="130"/>
      <c r="AH420" s="130"/>
      <c r="AY420" s="130"/>
      <c r="AZ420" s="130"/>
      <c r="BA420" s="130"/>
      <c r="BB420" s="130"/>
      <c r="BC420" s="130"/>
      <c r="BD420" s="130"/>
      <c r="BE420" s="130"/>
      <c r="BF420" s="130"/>
      <c r="BW420" s="130"/>
      <c r="BX420" s="130"/>
      <c r="BY420" s="130"/>
      <c r="BZ420" s="130"/>
      <c r="CA420" s="130"/>
      <c r="CB420" s="130"/>
      <c r="CC420" s="130"/>
      <c r="CD420" s="130"/>
      <c r="CU420" s="130"/>
      <c r="CV420" s="130"/>
      <c r="CW420" s="130"/>
      <c r="CX420" s="130"/>
      <c r="CY420" s="130"/>
      <c r="CZ420" s="130"/>
      <c r="DA420" s="130"/>
      <c r="DB420" s="130"/>
      <c r="DS420" s="130"/>
      <c r="DT420" s="130"/>
      <c r="DU420" s="130"/>
      <c r="DV420" s="130"/>
      <c r="DW420" s="130"/>
      <c r="DX420" s="130"/>
      <c r="DY420" s="130"/>
      <c r="DZ420" s="130"/>
      <c r="EQ420" s="130"/>
      <c r="ER420" s="130"/>
      <c r="ES420" s="130"/>
      <c r="ET420" s="130"/>
      <c r="EU420" s="130"/>
      <c r="EV420" s="130"/>
      <c r="EW420" s="130"/>
      <c r="EX420" s="130"/>
      <c r="FO420" s="130"/>
      <c r="FP420" s="130"/>
      <c r="FQ420" s="130"/>
      <c r="FR420" s="130"/>
      <c r="FS420" s="130"/>
      <c r="FT420" s="130"/>
      <c r="FU420" s="130"/>
      <c r="FV420" s="130"/>
      <c r="GM420" s="130"/>
      <c r="GN420" s="130"/>
      <c r="GO420" s="130"/>
      <c r="GP420" s="130"/>
      <c r="GQ420" s="130"/>
      <c r="GR420" s="130"/>
      <c r="GS420" s="130"/>
      <c r="GT420" s="130"/>
      <c r="HK420" s="130"/>
      <c r="HL420" s="130"/>
      <c r="HM420" s="130"/>
      <c r="HN420" s="130"/>
      <c r="HO420" s="130"/>
      <c r="HP420" s="130"/>
      <c r="HQ420" s="130"/>
      <c r="HR420" s="130"/>
      <c r="II420" s="130"/>
      <c r="IJ420" s="130"/>
      <c r="IK420" s="130"/>
      <c r="IL420" s="130"/>
      <c r="IM420" s="130"/>
      <c r="IN420" s="130"/>
      <c r="IO420" s="130"/>
      <c r="IP420" s="130"/>
    </row>
    <row r="421" spans="1:250" s="3" customFormat="1">
      <c r="A421" s="80">
        <v>68</v>
      </c>
      <c r="B421" s="29">
        <v>43081</v>
      </c>
      <c r="C421" s="18"/>
      <c r="D421" s="19" t="s">
        <v>423</v>
      </c>
      <c r="E421" s="20" t="s">
        <v>424</v>
      </c>
      <c r="F421" s="62" t="s">
        <v>591</v>
      </c>
      <c r="G421" s="63">
        <v>1710</v>
      </c>
      <c r="H421" s="121">
        <v>3310800</v>
      </c>
      <c r="I421" s="24"/>
      <c r="J421" s="24">
        <f t="shared" si="40"/>
        <v>3153142.8571428568</v>
      </c>
      <c r="K421" s="24">
        <f t="shared" si="37"/>
        <v>3153142.8571428568</v>
      </c>
      <c r="L421" s="26">
        <v>1</v>
      </c>
      <c r="M421" s="24">
        <f t="shared" si="38"/>
        <v>3153142.8571428568</v>
      </c>
      <c r="N421" s="124">
        <f t="shared" si="39"/>
        <v>0</v>
      </c>
      <c r="O421" s="107" t="s">
        <v>499</v>
      </c>
      <c r="AA421" s="130"/>
      <c r="AB421" s="130"/>
      <c r="AC421" s="130"/>
      <c r="AD421" s="130"/>
      <c r="AE421" s="130"/>
      <c r="AF421" s="130"/>
      <c r="AG421" s="130"/>
      <c r="AH421" s="130"/>
      <c r="AY421" s="130"/>
      <c r="AZ421" s="130"/>
      <c r="BA421" s="130"/>
      <c r="BB421" s="130"/>
      <c r="BC421" s="130"/>
      <c r="BD421" s="130"/>
      <c r="BE421" s="130"/>
      <c r="BF421" s="130"/>
      <c r="BW421" s="130"/>
      <c r="BX421" s="130"/>
      <c r="BY421" s="130"/>
      <c r="BZ421" s="130"/>
      <c r="CA421" s="130"/>
      <c r="CB421" s="130"/>
      <c r="CC421" s="130"/>
      <c r="CD421" s="130"/>
      <c r="CU421" s="130"/>
      <c r="CV421" s="130"/>
      <c r="CW421" s="130"/>
      <c r="CX421" s="130"/>
      <c r="CY421" s="130"/>
      <c r="CZ421" s="130"/>
      <c r="DA421" s="130"/>
      <c r="DB421" s="130"/>
      <c r="DS421" s="130"/>
      <c r="DT421" s="130"/>
      <c r="DU421" s="130"/>
      <c r="DV421" s="130"/>
      <c r="DW421" s="130"/>
      <c r="DX421" s="130"/>
      <c r="DY421" s="130"/>
      <c r="DZ421" s="130"/>
      <c r="EQ421" s="130"/>
      <c r="ER421" s="130"/>
      <c r="ES421" s="130"/>
      <c r="ET421" s="130"/>
      <c r="EU421" s="130"/>
      <c r="EV421" s="130"/>
      <c r="EW421" s="130"/>
      <c r="EX421" s="130"/>
      <c r="FO421" s="130"/>
      <c r="FP421" s="130"/>
      <c r="FQ421" s="130"/>
      <c r="FR421" s="130"/>
      <c r="FS421" s="130"/>
      <c r="FT421" s="130"/>
      <c r="FU421" s="130"/>
      <c r="FV421" s="130"/>
      <c r="GM421" s="130"/>
      <c r="GN421" s="130"/>
      <c r="GO421" s="130"/>
      <c r="GP421" s="130"/>
      <c r="GQ421" s="130"/>
      <c r="GR421" s="130"/>
      <c r="GS421" s="130"/>
      <c r="GT421" s="130"/>
      <c r="HK421" s="130"/>
      <c r="HL421" s="130"/>
      <c r="HM421" s="130"/>
      <c r="HN421" s="130"/>
      <c r="HO421" s="130"/>
      <c r="HP421" s="130"/>
      <c r="HQ421" s="130"/>
      <c r="HR421" s="130"/>
      <c r="II421" s="130"/>
      <c r="IJ421" s="130"/>
      <c r="IK421" s="130"/>
      <c r="IL421" s="130"/>
      <c r="IM421" s="130"/>
      <c r="IN421" s="130"/>
      <c r="IO421" s="130"/>
      <c r="IP421" s="130"/>
    </row>
    <row r="422" spans="1:250" s="3" customFormat="1">
      <c r="A422" s="80">
        <v>69</v>
      </c>
      <c r="B422" s="17">
        <v>43094</v>
      </c>
      <c r="C422" s="18"/>
      <c r="D422" s="19" t="s">
        <v>423</v>
      </c>
      <c r="E422" s="20" t="s">
        <v>424</v>
      </c>
      <c r="F422" s="168" t="s">
        <v>592</v>
      </c>
      <c r="G422" s="63">
        <v>1710</v>
      </c>
      <c r="H422" s="121">
        <v>3310800</v>
      </c>
      <c r="I422" s="24"/>
      <c r="J422" s="24">
        <f t="shared" si="40"/>
        <v>3153142.8571428568</v>
      </c>
      <c r="K422" s="24">
        <f t="shared" si="37"/>
        <v>3153142.8571428568</v>
      </c>
      <c r="L422" s="123">
        <v>1</v>
      </c>
      <c r="M422" s="24">
        <f t="shared" si="38"/>
        <v>3153142.8571428568</v>
      </c>
      <c r="N422" s="124">
        <f t="shared" si="39"/>
        <v>0</v>
      </c>
      <c r="O422" s="107" t="s">
        <v>499</v>
      </c>
      <c r="AA422" s="130"/>
      <c r="AB422" s="130"/>
      <c r="AC422" s="130"/>
      <c r="AD422" s="130"/>
      <c r="AE422" s="130"/>
      <c r="AF422" s="130"/>
      <c r="AG422" s="130"/>
      <c r="AH422" s="130"/>
      <c r="AY422" s="130"/>
      <c r="AZ422" s="130"/>
      <c r="BA422" s="130"/>
      <c r="BB422" s="130"/>
      <c r="BC422" s="130"/>
      <c r="BD422" s="130"/>
      <c r="BE422" s="130"/>
      <c r="BF422" s="130"/>
      <c r="BW422" s="130"/>
      <c r="BX422" s="130"/>
      <c r="BY422" s="130"/>
      <c r="BZ422" s="130"/>
      <c r="CA422" s="130"/>
      <c r="CB422" s="130"/>
      <c r="CC422" s="130"/>
      <c r="CD422" s="130"/>
      <c r="CU422" s="130"/>
      <c r="CV422" s="130"/>
      <c r="CW422" s="130"/>
      <c r="CX422" s="130"/>
      <c r="CY422" s="130"/>
      <c r="CZ422" s="130"/>
      <c r="DA422" s="130"/>
      <c r="DB422" s="130"/>
      <c r="DS422" s="130"/>
      <c r="DT422" s="130"/>
      <c r="DU422" s="130"/>
      <c r="DV422" s="130"/>
      <c r="DW422" s="130"/>
      <c r="DX422" s="130"/>
      <c r="DY422" s="130"/>
      <c r="DZ422" s="130"/>
      <c r="EQ422" s="130"/>
      <c r="ER422" s="130"/>
      <c r="ES422" s="130"/>
      <c r="ET422" s="130"/>
      <c r="EU422" s="130"/>
      <c r="EV422" s="130"/>
      <c r="EW422" s="130"/>
      <c r="EX422" s="130"/>
      <c r="FO422" s="130"/>
      <c r="FP422" s="130"/>
      <c r="FQ422" s="130"/>
      <c r="FR422" s="130"/>
      <c r="FS422" s="130"/>
      <c r="FT422" s="130"/>
      <c r="FU422" s="130"/>
      <c r="FV422" s="130"/>
      <c r="GM422" s="130"/>
      <c r="GN422" s="130"/>
      <c r="GO422" s="130"/>
      <c r="GP422" s="130"/>
      <c r="GQ422" s="130"/>
      <c r="GR422" s="130"/>
      <c r="GS422" s="130"/>
      <c r="GT422" s="130"/>
      <c r="HK422" s="130"/>
      <c r="HL422" s="130"/>
      <c r="HM422" s="130"/>
      <c r="HN422" s="130"/>
      <c r="HO422" s="130"/>
      <c r="HP422" s="130"/>
      <c r="HQ422" s="130"/>
      <c r="HR422" s="130"/>
      <c r="II422" s="130"/>
      <c r="IJ422" s="130"/>
      <c r="IK422" s="130"/>
      <c r="IL422" s="130"/>
      <c r="IM422" s="130"/>
      <c r="IN422" s="130"/>
      <c r="IO422" s="130"/>
      <c r="IP422" s="130"/>
    </row>
    <row r="423" spans="1:250" s="3" customFormat="1">
      <c r="A423" s="80">
        <v>70</v>
      </c>
      <c r="B423" s="17">
        <v>43090</v>
      </c>
      <c r="C423" s="18"/>
      <c r="D423" s="19" t="s">
        <v>423</v>
      </c>
      <c r="E423" s="20" t="s">
        <v>593</v>
      </c>
      <c r="F423" s="168" t="s">
        <v>594</v>
      </c>
      <c r="G423" s="63">
        <v>1709</v>
      </c>
      <c r="H423" s="121">
        <v>3636300</v>
      </c>
      <c r="I423" s="24"/>
      <c r="J423" s="24">
        <f t="shared" si="40"/>
        <v>3463142.8571428568</v>
      </c>
      <c r="K423" s="24">
        <f t="shared" si="37"/>
        <v>3463142.8571428568</v>
      </c>
      <c r="L423" s="123">
        <v>1</v>
      </c>
      <c r="M423" s="24">
        <f t="shared" si="38"/>
        <v>3463142.8571428568</v>
      </c>
      <c r="N423" s="124">
        <f t="shared" si="39"/>
        <v>0</v>
      </c>
      <c r="O423" s="107" t="s">
        <v>499</v>
      </c>
      <c r="AA423" s="130"/>
      <c r="AB423" s="130"/>
      <c r="AC423" s="130"/>
      <c r="AD423" s="130"/>
      <c r="AE423" s="130"/>
      <c r="AF423" s="130"/>
      <c r="AG423" s="130"/>
      <c r="AH423" s="130"/>
      <c r="AY423" s="130"/>
      <c r="AZ423" s="130"/>
      <c r="BA423" s="130"/>
      <c r="BB423" s="130"/>
      <c r="BC423" s="130"/>
      <c r="BD423" s="130"/>
      <c r="BE423" s="130"/>
      <c r="BF423" s="130"/>
      <c r="BW423" s="130"/>
      <c r="BX423" s="130"/>
      <c r="BY423" s="130"/>
      <c r="BZ423" s="130"/>
      <c r="CA423" s="130"/>
      <c r="CB423" s="130"/>
      <c r="CC423" s="130"/>
      <c r="CD423" s="130"/>
      <c r="CU423" s="130"/>
      <c r="CV423" s="130"/>
      <c r="CW423" s="130"/>
      <c r="CX423" s="130"/>
      <c r="CY423" s="130"/>
      <c r="CZ423" s="130"/>
      <c r="DA423" s="130"/>
      <c r="DB423" s="130"/>
      <c r="DS423" s="130"/>
      <c r="DT423" s="130"/>
      <c r="DU423" s="130"/>
      <c r="DV423" s="130"/>
      <c r="DW423" s="130"/>
      <c r="DX423" s="130"/>
      <c r="DY423" s="130"/>
      <c r="DZ423" s="130"/>
      <c r="EQ423" s="130"/>
      <c r="ER423" s="130"/>
      <c r="ES423" s="130"/>
      <c r="ET423" s="130"/>
      <c r="EU423" s="130"/>
      <c r="EV423" s="130"/>
      <c r="EW423" s="130"/>
      <c r="EX423" s="130"/>
      <c r="FO423" s="130"/>
      <c r="FP423" s="130"/>
      <c r="FQ423" s="130"/>
      <c r="FR423" s="130"/>
      <c r="FS423" s="130"/>
      <c r="FT423" s="130"/>
      <c r="FU423" s="130"/>
      <c r="FV423" s="130"/>
      <c r="GM423" s="130"/>
      <c r="GN423" s="130"/>
      <c r="GO423" s="130"/>
      <c r="GP423" s="130"/>
      <c r="GQ423" s="130"/>
      <c r="GR423" s="130"/>
      <c r="GS423" s="130"/>
      <c r="GT423" s="130"/>
      <c r="HK423" s="130"/>
      <c r="HL423" s="130"/>
      <c r="HM423" s="130"/>
      <c r="HN423" s="130"/>
      <c r="HO423" s="130"/>
      <c r="HP423" s="130"/>
      <c r="HQ423" s="130"/>
      <c r="HR423" s="130"/>
      <c r="II423" s="130"/>
      <c r="IJ423" s="130"/>
      <c r="IK423" s="130"/>
      <c r="IL423" s="130"/>
      <c r="IM423" s="130"/>
      <c r="IN423" s="130"/>
      <c r="IO423" s="130"/>
      <c r="IP423" s="130"/>
    </row>
    <row r="424" spans="1:250" s="3" customFormat="1">
      <c r="A424" s="80">
        <v>71</v>
      </c>
      <c r="B424" s="29">
        <v>43097</v>
      </c>
      <c r="C424" s="18"/>
      <c r="D424" s="19" t="s">
        <v>359</v>
      </c>
      <c r="E424" s="20" t="s">
        <v>360</v>
      </c>
      <c r="F424" s="62" t="s">
        <v>595</v>
      </c>
      <c r="G424" s="63">
        <v>1711</v>
      </c>
      <c r="H424" s="121">
        <f>139500+3572000</f>
        <v>3711500</v>
      </c>
      <c r="I424" s="24"/>
      <c r="J424" s="24">
        <f t="shared" si="40"/>
        <v>3534761.9047619044</v>
      </c>
      <c r="K424" s="24">
        <f t="shared" si="37"/>
        <v>3534761.9047619044</v>
      </c>
      <c r="L424" s="123">
        <v>1</v>
      </c>
      <c r="M424" s="24">
        <f t="shared" si="38"/>
        <v>3534761.9047619044</v>
      </c>
      <c r="N424" s="124">
        <f t="shared" si="39"/>
        <v>0</v>
      </c>
      <c r="O424" s="107" t="s">
        <v>499</v>
      </c>
      <c r="Q424" s="140"/>
      <c r="AA424" s="130"/>
      <c r="AB424" s="130"/>
      <c r="AC424" s="130"/>
      <c r="AD424" s="130"/>
      <c r="AE424" s="130"/>
      <c r="AF424" s="130"/>
      <c r="AG424" s="130"/>
      <c r="AH424" s="130"/>
      <c r="AY424" s="130"/>
      <c r="AZ424" s="130"/>
      <c r="BA424" s="130"/>
      <c r="BB424" s="130"/>
      <c r="BC424" s="130"/>
      <c r="BD424" s="130"/>
      <c r="BE424" s="130"/>
      <c r="BF424" s="130"/>
      <c r="BW424" s="130"/>
      <c r="BX424" s="130"/>
      <c r="BY424" s="130"/>
      <c r="BZ424" s="130"/>
      <c r="CA424" s="130"/>
      <c r="CB424" s="130"/>
      <c r="CC424" s="130"/>
      <c r="CD424" s="130"/>
      <c r="CU424" s="130"/>
      <c r="CV424" s="130"/>
      <c r="CW424" s="130"/>
      <c r="CX424" s="130"/>
      <c r="CY424" s="130"/>
      <c r="CZ424" s="130"/>
      <c r="DA424" s="130"/>
      <c r="DB424" s="130"/>
      <c r="DS424" s="130"/>
      <c r="DT424" s="130"/>
      <c r="DU424" s="130"/>
      <c r="DV424" s="130"/>
      <c r="DW424" s="130"/>
      <c r="DX424" s="130"/>
      <c r="DY424" s="130"/>
      <c r="DZ424" s="130"/>
      <c r="EQ424" s="130"/>
      <c r="ER424" s="130"/>
      <c r="ES424" s="130"/>
      <c r="ET424" s="130"/>
      <c r="EU424" s="130"/>
      <c r="EV424" s="130"/>
      <c r="EW424" s="130"/>
      <c r="EX424" s="130"/>
      <c r="FO424" s="130"/>
      <c r="FP424" s="130"/>
      <c r="FQ424" s="130"/>
      <c r="FR424" s="130"/>
      <c r="FS424" s="130"/>
      <c r="FT424" s="130"/>
      <c r="FU424" s="130"/>
      <c r="FV424" s="130"/>
      <c r="GM424" s="130"/>
      <c r="GN424" s="130"/>
      <c r="GO424" s="130"/>
      <c r="GP424" s="130"/>
      <c r="GQ424" s="130"/>
      <c r="GR424" s="130"/>
      <c r="GS424" s="130"/>
      <c r="GT424" s="130"/>
      <c r="HK424" s="130"/>
      <c r="HL424" s="130"/>
      <c r="HM424" s="130"/>
      <c r="HN424" s="130"/>
      <c r="HO424" s="130"/>
      <c r="HP424" s="130"/>
      <c r="HQ424" s="130"/>
      <c r="HR424" s="130"/>
      <c r="II424" s="130"/>
      <c r="IJ424" s="130"/>
      <c r="IK424" s="130"/>
      <c r="IL424" s="130"/>
      <c r="IM424" s="130"/>
      <c r="IN424" s="130"/>
      <c r="IO424" s="130"/>
      <c r="IP424" s="130"/>
    </row>
    <row r="425" spans="1:250" s="3" customFormat="1">
      <c r="A425" s="80">
        <v>72</v>
      </c>
      <c r="B425" s="17">
        <v>43095</v>
      </c>
      <c r="C425" s="18" t="s">
        <v>596</v>
      </c>
      <c r="D425" s="19" t="s">
        <v>359</v>
      </c>
      <c r="E425" s="20" t="s">
        <v>370</v>
      </c>
      <c r="F425" s="168" t="s">
        <v>597</v>
      </c>
      <c r="G425" s="63">
        <v>1704</v>
      </c>
      <c r="H425" s="121">
        <v>4520000</v>
      </c>
      <c r="I425" s="24"/>
      <c r="J425" s="24">
        <f t="shared" si="40"/>
        <v>4304761.9047619049</v>
      </c>
      <c r="K425" s="24">
        <f t="shared" si="37"/>
        <v>4304761.9047619049</v>
      </c>
      <c r="L425" s="123">
        <v>1</v>
      </c>
      <c r="M425" s="24">
        <f t="shared" si="38"/>
        <v>4304761.9047619049</v>
      </c>
      <c r="N425" s="124">
        <f t="shared" si="39"/>
        <v>0</v>
      </c>
      <c r="O425" s="107" t="s">
        <v>499</v>
      </c>
      <c r="AA425" s="130"/>
      <c r="AB425" s="130"/>
      <c r="AC425" s="130"/>
      <c r="AD425" s="130"/>
      <c r="AE425" s="130"/>
      <c r="AF425" s="130"/>
      <c r="AG425" s="130"/>
      <c r="AH425" s="130"/>
      <c r="AY425" s="130"/>
      <c r="AZ425" s="130"/>
      <c r="BA425" s="130"/>
      <c r="BB425" s="130"/>
      <c r="BC425" s="130"/>
      <c r="BD425" s="130"/>
      <c r="BE425" s="130"/>
      <c r="BF425" s="130"/>
      <c r="BW425" s="130"/>
      <c r="BX425" s="130"/>
      <c r="BY425" s="130"/>
      <c r="BZ425" s="130"/>
      <c r="CA425" s="130"/>
      <c r="CB425" s="130"/>
      <c r="CC425" s="130"/>
      <c r="CD425" s="130"/>
      <c r="CU425" s="130"/>
      <c r="CV425" s="130"/>
      <c r="CW425" s="130"/>
      <c r="CX425" s="130"/>
      <c r="CY425" s="130"/>
      <c r="CZ425" s="130"/>
      <c r="DA425" s="130"/>
      <c r="DB425" s="130"/>
      <c r="DS425" s="130"/>
      <c r="DT425" s="130"/>
      <c r="DU425" s="130"/>
      <c r="DV425" s="130"/>
      <c r="DW425" s="130"/>
      <c r="DX425" s="130"/>
      <c r="DY425" s="130"/>
      <c r="DZ425" s="130"/>
      <c r="EQ425" s="130"/>
      <c r="ER425" s="130"/>
      <c r="ES425" s="130"/>
      <c r="ET425" s="130"/>
      <c r="EU425" s="130"/>
      <c r="EV425" s="130"/>
      <c r="EW425" s="130"/>
      <c r="EX425" s="130"/>
      <c r="FO425" s="130"/>
      <c r="FP425" s="130"/>
      <c r="FQ425" s="130"/>
      <c r="FR425" s="130"/>
      <c r="FS425" s="130"/>
      <c r="FT425" s="130"/>
      <c r="FU425" s="130"/>
      <c r="FV425" s="130"/>
      <c r="GM425" s="130"/>
      <c r="GN425" s="130"/>
      <c r="GO425" s="130"/>
      <c r="GP425" s="130"/>
      <c r="GQ425" s="130"/>
      <c r="GR425" s="130"/>
      <c r="GS425" s="130"/>
      <c r="GT425" s="130"/>
      <c r="HK425" s="130"/>
      <c r="HL425" s="130"/>
      <c r="HM425" s="130"/>
      <c r="HN425" s="130"/>
      <c r="HO425" s="130"/>
      <c r="HP425" s="130"/>
      <c r="HQ425" s="130"/>
      <c r="HR425" s="130"/>
      <c r="II425" s="130"/>
      <c r="IJ425" s="130"/>
      <c r="IK425" s="130"/>
      <c r="IL425" s="130"/>
      <c r="IM425" s="130"/>
      <c r="IN425" s="130"/>
      <c r="IO425" s="130"/>
      <c r="IP425" s="130"/>
    </row>
    <row r="426" spans="1:250" s="3" customFormat="1">
      <c r="A426" s="80">
        <v>73</v>
      </c>
      <c r="B426" s="29">
        <v>43082</v>
      </c>
      <c r="C426" s="18" t="s">
        <v>311</v>
      </c>
      <c r="D426" s="19" t="s">
        <v>359</v>
      </c>
      <c r="E426" s="20" t="s">
        <v>598</v>
      </c>
      <c r="F426" s="24" t="s">
        <v>599</v>
      </c>
      <c r="G426" s="181">
        <v>1705</v>
      </c>
      <c r="H426" s="121">
        <v>4520000</v>
      </c>
      <c r="I426" s="24"/>
      <c r="J426" s="24">
        <f t="shared" si="40"/>
        <v>4304761.9047619049</v>
      </c>
      <c r="K426" s="24">
        <f t="shared" si="37"/>
        <v>4304761.9047619049</v>
      </c>
      <c r="L426" s="123">
        <v>1</v>
      </c>
      <c r="M426" s="24">
        <f t="shared" si="38"/>
        <v>4304761.9047619049</v>
      </c>
      <c r="N426" s="124">
        <f t="shared" si="39"/>
        <v>0</v>
      </c>
      <c r="O426" s="107" t="s">
        <v>499</v>
      </c>
      <c r="AA426" s="130"/>
      <c r="AB426" s="130"/>
      <c r="AC426" s="130"/>
      <c r="AD426" s="130"/>
      <c r="AE426" s="130"/>
      <c r="AF426" s="130"/>
      <c r="AG426" s="130"/>
      <c r="AH426" s="130"/>
      <c r="AY426" s="130"/>
      <c r="AZ426" s="130"/>
      <c r="BA426" s="130"/>
      <c r="BB426" s="130"/>
      <c r="BC426" s="130"/>
      <c r="BD426" s="130"/>
      <c r="BE426" s="130"/>
      <c r="BF426" s="130"/>
      <c r="BW426" s="130"/>
      <c r="BX426" s="130"/>
      <c r="BY426" s="130"/>
      <c r="BZ426" s="130"/>
      <c r="CA426" s="130"/>
      <c r="CB426" s="130"/>
      <c r="CC426" s="130"/>
      <c r="CD426" s="130"/>
      <c r="CU426" s="130"/>
      <c r="CV426" s="130"/>
      <c r="CW426" s="130"/>
      <c r="CX426" s="130"/>
      <c r="CY426" s="130"/>
      <c r="CZ426" s="130"/>
      <c r="DA426" s="130"/>
      <c r="DB426" s="130"/>
      <c r="DS426" s="130"/>
      <c r="DT426" s="130"/>
      <c r="DU426" s="130"/>
      <c r="DV426" s="130"/>
      <c r="DW426" s="130"/>
      <c r="DX426" s="130"/>
      <c r="DY426" s="130"/>
      <c r="DZ426" s="130"/>
      <c r="EQ426" s="130"/>
      <c r="ER426" s="130"/>
      <c r="ES426" s="130"/>
      <c r="ET426" s="130"/>
      <c r="EU426" s="130"/>
      <c r="EV426" s="130"/>
      <c r="EW426" s="130"/>
      <c r="EX426" s="130"/>
      <c r="FO426" s="130"/>
      <c r="FP426" s="130"/>
      <c r="FQ426" s="130"/>
      <c r="FR426" s="130"/>
      <c r="FS426" s="130"/>
      <c r="FT426" s="130"/>
      <c r="FU426" s="130"/>
      <c r="FV426" s="130"/>
      <c r="GM426" s="130"/>
      <c r="GN426" s="130"/>
      <c r="GO426" s="130"/>
      <c r="GP426" s="130"/>
      <c r="GQ426" s="130"/>
      <c r="GR426" s="130"/>
      <c r="GS426" s="130"/>
      <c r="GT426" s="130"/>
      <c r="HK426" s="130"/>
      <c r="HL426" s="130"/>
      <c r="HM426" s="130"/>
      <c r="HN426" s="130"/>
      <c r="HO426" s="130"/>
      <c r="HP426" s="130"/>
      <c r="HQ426" s="130"/>
      <c r="HR426" s="130"/>
      <c r="II426" s="130"/>
      <c r="IJ426" s="130"/>
      <c r="IK426" s="130"/>
      <c r="IL426" s="130"/>
      <c r="IM426" s="130"/>
      <c r="IN426" s="130"/>
      <c r="IO426" s="130"/>
      <c r="IP426" s="130"/>
    </row>
    <row r="427" spans="1:250" s="3" customFormat="1">
      <c r="A427" s="80">
        <v>74</v>
      </c>
      <c r="B427" s="128">
        <v>43089</v>
      </c>
      <c r="C427" s="18"/>
      <c r="D427" s="19" t="s">
        <v>359</v>
      </c>
      <c r="E427" s="20" t="s">
        <v>372</v>
      </c>
      <c r="F427" s="57" t="s">
        <v>600</v>
      </c>
      <c r="G427" s="58">
        <v>1709</v>
      </c>
      <c r="H427" s="121">
        <v>4671800</v>
      </c>
      <c r="I427" s="24"/>
      <c r="J427" s="24">
        <f t="shared" si="40"/>
        <v>4449333.333333333</v>
      </c>
      <c r="K427" s="24">
        <f t="shared" si="37"/>
        <v>4449333.333333333</v>
      </c>
      <c r="L427" s="123">
        <v>1</v>
      </c>
      <c r="M427" s="24">
        <f t="shared" si="38"/>
        <v>4449333.333333333</v>
      </c>
      <c r="N427" s="124">
        <f t="shared" si="39"/>
        <v>0</v>
      </c>
      <c r="O427" s="107" t="s">
        <v>499</v>
      </c>
      <c r="AA427" s="130"/>
      <c r="AB427" s="130"/>
      <c r="AC427" s="130"/>
      <c r="AD427" s="130"/>
      <c r="AE427" s="130"/>
      <c r="AF427" s="130"/>
      <c r="AG427" s="130"/>
      <c r="AH427" s="130"/>
      <c r="AY427" s="130"/>
      <c r="AZ427" s="130"/>
      <c r="BA427" s="130"/>
      <c r="BB427" s="130"/>
      <c r="BC427" s="130"/>
      <c r="BD427" s="130"/>
      <c r="BE427" s="130"/>
      <c r="BF427" s="130"/>
      <c r="BW427" s="130"/>
      <c r="BX427" s="130"/>
      <c r="BY427" s="130"/>
      <c r="BZ427" s="130"/>
      <c r="CA427" s="130"/>
      <c r="CB427" s="130"/>
      <c r="CC427" s="130"/>
      <c r="CD427" s="130"/>
      <c r="CU427" s="130"/>
      <c r="CV427" s="130"/>
      <c r="CW427" s="130"/>
      <c r="CX427" s="130"/>
      <c r="CY427" s="130"/>
      <c r="CZ427" s="130"/>
      <c r="DA427" s="130"/>
      <c r="DB427" s="130"/>
      <c r="DS427" s="130"/>
      <c r="DT427" s="130"/>
      <c r="DU427" s="130"/>
      <c r="DV427" s="130"/>
      <c r="DW427" s="130"/>
      <c r="DX427" s="130"/>
      <c r="DY427" s="130"/>
      <c r="DZ427" s="130"/>
      <c r="EQ427" s="130"/>
      <c r="ER427" s="130"/>
      <c r="ES427" s="130"/>
      <c r="ET427" s="130"/>
      <c r="EU427" s="130"/>
      <c r="EV427" s="130"/>
      <c r="EW427" s="130"/>
      <c r="EX427" s="130"/>
      <c r="FO427" s="130"/>
      <c r="FP427" s="130"/>
      <c r="FQ427" s="130"/>
      <c r="FR427" s="130"/>
      <c r="FS427" s="130"/>
      <c r="FT427" s="130"/>
      <c r="FU427" s="130"/>
      <c r="FV427" s="130"/>
      <c r="GM427" s="130"/>
      <c r="GN427" s="130"/>
      <c r="GO427" s="130"/>
      <c r="GP427" s="130"/>
      <c r="GQ427" s="130"/>
      <c r="GR427" s="130"/>
      <c r="GS427" s="130"/>
      <c r="GT427" s="130"/>
      <c r="HK427" s="130"/>
      <c r="HL427" s="130"/>
      <c r="HM427" s="130"/>
      <c r="HN427" s="130"/>
      <c r="HO427" s="130"/>
      <c r="HP427" s="130"/>
      <c r="HQ427" s="130"/>
      <c r="HR427" s="130"/>
      <c r="II427" s="130"/>
      <c r="IJ427" s="130"/>
      <c r="IK427" s="130"/>
      <c r="IL427" s="130"/>
      <c r="IM427" s="130"/>
      <c r="IN427" s="130"/>
      <c r="IO427" s="130"/>
      <c r="IP427" s="130"/>
    </row>
    <row r="428" spans="1:250" s="3" customFormat="1">
      <c r="A428" s="80">
        <v>75</v>
      </c>
      <c r="B428" s="29">
        <v>43005</v>
      </c>
      <c r="C428" s="18"/>
      <c r="D428" s="19" t="s">
        <v>601</v>
      </c>
      <c r="E428" s="20" t="s">
        <v>602</v>
      </c>
      <c r="F428" s="82" t="s">
        <v>603</v>
      </c>
      <c r="G428" s="58">
        <v>1707</v>
      </c>
      <c r="H428" s="121">
        <f>19800+4752300</f>
        <v>4772100</v>
      </c>
      <c r="I428" s="24">
        <v>4544857</v>
      </c>
      <c r="J428" s="24"/>
      <c r="K428" s="24">
        <f t="shared" si="37"/>
        <v>4544857</v>
      </c>
      <c r="L428" s="123">
        <v>1</v>
      </c>
      <c r="M428" s="24">
        <f t="shared" si="38"/>
        <v>4544857</v>
      </c>
      <c r="N428" s="124">
        <f t="shared" si="39"/>
        <v>0</v>
      </c>
      <c r="O428" s="107" t="s">
        <v>499</v>
      </c>
      <c r="AA428" s="130"/>
      <c r="AB428" s="130"/>
      <c r="AC428" s="130"/>
      <c r="AD428" s="130"/>
      <c r="AE428" s="130"/>
      <c r="AF428" s="130"/>
      <c r="AG428" s="130"/>
      <c r="AH428" s="130"/>
      <c r="AY428" s="130"/>
      <c r="AZ428" s="130"/>
      <c r="BA428" s="130"/>
      <c r="BB428" s="130"/>
      <c r="BC428" s="130"/>
      <c r="BD428" s="130"/>
      <c r="BE428" s="130"/>
      <c r="BF428" s="130"/>
      <c r="BW428" s="130"/>
      <c r="BX428" s="130"/>
      <c r="BY428" s="130"/>
      <c r="BZ428" s="130"/>
      <c r="CA428" s="130"/>
      <c r="CB428" s="130"/>
      <c r="CC428" s="130"/>
      <c r="CD428" s="130"/>
      <c r="CU428" s="130"/>
      <c r="CV428" s="130"/>
      <c r="CW428" s="130"/>
      <c r="CX428" s="130"/>
      <c r="CY428" s="130"/>
      <c r="CZ428" s="130"/>
      <c r="DA428" s="130"/>
      <c r="DB428" s="130"/>
      <c r="DS428" s="130"/>
      <c r="DT428" s="130"/>
      <c r="DU428" s="130"/>
      <c r="DV428" s="130"/>
      <c r="DW428" s="130"/>
      <c r="DX428" s="130"/>
      <c r="DY428" s="130"/>
      <c r="DZ428" s="130"/>
      <c r="EQ428" s="130"/>
      <c r="ER428" s="130"/>
      <c r="ES428" s="130"/>
      <c r="ET428" s="130"/>
      <c r="EU428" s="130"/>
      <c r="EV428" s="130"/>
      <c r="EW428" s="130"/>
      <c r="EX428" s="130"/>
      <c r="FO428" s="130"/>
      <c r="FP428" s="130"/>
      <c r="FQ428" s="130"/>
      <c r="FR428" s="130"/>
      <c r="FS428" s="130"/>
      <c r="FT428" s="130"/>
      <c r="FU428" s="130"/>
      <c r="FV428" s="130"/>
      <c r="GM428" s="130"/>
      <c r="GN428" s="130"/>
      <c r="GO428" s="130"/>
      <c r="GP428" s="130"/>
      <c r="GQ428" s="130"/>
      <c r="GR428" s="130"/>
      <c r="GS428" s="130"/>
      <c r="GT428" s="130"/>
      <c r="HK428" s="130"/>
      <c r="HL428" s="130"/>
      <c r="HM428" s="130"/>
      <c r="HN428" s="130"/>
      <c r="HO428" s="130"/>
      <c r="HP428" s="130"/>
      <c r="HQ428" s="130"/>
      <c r="HR428" s="130"/>
      <c r="II428" s="130"/>
      <c r="IJ428" s="130"/>
      <c r="IK428" s="130"/>
      <c r="IL428" s="130"/>
      <c r="IM428" s="130"/>
      <c r="IN428" s="130"/>
      <c r="IO428" s="130"/>
      <c r="IP428" s="130"/>
    </row>
    <row r="429" spans="1:250" s="3" customFormat="1">
      <c r="A429" s="80">
        <v>76</v>
      </c>
      <c r="B429" s="17">
        <v>43061</v>
      </c>
      <c r="C429" s="18"/>
      <c r="D429" s="19" t="s">
        <v>441</v>
      </c>
      <c r="E429" s="20" t="s">
        <v>604</v>
      </c>
      <c r="F429" s="120" t="s">
        <v>605</v>
      </c>
      <c r="G429" s="63">
        <v>1709</v>
      </c>
      <c r="H429" s="121">
        <v>1626200</v>
      </c>
      <c r="I429" s="24">
        <v>1548762</v>
      </c>
      <c r="J429" s="24"/>
      <c r="K429" s="24">
        <f t="shared" si="37"/>
        <v>1548762</v>
      </c>
      <c r="L429" s="123">
        <v>1</v>
      </c>
      <c r="M429" s="24">
        <f t="shared" si="38"/>
        <v>1548762</v>
      </c>
      <c r="N429" s="124">
        <f t="shared" si="39"/>
        <v>0</v>
      </c>
      <c r="O429" s="107" t="s">
        <v>499</v>
      </c>
      <c r="AA429" s="130"/>
      <c r="AB429" s="130"/>
      <c r="AC429" s="130"/>
      <c r="AD429" s="130"/>
      <c r="AE429" s="130"/>
      <c r="AF429" s="130"/>
      <c r="AG429" s="130"/>
      <c r="AH429" s="130"/>
      <c r="AY429" s="130"/>
      <c r="AZ429" s="130"/>
      <c r="BA429" s="130"/>
      <c r="BB429" s="130"/>
      <c r="BC429" s="130"/>
      <c r="BD429" s="130"/>
      <c r="BE429" s="130"/>
      <c r="BF429" s="130"/>
      <c r="BW429" s="130"/>
      <c r="BX429" s="130"/>
      <c r="BY429" s="130"/>
      <c r="BZ429" s="130"/>
      <c r="CA429" s="130"/>
      <c r="CB429" s="130"/>
      <c r="CC429" s="130"/>
      <c r="CD429" s="130"/>
      <c r="CU429" s="130"/>
      <c r="CV429" s="130"/>
      <c r="CW429" s="130"/>
      <c r="CX429" s="130"/>
      <c r="CY429" s="130"/>
      <c r="CZ429" s="130"/>
      <c r="DA429" s="130"/>
      <c r="DB429" s="130"/>
      <c r="DS429" s="130"/>
      <c r="DT429" s="130"/>
      <c r="DU429" s="130"/>
      <c r="DV429" s="130"/>
      <c r="DW429" s="130"/>
      <c r="DX429" s="130"/>
      <c r="DY429" s="130"/>
      <c r="DZ429" s="130"/>
      <c r="EQ429" s="130"/>
      <c r="ER429" s="130"/>
      <c r="ES429" s="130"/>
      <c r="ET429" s="130"/>
      <c r="EU429" s="130"/>
      <c r="EV429" s="130"/>
      <c r="EW429" s="130"/>
      <c r="EX429" s="130"/>
      <c r="FO429" s="130"/>
      <c r="FP429" s="130"/>
      <c r="FQ429" s="130"/>
      <c r="FR429" s="130"/>
      <c r="FS429" s="130"/>
      <c r="FT429" s="130"/>
      <c r="FU429" s="130"/>
      <c r="FV429" s="130"/>
      <c r="GM429" s="130"/>
      <c r="GN429" s="130"/>
      <c r="GO429" s="130"/>
      <c r="GP429" s="130"/>
      <c r="GQ429" s="130"/>
      <c r="GR429" s="130"/>
      <c r="GS429" s="130"/>
      <c r="GT429" s="130"/>
      <c r="HK429" s="130"/>
      <c r="HL429" s="130"/>
      <c r="HM429" s="130"/>
      <c r="HN429" s="130"/>
      <c r="HO429" s="130"/>
      <c r="HP429" s="130"/>
      <c r="HQ429" s="130"/>
      <c r="HR429" s="130"/>
      <c r="II429" s="130"/>
      <c r="IJ429" s="130"/>
      <c r="IK429" s="130"/>
      <c r="IL429" s="130"/>
      <c r="IM429" s="130"/>
      <c r="IN429" s="130"/>
      <c r="IO429" s="130"/>
      <c r="IP429" s="130"/>
    </row>
    <row r="430" spans="1:250" s="3" customFormat="1">
      <c r="A430" s="80">
        <v>77</v>
      </c>
      <c r="B430" s="29">
        <v>43061</v>
      </c>
      <c r="C430" s="18"/>
      <c r="D430" s="198" t="s">
        <v>441</v>
      </c>
      <c r="E430" s="20" t="s">
        <v>604</v>
      </c>
      <c r="F430" s="82" t="s">
        <v>606</v>
      </c>
      <c r="G430" s="63">
        <v>1709</v>
      </c>
      <c r="H430" s="121">
        <v>1626200</v>
      </c>
      <c r="I430" s="24">
        <v>1548762</v>
      </c>
      <c r="J430" s="24"/>
      <c r="K430" s="24">
        <f t="shared" si="37"/>
        <v>1548762</v>
      </c>
      <c r="L430" s="123">
        <v>1</v>
      </c>
      <c r="M430" s="24">
        <f t="shared" si="38"/>
        <v>1548762</v>
      </c>
      <c r="N430" s="124">
        <f t="shared" si="39"/>
        <v>0</v>
      </c>
      <c r="O430" s="107" t="s">
        <v>499</v>
      </c>
      <c r="AA430" s="130"/>
      <c r="AB430" s="130"/>
      <c r="AC430" s="130"/>
      <c r="AD430" s="130"/>
      <c r="AE430" s="130"/>
      <c r="AF430" s="130"/>
      <c r="AG430" s="130"/>
      <c r="AH430" s="130"/>
      <c r="AY430" s="130"/>
      <c r="AZ430" s="130"/>
      <c r="BA430" s="130"/>
      <c r="BB430" s="130"/>
      <c r="BC430" s="130"/>
      <c r="BD430" s="130"/>
      <c r="BE430" s="130"/>
      <c r="BF430" s="130"/>
      <c r="BW430" s="130"/>
      <c r="BX430" s="130"/>
      <c r="BY430" s="130"/>
      <c r="BZ430" s="130"/>
      <c r="CA430" s="130"/>
      <c r="CB430" s="130"/>
      <c r="CC430" s="130"/>
      <c r="CD430" s="130"/>
      <c r="CU430" s="130"/>
      <c r="CV430" s="130"/>
      <c r="CW430" s="130"/>
      <c r="CX430" s="130"/>
      <c r="CY430" s="130"/>
      <c r="CZ430" s="130"/>
      <c r="DA430" s="130"/>
      <c r="DB430" s="130"/>
      <c r="DS430" s="130"/>
      <c r="DT430" s="130"/>
      <c r="DU430" s="130"/>
      <c r="DV430" s="130"/>
      <c r="DW430" s="130"/>
      <c r="DX430" s="130"/>
      <c r="DY430" s="130"/>
      <c r="DZ430" s="130"/>
      <c r="EQ430" s="130"/>
      <c r="ER430" s="130"/>
      <c r="ES430" s="130"/>
      <c r="ET430" s="130"/>
      <c r="EU430" s="130"/>
      <c r="EV430" s="130"/>
      <c r="EW430" s="130"/>
      <c r="EX430" s="130"/>
      <c r="FO430" s="130"/>
      <c r="FP430" s="130"/>
      <c r="FQ430" s="130"/>
      <c r="FR430" s="130"/>
      <c r="FS430" s="130"/>
      <c r="FT430" s="130"/>
      <c r="FU430" s="130"/>
      <c r="FV430" s="130"/>
      <c r="GM430" s="130"/>
      <c r="GN430" s="130"/>
      <c r="GO430" s="130"/>
      <c r="GP430" s="130"/>
      <c r="GQ430" s="130"/>
      <c r="GR430" s="130"/>
      <c r="GS430" s="130"/>
      <c r="GT430" s="130"/>
      <c r="HK430" s="130"/>
      <c r="HL430" s="130"/>
      <c r="HM430" s="130"/>
      <c r="HN430" s="130"/>
      <c r="HO430" s="130"/>
      <c r="HP430" s="130"/>
      <c r="HQ430" s="130"/>
      <c r="HR430" s="130"/>
      <c r="II430" s="130"/>
      <c r="IJ430" s="130"/>
      <c r="IK430" s="130"/>
      <c r="IL430" s="130"/>
      <c r="IM430" s="130"/>
      <c r="IN430" s="130"/>
      <c r="IO430" s="130"/>
      <c r="IP430" s="130"/>
    </row>
    <row r="431" spans="1:250" s="3" customFormat="1">
      <c r="A431" s="80">
        <v>78</v>
      </c>
      <c r="B431" s="29">
        <v>43048</v>
      </c>
      <c r="C431" s="18"/>
      <c r="D431" s="19" t="s">
        <v>441</v>
      </c>
      <c r="E431" s="20" t="s">
        <v>607</v>
      </c>
      <c r="F431" s="82" t="s">
        <v>608</v>
      </c>
      <c r="G431" s="58">
        <v>1708</v>
      </c>
      <c r="H431" s="121">
        <v>1823600</v>
      </c>
      <c r="I431" s="24">
        <v>1736762</v>
      </c>
      <c r="J431" s="24"/>
      <c r="K431" s="24">
        <f t="shared" si="37"/>
        <v>1736762</v>
      </c>
      <c r="L431" s="123">
        <v>1</v>
      </c>
      <c r="M431" s="24">
        <f t="shared" si="38"/>
        <v>1736762</v>
      </c>
      <c r="N431" s="124">
        <f t="shared" si="39"/>
        <v>0</v>
      </c>
      <c r="O431" s="107" t="s">
        <v>499</v>
      </c>
      <c r="Q431" s="140"/>
      <c r="AA431" s="130"/>
      <c r="AB431" s="130"/>
      <c r="AC431" s="130"/>
      <c r="AD431" s="130"/>
      <c r="AE431" s="130"/>
      <c r="AF431" s="130"/>
      <c r="AG431" s="130"/>
      <c r="AH431" s="130"/>
      <c r="AY431" s="130"/>
      <c r="AZ431" s="130"/>
      <c r="BA431" s="130"/>
      <c r="BB431" s="130"/>
      <c r="BC431" s="130"/>
      <c r="BD431" s="130"/>
      <c r="BE431" s="130"/>
      <c r="BF431" s="130"/>
      <c r="BW431" s="130"/>
      <c r="BX431" s="130"/>
      <c r="BY431" s="130"/>
      <c r="BZ431" s="130"/>
      <c r="CA431" s="130"/>
      <c r="CB431" s="130"/>
      <c r="CC431" s="130"/>
      <c r="CD431" s="130"/>
      <c r="CU431" s="130"/>
      <c r="CV431" s="130"/>
      <c r="CW431" s="130"/>
      <c r="CX431" s="130"/>
      <c r="CY431" s="130"/>
      <c r="CZ431" s="130"/>
      <c r="DA431" s="130"/>
      <c r="DB431" s="130"/>
      <c r="DS431" s="130"/>
      <c r="DT431" s="130"/>
      <c r="DU431" s="130"/>
      <c r="DV431" s="130"/>
      <c r="DW431" s="130"/>
      <c r="DX431" s="130"/>
      <c r="DY431" s="130"/>
      <c r="DZ431" s="130"/>
      <c r="EQ431" s="130"/>
      <c r="ER431" s="130"/>
      <c r="ES431" s="130"/>
      <c r="ET431" s="130"/>
      <c r="EU431" s="130"/>
      <c r="EV431" s="130"/>
      <c r="EW431" s="130"/>
      <c r="EX431" s="130"/>
      <c r="FO431" s="130"/>
      <c r="FP431" s="130"/>
      <c r="FQ431" s="130"/>
      <c r="FR431" s="130"/>
      <c r="FS431" s="130"/>
      <c r="FT431" s="130"/>
      <c r="FU431" s="130"/>
      <c r="FV431" s="130"/>
      <c r="GM431" s="130"/>
      <c r="GN431" s="130"/>
      <c r="GO431" s="130"/>
      <c r="GP431" s="130"/>
      <c r="GQ431" s="130"/>
      <c r="GR431" s="130"/>
      <c r="GS431" s="130"/>
      <c r="GT431" s="130"/>
      <c r="HK431" s="130"/>
      <c r="HL431" s="130"/>
      <c r="HM431" s="130"/>
      <c r="HN431" s="130"/>
      <c r="HO431" s="130"/>
      <c r="HP431" s="130"/>
      <c r="HQ431" s="130"/>
      <c r="HR431" s="130"/>
      <c r="II431" s="130"/>
      <c r="IJ431" s="130"/>
      <c r="IK431" s="130"/>
      <c r="IL431" s="130"/>
      <c r="IM431" s="130"/>
      <c r="IN431" s="130"/>
      <c r="IO431" s="130"/>
      <c r="IP431" s="130"/>
    </row>
    <row r="432" spans="1:250" s="3" customFormat="1">
      <c r="A432" s="80">
        <v>79</v>
      </c>
      <c r="B432" s="17">
        <v>43061</v>
      </c>
      <c r="C432" s="18"/>
      <c r="D432" s="19" t="s">
        <v>441</v>
      </c>
      <c r="E432" s="20" t="s">
        <v>607</v>
      </c>
      <c r="F432" s="168" t="s">
        <v>609</v>
      </c>
      <c r="G432" s="63">
        <v>1708</v>
      </c>
      <c r="H432" s="121">
        <v>1823600</v>
      </c>
      <c r="I432" s="24">
        <v>1736762</v>
      </c>
      <c r="J432" s="24"/>
      <c r="K432" s="24">
        <f t="shared" si="37"/>
        <v>1736762</v>
      </c>
      <c r="L432" s="123">
        <v>1</v>
      </c>
      <c r="M432" s="24">
        <f t="shared" si="38"/>
        <v>1736762</v>
      </c>
      <c r="N432" s="124">
        <f t="shared" si="39"/>
        <v>0</v>
      </c>
      <c r="O432" s="107" t="s">
        <v>499</v>
      </c>
      <c r="AA432" s="130"/>
      <c r="AB432" s="130"/>
      <c r="AC432" s="130"/>
      <c r="AD432" s="130"/>
      <c r="AE432" s="130"/>
      <c r="AF432" s="130"/>
      <c r="AG432" s="130"/>
      <c r="AH432" s="130"/>
      <c r="AY432" s="130"/>
      <c r="AZ432" s="130"/>
      <c r="BA432" s="130"/>
      <c r="BB432" s="130"/>
      <c r="BC432" s="130"/>
      <c r="BD432" s="130"/>
      <c r="BE432" s="130"/>
      <c r="BF432" s="130"/>
      <c r="BW432" s="130"/>
      <c r="BX432" s="130"/>
      <c r="BY432" s="130"/>
      <c r="BZ432" s="130"/>
      <c r="CA432" s="130"/>
      <c r="CB432" s="130"/>
      <c r="CC432" s="130"/>
      <c r="CD432" s="130"/>
      <c r="CU432" s="130"/>
      <c r="CV432" s="130"/>
      <c r="CW432" s="130"/>
      <c r="CX432" s="130"/>
      <c r="CY432" s="130"/>
      <c r="CZ432" s="130"/>
      <c r="DA432" s="130"/>
      <c r="DB432" s="130"/>
      <c r="DS432" s="130"/>
      <c r="DT432" s="130"/>
      <c r="DU432" s="130"/>
      <c r="DV432" s="130"/>
      <c r="DW432" s="130"/>
      <c r="DX432" s="130"/>
      <c r="DY432" s="130"/>
      <c r="DZ432" s="130"/>
      <c r="EQ432" s="130"/>
      <c r="ER432" s="130"/>
      <c r="ES432" s="130"/>
      <c r="ET432" s="130"/>
      <c r="EU432" s="130"/>
      <c r="EV432" s="130"/>
      <c r="EW432" s="130"/>
      <c r="EX432" s="130"/>
      <c r="FO432" s="130"/>
      <c r="FP432" s="130"/>
      <c r="FQ432" s="130"/>
      <c r="FR432" s="130"/>
      <c r="FS432" s="130"/>
      <c r="FT432" s="130"/>
      <c r="FU432" s="130"/>
      <c r="FV432" s="130"/>
      <c r="GM432" s="130"/>
      <c r="GN432" s="130"/>
      <c r="GO432" s="130"/>
      <c r="GP432" s="130"/>
      <c r="GQ432" s="130"/>
      <c r="GR432" s="130"/>
      <c r="GS432" s="130"/>
      <c r="GT432" s="130"/>
      <c r="HK432" s="130"/>
      <c r="HL432" s="130"/>
      <c r="HM432" s="130"/>
      <c r="HN432" s="130"/>
      <c r="HO432" s="130"/>
      <c r="HP432" s="130"/>
      <c r="HQ432" s="130"/>
      <c r="HR432" s="130"/>
      <c r="II432" s="130"/>
      <c r="IJ432" s="130"/>
      <c r="IK432" s="130"/>
      <c r="IL432" s="130"/>
      <c r="IM432" s="130"/>
      <c r="IN432" s="130"/>
      <c r="IO432" s="130"/>
      <c r="IP432" s="130"/>
    </row>
    <row r="433" spans="1:254" s="3" customFormat="1">
      <c r="A433" s="80">
        <v>80</v>
      </c>
      <c r="B433" s="29">
        <v>43070</v>
      </c>
      <c r="C433" s="18"/>
      <c r="D433" s="19" t="s">
        <v>441</v>
      </c>
      <c r="E433" s="20" t="s">
        <v>447</v>
      </c>
      <c r="F433" s="82" t="s">
        <v>610</v>
      </c>
      <c r="G433" s="58">
        <v>1709</v>
      </c>
      <c r="H433" s="121">
        <v>1626200</v>
      </c>
      <c r="I433" s="24"/>
      <c r="J433" s="24">
        <f>SUM(H433)/1.05</f>
        <v>1548761.9047619046</v>
      </c>
      <c r="K433" s="24">
        <f t="shared" si="37"/>
        <v>1548761.9047619046</v>
      </c>
      <c r="L433" s="123">
        <v>1</v>
      </c>
      <c r="M433" s="24">
        <f t="shared" si="38"/>
        <v>1548761.9047619046</v>
      </c>
      <c r="N433" s="124">
        <f t="shared" si="39"/>
        <v>0</v>
      </c>
      <c r="O433" s="107" t="s">
        <v>499</v>
      </c>
      <c r="AA433" s="130"/>
      <c r="AB433" s="130"/>
      <c r="AC433" s="130"/>
      <c r="AD433" s="130"/>
      <c r="AE433" s="130"/>
      <c r="AF433" s="130"/>
      <c r="AG433" s="130"/>
      <c r="AH433" s="130"/>
      <c r="AY433" s="130"/>
      <c r="AZ433" s="130"/>
      <c r="BA433" s="130"/>
      <c r="BB433" s="130"/>
      <c r="BC433" s="130"/>
      <c r="BD433" s="130"/>
      <c r="BE433" s="130"/>
      <c r="BF433" s="130"/>
      <c r="BW433" s="130"/>
      <c r="BX433" s="130"/>
      <c r="BY433" s="130"/>
      <c r="BZ433" s="130"/>
      <c r="CA433" s="130"/>
      <c r="CB433" s="130"/>
      <c r="CC433" s="130"/>
      <c r="CD433" s="130"/>
      <c r="CU433" s="130"/>
      <c r="CV433" s="130"/>
      <c r="CW433" s="130"/>
      <c r="CX433" s="130"/>
      <c r="CY433" s="130"/>
      <c r="CZ433" s="130"/>
      <c r="DA433" s="130"/>
      <c r="DB433" s="130"/>
      <c r="DS433" s="130"/>
      <c r="DT433" s="130"/>
      <c r="DU433" s="130"/>
      <c r="DV433" s="130"/>
      <c r="DW433" s="130"/>
      <c r="DX433" s="130"/>
      <c r="DY433" s="130"/>
      <c r="DZ433" s="130"/>
      <c r="EQ433" s="130"/>
      <c r="ER433" s="130"/>
      <c r="ES433" s="130"/>
      <c r="ET433" s="130"/>
      <c r="EU433" s="130"/>
      <c r="EV433" s="130"/>
      <c r="EW433" s="130"/>
      <c r="EX433" s="130"/>
      <c r="FO433" s="130"/>
      <c r="FP433" s="130"/>
      <c r="FQ433" s="130"/>
      <c r="FR433" s="130"/>
      <c r="FS433" s="130"/>
      <c r="FT433" s="130"/>
      <c r="FU433" s="130"/>
      <c r="FV433" s="130"/>
      <c r="GM433" s="130"/>
      <c r="GN433" s="130"/>
      <c r="GO433" s="130"/>
      <c r="GP433" s="130"/>
      <c r="GQ433" s="130"/>
      <c r="GR433" s="130"/>
      <c r="GS433" s="130"/>
      <c r="GT433" s="130"/>
      <c r="HK433" s="130"/>
      <c r="HL433" s="130"/>
      <c r="HM433" s="130"/>
      <c r="HN433" s="130"/>
      <c r="HO433" s="130"/>
      <c r="HP433" s="130"/>
      <c r="HQ433" s="130"/>
      <c r="HR433" s="130"/>
      <c r="II433" s="130"/>
      <c r="IJ433" s="130"/>
      <c r="IK433" s="130"/>
      <c r="IL433" s="130"/>
      <c r="IM433" s="130"/>
      <c r="IN433" s="130"/>
      <c r="IO433" s="130"/>
      <c r="IP433" s="130"/>
    </row>
    <row r="434" spans="1:254" s="3" customFormat="1">
      <c r="A434" s="80">
        <v>81</v>
      </c>
      <c r="B434" s="29">
        <v>43062</v>
      </c>
      <c r="C434" s="18"/>
      <c r="D434" s="19" t="s">
        <v>441</v>
      </c>
      <c r="E434" s="20" t="s">
        <v>447</v>
      </c>
      <c r="F434" s="82" t="s">
        <v>611</v>
      </c>
      <c r="G434" s="63">
        <v>1709</v>
      </c>
      <c r="H434" s="121">
        <v>1626200</v>
      </c>
      <c r="I434" s="24">
        <v>1548762</v>
      </c>
      <c r="J434" s="24"/>
      <c r="K434" s="24">
        <f t="shared" si="37"/>
        <v>1548762</v>
      </c>
      <c r="L434" s="123">
        <v>1</v>
      </c>
      <c r="M434" s="24">
        <f t="shared" si="38"/>
        <v>1548762</v>
      </c>
      <c r="N434" s="124">
        <f t="shared" si="39"/>
        <v>0</v>
      </c>
      <c r="O434" s="107" t="s">
        <v>499</v>
      </c>
      <c r="AA434" s="130"/>
      <c r="AB434" s="130"/>
      <c r="AC434" s="130"/>
      <c r="AD434" s="130"/>
      <c r="AE434" s="130"/>
      <c r="AF434" s="130"/>
      <c r="AG434" s="130"/>
      <c r="AH434" s="130"/>
      <c r="AY434" s="130"/>
      <c r="AZ434" s="130"/>
      <c r="BA434" s="130"/>
      <c r="BB434" s="130"/>
      <c r="BC434" s="130"/>
      <c r="BD434" s="130"/>
      <c r="BE434" s="130"/>
      <c r="BF434" s="130"/>
      <c r="BW434" s="130"/>
      <c r="BX434" s="130"/>
      <c r="BY434" s="130"/>
      <c r="BZ434" s="130"/>
      <c r="CA434" s="130"/>
      <c r="CB434" s="130"/>
      <c r="CC434" s="130"/>
      <c r="CD434" s="130"/>
      <c r="CU434" s="130"/>
      <c r="CV434" s="130"/>
      <c r="CW434" s="130"/>
      <c r="CX434" s="130"/>
      <c r="CY434" s="130"/>
      <c r="CZ434" s="130"/>
      <c r="DA434" s="130"/>
      <c r="DB434" s="130"/>
      <c r="DS434" s="130"/>
      <c r="DT434" s="130"/>
      <c r="DU434" s="130"/>
      <c r="DV434" s="130"/>
      <c r="DW434" s="130"/>
      <c r="DX434" s="130"/>
      <c r="DY434" s="130"/>
      <c r="DZ434" s="130"/>
      <c r="EQ434" s="130"/>
      <c r="ER434" s="130"/>
      <c r="ES434" s="130"/>
      <c r="ET434" s="130"/>
      <c r="EU434" s="130"/>
      <c r="EV434" s="130"/>
      <c r="EW434" s="130"/>
      <c r="EX434" s="130"/>
      <c r="FO434" s="130"/>
      <c r="FP434" s="130"/>
      <c r="FQ434" s="130"/>
      <c r="FR434" s="130"/>
      <c r="FS434" s="130"/>
      <c r="FT434" s="130"/>
      <c r="FU434" s="130"/>
      <c r="FV434" s="130"/>
      <c r="GM434" s="130"/>
      <c r="GN434" s="130"/>
      <c r="GO434" s="130"/>
      <c r="GP434" s="130"/>
      <c r="GQ434" s="130"/>
      <c r="GR434" s="130"/>
      <c r="GS434" s="130"/>
      <c r="GT434" s="130"/>
      <c r="HK434" s="130"/>
      <c r="HL434" s="130"/>
      <c r="HM434" s="130"/>
      <c r="HN434" s="130"/>
      <c r="HO434" s="130"/>
      <c r="HP434" s="130"/>
      <c r="HQ434" s="130"/>
      <c r="HR434" s="130"/>
      <c r="II434" s="130"/>
      <c r="IJ434" s="130"/>
      <c r="IK434" s="130"/>
      <c r="IL434" s="130"/>
      <c r="IM434" s="130"/>
      <c r="IN434" s="130"/>
      <c r="IO434" s="130"/>
      <c r="IP434" s="130"/>
    </row>
    <row r="435" spans="1:254" s="3" customFormat="1">
      <c r="A435" s="80">
        <v>82</v>
      </c>
      <c r="B435" s="83">
        <v>43069</v>
      </c>
      <c r="C435" s="18"/>
      <c r="D435" s="19" t="s">
        <v>441</v>
      </c>
      <c r="E435" s="20" t="s">
        <v>447</v>
      </c>
      <c r="F435" s="82" t="s">
        <v>612</v>
      </c>
      <c r="G435" s="58">
        <v>1709</v>
      </c>
      <c r="H435" s="121">
        <v>1626200</v>
      </c>
      <c r="I435" s="24">
        <v>1548762</v>
      </c>
      <c r="J435" s="24"/>
      <c r="K435" s="24">
        <f t="shared" si="37"/>
        <v>1548762</v>
      </c>
      <c r="L435" s="123">
        <v>1</v>
      </c>
      <c r="M435" s="24">
        <f t="shared" si="38"/>
        <v>1548762</v>
      </c>
      <c r="N435" s="124">
        <f t="shared" si="39"/>
        <v>0</v>
      </c>
      <c r="O435" s="107" t="s">
        <v>499</v>
      </c>
      <c r="Q435" s="140"/>
      <c r="AA435" s="130"/>
      <c r="AB435" s="130"/>
      <c r="AC435" s="130"/>
      <c r="AD435" s="130"/>
      <c r="AE435" s="130"/>
      <c r="AF435" s="130"/>
      <c r="AG435" s="130"/>
      <c r="AH435" s="130"/>
      <c r="AY435" s="130"/>
      <c r="AZ435" s="130"/>
      <c r="BA435" s="130"/>
      <c r="BB435" s="130"/>
      <c r="BC435" s="130"/>
      <c r="BD435" s="130"/>
      <c r="BE435" s="130"/>
      <c r="BF435" s="130"/>
      <c r="BW435" s="130"/>
      <c r="BX435" s="130"/>
      <c r="BY435" s="130"/>
      <c r="BZ435" s="130"/>
      <c r="CA435" s="130"/>
      <c r="CB435" s="130"/>
      <c r="CC435" s="130"/>
      <c r="CD435" s="130"/>
      <c r="CU435" s="130"/>
      <c r="CV435" s="130"/>
      <c r="CW435" s="130"/>
      <c r="CX435" s="130"/>
      <c r="CY435" s="130"/>
      <c r="CZ435" s="130"/>
      <c r="DA435" s="130"/>
      <c r="DB435" s="130"/>
      <c r="DS435" s="130"/>
      <c r="DT435" s="130"/>
      <c r="DU435" s="130"/>
      <c r="DV435" s="130"/>
      <c r="DW435" s="130"/>
      <c r="DX435" s="130"/>
      <c r="DY435" s="130"/>
      <c r="DZ435" s="130"/>
      <c r="EQ435" s="130"/>
      <c r="ER435" s="130"/>
      <c r="ES435" s="130"/>
      <c r="ET435" s="130"/>
      <c r="EU435" s="130"/>
      <c r="EV435" s="130"/>
      <c r="EW435" s="130"/>
      <c r="EX435" s="130"/>
      <c r="FO435" s="130"/>
      <c r="FP435" s="130"/>
      <c r="FQ435" s="130"/>
      <c r="FR435" s="130"/>
      <c r="FS435" s="130"/>
      <c r="FT435" s="130"/>
      <c r="FU435" s="130"/>
      <c r="FV435" s="130"/>
      <c r="GM435" s="130"/>
      <c r="GN435" s="130"/>
      <c r="GO435" s="130"/>
      <c r="GP435" s="130"/>
      <c r="GQ435" s="130"/>
      <c r="GR435" s="130"/>
      <c r="GS435" s="130"/>
      <c r="GT435" s="130"/>
      <c r="HK435" s="130"/>
      <c r="HL435" s="130"/>
      <c r="HM435" s="130"/>
      <c r="HN435" s="130"/>
      <c r="HO435" s="130"/>
      <c r="HP435" s="130"/>
      <c r="HQ435" s="130"/>
      <c r="HR435" s="130"/>
      <c r="II435" s="130"/>
      <c r="IJ435" s="130"/>
      <c r="IK435" s="130"/>
      <c r="IL435" s="130"/>
      <c r="IM435" s="130"/>
      <c r="IN435" s="130"/>
      <c r="IO435" s="130"/>
      <c r="IP435" s="130"/>
    </row>
    <row r="436" spans="1:254" s="3" customFormat="1">
      <c r="A436" s="80">
        <v>83</v>
      </c>
      <c r="B436" s="60">
        <v>43077</v>
      </c>
      <c r="C436" s="18"/>
      <c r="D436" s="19" t="s">
        <v>441</v>
      </c>
      <c r="E436" s="20" t="s">
        <v>447</v>
      </c>
      <c r="F436" s="57" t="s">
        <v>613</v>
      </c>
      <c r="G436" s="63">
        <v>1709</v>
      </c>
      <c r="H436" s="121">
        <v>1626200</v>
      </c>
      <c r="I436" s="24"/>
      <c r="J436" s="24">
        <f>SUM(H436)/1.05</f>
        <v>1548761.9047619046</v>
      </c>
      <c r="K436" s="24">
        <f t="shared" si="37"/>
        <v>1548761.9047619046</v>
      </c>
      <c r="L436" s="123">
        <v>1</v>
      </c>
      <c r="M436" s="24">
        <f t="shared" si="38"/>
        <v>1548761.9047619046</v>
      </c>
      <c r="N436" s="124">
        <f t="shared" si="39"/>
        <v>0</v>
      </c>
      <c r="O436" s="107" t="s">
        <v>499</v>
      </c>
      <c r="Y436" s="131"/>
      <c r="Z436" s="15"/>
      <c r="AA436" s="132"/>
      <c r="AB436" s="133"/>
      <c r="AC436" s="134"/>
      <c r="AD436" s="134"/>
      <c r="AE436" s="135"/>
      <c r="AF436" s="136"/>
      <c r="AG436" s="137"/>
      <c r="AH436" s="137"/>
      <c r="AJ436" s="138"/>
      <c r="AK436" s="2"/>
      <c r="AL436" s="139"/>
      <c r="AW436" s="131"/>
      <c r="AX436" s="15"/>
      <c r="AY436" s="132"/>
      <c r="AZ436" s="133"/>
      <c r="BA436" s="134"/>
      <c r="BB436" s="134"/>
      <c r="BC436" s="135"/>
      <c r="BD436" s="136"/>
      <c r="BE436" s="137"/>
      <c r="BF436" s="137"/>
      <c r="BH436" s="138"/>
      <c r="BI436" s="2"/>
      <c r="BJ436" s="139"/>
      <c r="BU436" s="131"/>
      <c r="BV436" s="15"/>
      <c r="BW436" s="132"/>
      <c r="BX436" s="133"/>
      <c r="BY436" s="134"/>
      <c r="BZ436" s="134"/>
      <c r="CA436" s="135"/>
      <c r="CB436" s="136"/>
      <c r="CC436" s="137"/>
      <c r="CD436" s="137"/>
      <c r="CF436" s="138"/>
      <c r="CG436" s="2"/>
      <c r="CH436" s="139"/>
      <c r="CS436" s="131"/>
      <c r="CT436" s="15"/>
      <c r="CU436" s="132"/>
      <c r="CV436" s="133"/>
      <c r="CW436" s="134"/>
      <c r="CX436" s="134"/>
      <c r="CY436" s="135"/>
      <c r="CZ436" s="136"/>
      <c r="DA436" s="137"/>
      <c r="DB436" s="137"/>
      <c r="DD436" s="138"/>
      <c r="DE436" s="2"/>
      <c r="DF436" s="139"/>
      <c r="DQ436" s="131"/>
      <c r="DR436" s="15"/>
      <c r="DS436" s="132"/>
      <c r="DT436" s="133"/>
      <c r="DU436" s="134"/>
      <c r="DV436" s="134"/>
      <c r="DW436" s="135"/>
      <c r="DX436" s="136"/>
      <c r="DY436" s="137"/>
      <c r="DZ436" s="137"/>
      <c r="EB436" s="138"/>
      <c r="EC436" s="2"/>
      <c r="ED436" s="139"/>
      <c r="EO436" s="131"/>
      <c r="EP436" s="15"/>
      <c r="EQ436" s="132"/>
      <c r="ER436" s="133"/>
      <c r="ES436" s="134"/>
      <c r="ET436" s="134"/>
      <c r="EU436" s="135"/>
      <c r="EV436" s="136"/>
      <c r="EW436" s="137"/>
      <c r="EX436" s="137"/>
      <c r="EZ436" s="138"/>
      <c r="FA436" s="2"/>
      <c r="FB436" s="139"/>
      <c r="FM436" s="131"/>
      <c r="FN436" s="15"/>
      <c r="FO436" s="132"/>
      <c r="FP436" s="133"/>
      <c r="FQ436" s="134"/>
      <c r="FR436" s="134"/>
      <c r="FS436" s="135"/>
      <c r="FT436" s="136"/>
      <c r="FU436" s="137"/>
      <c r="FV436" s="137"/>
      <c r="FX436" s="138"/>
      <c r="FY436" s="2"/>
      <c r="FZ436" s="139"/>
      <c r="GK436" s="131"/>
      <c r="GL436" s="15"/>
      <c r="GM436" s="132"/>
      <c r="GN436" s="133"/>
      <c r="GO436" s="134"/>
      <c r="GP436" s="134"/>
      <c r="GQ436" s="135"/>
      <c r="GR436" s="136"/>
      <c r="GS436" s="137"/>
      <c r="GT436" s="137"/>
      <c r="GV436" s="138"/>
      <c r="GW436" s="2"/>
      <c r="GX436" s="139"/>
      <c r="HI436" s="131"/>
      <c r="HJ436" s="15"/>
      <c r="HK436" s="132"/>
      <c r="HL436" s="133"/>
      <c r="HM436" s="134"/>
      <c r="HN436" s="134"/>
      <c r="HO436" s="135"/>
      <c r="HP436" s="136"/>
      <c r="HQ436" s="137"/>
      <c r="HR436" s="137"/>
      <c r="HT436" s="138"/>
      <c r="HU436" s="2"/>
      <c r="HV436" s="139"/>
      <c r="IG436" s="131"/>
      <c r="IH436" s="15"/>
      <c r="II436" s="132"/>
      <c r="IJ436" s="133"/>
      <c r="IK436" s="134"/>
      <c r="IL436" s="134"/>
      <c r="IM436" s="135"/>
      <c r="IN436" s="136"/>
      <c r="IO436" s="137"/>
      <c r="IP436" s="137"/>
      <c r="IR436" s="138"/>
      <c r="IS436" s="2"/>
      <c r="IT436" s="139"/>
    </row>
    <row r="437" spans="1:254" s="3" customFormat="1">
      <c r="A437" s="80">
        <v>84</v>
      </c>
      <c r="B437" s="60">
        <v>43063</v>
      </c>
      <c r="C437" s="18"/>
      <c r="D437" s="19" t="s">
        <v>441</v>
      </c>
      <c r="E437" s="20" t="s">
        <v>447</v>
      </c>
      <c r="F437" s="62" t="s">
        <v>614</v>
      </c>
      <c r="G437" s="63">
        <v>1709</v>
      </c>
      <c r="H437" s="121">
        <v>1626200</v>
      </c>
      <c r="I437" s="24">
        <v>1548762</v>
      </c>
      <c r="J437" s="24"/>
      <c r="K437" s="24">
        <f t="shared" si="37"/>
        <v>1548762</v>
      </c>
      <c r="L437" s="123">
        <v>1</v>
      </c>
      <c r="M437" s="24">
        <f t="shared" si="38"/>
        <v>1548762</v>
      </c>
      <c r="N437" s="124">
        <f t="shared" si="39"/>
        <v>0</v>
      </c>
      <c r="O437" s="107" t="s">
        <v>499</v>
      </c>
      <c r="Q437" s="140"/>
      <c r="AA437" s="130"/>
      <c r="AB437" s="130"/>
      <c r="AC437" s="130"/>
      <c r="AD437" s="130"/>
      <c r="AE437" s="130"/>
      <c r="AF437" s="130"/>
      <c r="AG437" s="130"/>
      <c r="AH437" s="130"/>
      <c r="AY437" s="130"/>
      <c r="AZ437" s="130"/>
      <c r="BA437" s="130"/>
      <c r="BB437" s="130"/>
      <c r="BC437" s="130"/>
      <c r="BD437" s="130"/>
      <c r="BE437" s="130"/>
      <c r="BF437" s="130"/>
      <c r="BW437" s="130"/>
      <c r="BX437" s="130"/>
      <c r="BY437" s="130"/>
      <c r="BZ437" s="130"/>
      <c r="CA437" s="130"/>
      <c r="CB437" s="130"/>
      <c r="CC437" s="130"/>
      <c r="CD437" s="130"/>
      <c r="CU437" s="130"/>
      <c r="CV437" s="130"/>
      <c r="CW437" s="130"/>
      <c r="CX437" s="130"/>
      <c r="CY437" s="130"/>
      <c r="CZ437" s="130"/>
      <c r="DA437" s="130"/>
      <c r="DB437" s="130"/>
      <c r="DS437" s="130"/>
      <c r="DT437" s="130"/>
      <c r="DU437" s="130"/>
      <c r="DV437" s="130"/>
      <c r="DW437" s="130"/>
      <c r="DX437" s="130"/>
      <c r="DY437" s="130"/>
      <c r="DZ437" s="130"/>
      <c r="EQ437" s="130"/>
      <c r="ER437" s="130"/>
      <c r="ES437" s="130"/>
      <c r="ET437" s="130"/>
      <c r="EU437" s="130"/>
      <c r="EV437" s="130"/>
      <c r="EW437" s="130"/>
      <c r="EX437" s="130"/>
      <c r="FO437" s="130"/>
      <c r="FP437" s="130"/>
      <c r="FQ437" s="130"/>
      <c r="FR437" s="130"/>
      <c r="FS437" s="130"/>
      <c r="FT437" s="130"/>
      <c r="FU437" s="130"/>
      <c r="FV437" s="130"/>
      <c r="GM437" s="130"/>
      <c r="GN437" s="130"/>
      <c r="GO437" s="130"/>
      <c r="GP437" s="130"/>
      <c r="GQ437" s="130"/>
      <c r="GR437" s="130"/>
      <c r="GS437" s="130"/>
      <c r="GT437" s="130"/>
      <c r="HK437" s="130"/>
      <c r="HL437" s="130"/>
      <c r="HM437" s="130"/>
      <c r="HN437" s="130"/>
      <c r="HO437" s="130"/>
      <c r="HP437" s="130"/>
      <c r="HQ437" s="130"/>
      <c r="HR437" s="130"/>
      <c r="II437" s="130"/>
      <c r="IJ437" s="130"/>
      <c r="IK437" s="130"/>
      <c r="IL437" s="130"/>
      <c r="IM437" s="130"/>
      <c r="IN437" s="130"/>
      <c r="IO437" s="130"/>
      <c r="IP437" s="130"/>
    </row>
    <row r="438" spans="1:254" s="3" customFormat="1">
      <c r="A438" s="80">
        <v>85</v>
      </c>
      <c r="B438" s="60">
        <v>43074</v>
      </c>
      <c r="C438" s="18"/>
      <c r="D438" s="19" t="s">
        <v>441</v>
      </c>
      <c r="E438" s="20" t="s">
        <v>447</v>
      </c>
      <c r="F438" s="168" t="s">
        <v>615</v>
      </c>
      <c r="G438" s="63">
        <v>1709</v>
      </c>
      <c r="H438" s="121">
        <v>1626200</v>
      </c>
      <c r="I438" s="24"/>
      <c r="J438" s="24">
        <f t="shared" ref="J438:J452" si="41">SUM(H438)/1.05</f>
        <v>1548761.9047619046</v>
      </c>
      <c r="K438" s="24">
        <f t="shared" si="37"/>
        <v>1548761.9047619046</v>
      </c>
      <c r="L438" s="123">
        <v>1</v>
      </c>
      <c r="M438" s="24">
        <f t="shared" si="38"/>
        <v>1548761.9047619046</v>
      </c>
      <c r="N438" s="124">
        <f t="shared" si="39"/>
        <v>0</v>
      </c>
      <c r="O438" s="107" t="s">
        <v>499</v>
      </c>
      <c r="AA438" s="130"/>
      <c r="AB438" s="130"/>
      <c r="AC438" s="130"/>
      <c r="AD438" s="130"/>
      <c r="AE438" s="130"/>
      <c r="AF438" s="130"/>
      <c r="AG438" s="130"/>
      <c r="AH438" s="130"/>
      <c r="AY438" s="130"/>
      <c r="AZ438" s="130"/>
      <c r="BA438" s="130"/>
      <c r="BB438" s="130"/>
      <c r="BC438" s="130"/>
      <c r="BD438" s="130"/>
      <c r="BE438" s="130"/>
      <c r="BF438" s="130"/>
      <c r="BW438" s="130"/>
      <c r="BX438" s="130"/>
      <c r="BY438" s="130"/>
      <c r="BZ438" s="130"/>
      <c r="CA438" s="130"/>
      <c r="CB438" s="130"/>
      <c r="CC438" s="130"/>
      <c r="CD438" s="130"/>
      <c r="CU438" s="130"/>
      <c r="CV438" s="130"/>
      <c r="CW438" s="130"/>
      <c r="CX438" s="130"/>
      <c r="CY438" s="130"/>
      <c r="CZ438" s="130"/>
      <c r="DA438" s="130"/>
      <c r="DB438" s="130"/>
      <c r="DS438" s="130"/>
      <c r="DT438" s="130"/>
      <c r="DU438" s="130"/>
      <c r="DV438" s="130"/>
      <c r="DW438" s="130"/>
      <c r="DX438" s="130"/>
      <c r="DY438" s="130"/>
      <c r="DZ438" s="130"/>
      <c r="EQ438" s="130"/>
      <c r="ER438" s="130"/>
      <c r="ES438" s="130"/>
      <c r="ET438" s="130"/>
      <c r="EU438" s="130"/>
      <c r="EV438" s="130"/>
      <c r="EW438" s="130"/>
      <c r="EX438" s="130"/>
      <c r="FO438" s="130"/>
      <c r="FP438" s="130"/>
      <c r="FQ438" s="130"/>
      <c r="FR438" s="130"/>
      <c r="FS438" s="130"/>
      <c r="FT438" s="130"/>
      <c r="FU438" s="130"/>
      <c r="FV438" s="130"/>
      <c r="GM438" s="130"/>
      <c r="GN438" s="130"/>
      <c r="GO438" s="130"/>
      <c r="GP438" s="130"/>
      <c r="GQ438" s="130"/>
      <c r="GR438" s="130"/>
      <c r="GS438" s="130"/>
      <c r="GT438" s="130"/>
      <c r="HK438" s="130"/>
      <c r="HL438" s="130"/>
      <c r="HM438" s="130"/>
      <c r="HN438" s="130"/>
      <c r="HO438" s="130"/>
      <c r="HP438" s="130"/>
      <c r="HQ438" s="130"/>
      <c r="HR438" s="130"/>
      <c r="II438" s="130"/>
      <c r="IJ438" s="130"/>
      <c r="IK438" s="130"/>
      <c r="IL438" s="130"/>
      <c r="IM438" s="130"/>
      <c r="IN438" s="130"/>
      <c r="IO438" s="130"/>
      <c r="IP438" s="130"/>
    </row>
    <row r="439" spans="1:254" s="3" customFormat="1">
      <c r="A439" s="80">
        <v>86</v>
      </c>
      <c r="B439" s="56">
        <v>43084</v>
      </c>
      <c r="C439" s="18"/>
      <c r="D439" s="19" t="s">
        <v>441</v>
      </c>
      <c r="E439" s="20" t="s">
        <v>447</v>
      </c>
      <c r="F439" s="82" t="s">
        <v>616</v>
      </c>
      <c r="G439" s="58">
        <v>1709</v>
      </c>
      <c r="H439" s="121">
        <v>1626200</v>
      </c>
      <c r="I439" s="24"/>
      <c r="J439" s="24">
        <f t="shared" si="41"/>
        <v>1548761.9047619046</v>
      </c>
      <c r="K439" s="24">
        <f t="shared" si="37"/>
        <v>1548761.9047619046</v>
      </c>
      <c r="L439" s="123">
        <v>1</v>
      </c>
      <c r="M439" s="24">
        <f t="shared" si="38"/>
        <v>1548761.9047619046</v>
      </c>
      <c r="N439" s="124">
        <f t="shared" si="39"/>
        <v>0</v>
      </c>
      <c r="O439" s="107" t="s">
        <v>499</v>
      </c>
      <c r="Q439" s="140"/>
      <c r="AA439" s="130"/>
      <c r="AB439" s="130"/>
      <c r="AC439" s="130"/>
      <c r="AD439" s="130"/>
      <c r="AE439" s="130"/>
      <c r="AF439" s="130"/>
      <c r="AG439" s="130"/>
      <c r="AH439" s="130"/>
      <c r="AY439" s="130"/>
      <c r="AZ439" s="130"/>
      <c r="BA439" s="130"/>
      <c r="BB439" s="130"/>
      <c r="BC439" s="130"/>
      <c r="BD439" s="130"/>
      <c r="BE439" s="130"/>
      <c r="BF439" s="130"/>
      <c r="BW439" s="130"/>
      <c r="BX439" s="130"/>
      <c r="BY439" s="130"/>
      <c r="BZ439" s="130"/>
      <c r="CA439" s="130"/>
      <c r="CB439" s="130"/>
      <c r="CC439" s="130"/>
      <c r="CD439" s="130"/>
      <c r="CU439" s="130"/>
      <c r="CV439" s="130"/>
      <c r="CW439" s="130"/>
      <c r="CX439" s="130"/>
      <c r="CY439" s="130"/>
      <c r="CZ439" s="130"/>
      <c r="DA439" s="130"/>
      <c r="DB439" s="130"/>
      <c r="DS439" s="130"/>
      <c r="DT439" s="130"/>
      <c r="DU439" s="130"/>
      <c r="DV439" s="130"/>
      <c r="DW439" s="130"/>
      <c r="DX439" s="130"/>
      <c r="DY439" s="130"/>
      <c r="DZ439" s="130"/>
      <c r="EQ439" s="130"/>
      <c r="ER439" s="130"/>
      <c r="ES439" s="130"/>
      <c r="ET439" s="130"/>
      <c r="EU439" s="130"/>
      <c r="EV439" s="130"/>
      <c r="EW439" s="130"/>
      <c r="EX439" s="130"/>
      <c r="FO439" s="130"/>
      <c r="FP439" s="130"/>
      <c r="FQ439" s="130"/>
      <c r="FR439" s="130"/>
      <c r="FS439" s="130"/>
      <c r="FT439" s="130"/>
      <c r="FU439" s="130"/>
      <c r="FV439" s="130"/>
      <c r="GM439" s="130"/>
      <c r="GN439" s="130"/>
      <c r="GO439" s="130"/>
      <c r="GP439" s="130"/>
      <c r="GQ439" s="130"/>
      <c r="GR439" s="130"/>
      <c r="GS439" s="130"/>
      <c r="GT439" s="130"/>
      <c r="HK439" s="130"/>
      <c r="HL439" s="130"/>
      <c r="HM439" s="130"/>
      <c r="HN439" s="130"/>
      <c r="HO439" s="130"/>
      <c r="HP439" s="130"/>
      <c r="HQ439" s="130"/>
      <c r="HR439" s="130"/>
      <c r="II439" s="130"/>
      <c r="IJ439" s="130"/>
      <c r="IK439" s="130"/>
      <c r="IL439" s="130"/>
      <c r="IM439" s="130"/>
      <c r="IN439" s="130"/>
      <c r="IO439" s="130"/>
      <c r="IP439" s="130"/>
    </row>
    <row r="440" spans="1:254" s="3" customFormat="1">
      <c r="A440" s="80">
        <v>87</v>
      </c>
      <c r="B440" s="60">
        <v>43084</v>
      </c>
      <c r="C440" s="18"/>
      <c r="D440" s="19" t="s">
        <v>441</v>
      </c>
      <c r="E440" s="20" t="s">
        <v>447</v>
      </c>
      <c r="F440" s="82" t="s">
        <v>617</v>
      </c>
      <c r="G440" s="63">
        <v>1709</v>
      </c>
      <c r="H440" s="121">
        <v>1626200</v>
      </c>
      <c r="I440" s="24"/>
      <c r="J440" s="24">
        <f t="shared" si="41"/>
        <v>1548761.9047619046</v>
      </c>
      <c r="K440" s="24">
        <f t="shared" si="37"/>
        <v>1548761.9047619046</v>
      </c>
      <c r="L440" s="123">
        <v>1</v>
      </c>
      <c r="M440" s="24">
        <f t="shared" si="38"/>
        <v>1548761.9047619046</v>
      </c>
      <c r="N440" s="124">
        <f t="shared" si="39"/>
        <v>0</v>
      </c>
      <c r="O440" s="107" t="s">
        <v>499</v>
      </c>
      <c r="Q440" s="140"/>
      <c r="AA440" s="130"/>
      <c r="AB440" s="130"/>
      <c r="AC440" s="130"/>
      <c r="AD440" s="130"/>
      <c r="AE440" s="130"/>
      <c r="AF440" s="130"/>
      <c r="AG440" s="130"/>
      <c r="AH440" s="130"/>
      <c r="AY440" s="130"/>
      <c r="AZ440" s="130"/>
      <c r="BA440" s="130"/>
      <c r="BB440" s="130"/>
      <c r="BC440" s="130"/>
      <c r="BD440" s="130"/>
      <c r="BE440" s="130"/>
      <c r="BF440" s="130"/>
      <c r="BW440" s="130"/>
      <c r="BX440" s="130"/>
      <c r="BY440" s="130"/>
      <c r="BZ440" s="130"/>
      <c r="CA440" s="130"/>
      <c r="CB440" s="130"/>
      <c r="CC440" s="130"/>
      <c r="CD440" s="130"/>
      <c r="CU440" s="130"/>
      <c r="CV440" s="130"/>
      <c r="CW440" s="130"/>
      <c r="CX440" s="130"/>
      <c r="CY440" s="130"/>
      <c r="CZ440" s="130"/>
      <c r="DA440" s="130"/>
      <c r="DB440" s="130"/>
      <c r="DS440" s="130"/>
      <c r="DT440" s="130"/>
      <c r="DU440" s="130"/>
      <c r="DV440" s="130"/>
      <c r="DW440" s="130"/>
      <c r="DX440" s="130"/>
      <c r="DY440" s="130"/>
      <c r="DZ440" s="130"/>
      <c r="EQ440" s="130"/>
      <c r="ER440" s="130"/>
      <c r="ES440" s="130"/>
      <c r="ET440" s="130"/>
      <c r="EU440" s="130"/>
      <c r="EV440" s="130"/>
      <c r="EW440" s="130"/>
      <c r="EX440" s="130"/>
      <c r="FO440" s="130"/>
      <c r="FP440" s="130"/>
      <c r="FQ440" s="130"/>
      <c r="FR440" s="130"/>
      <c r="FS440" s="130"/>
      <c r="FT440" s="130"/>
      <c r="FU440" s="130"/>
      <c r="FV440" s="130"/>
      <c r="GM440" s="130"/>
      <c r="GN440" s="130"/>
      <c r="GO440" s="130"/>
      <c r="GP440" s="130"/>
      <c r="GQ440" s="130"/>
      <c r="GR440" s="130"/>
      <c r="GS440" s="130"/>
      <c r="GT440" s="130"/>
      <c r="HK440" s="130"/>
      <c r="HL440" s="130"/>
      <c r="HM440" s="130"/>
      <c r="HN440" s="130"/>
      <c r="HO440" s="130"/>
      <c r="HP440" s="130"/>
      <c r="HQ440" s="130"/>
      <c r="HR440" s="130"/>
      <c r="II440" s="130"/>
      <c r="IJ440" s="130"/>
      <c r="IK440" s="130"/>
      <c r="IL440" s="130"/>
      <c r="IM440" s="130"/>
      <c r="IN440" s="130"/>
      <c r="IO440" s="130"/>
      <c r="IP440" s="130"/>
    </row>
    <row r="441" spans="1:254" s="3" customFormat="1">
      <c r="A441" s="80">
        <v>88</v>
      </c>
      <c r="B441" s="56">
        <v>43081</v>
      </c>
      <c r="C441" s="18"/>
      <c r="D441" s="19" t="s">
        <v>441</v>
      </c>
      <c r="E441" s="20" t="s">
        <v>447</v>
      </c>
      <c r="F441" s="57" t="s">
        <v>618</v>
      </c>
      <c r="G441" s="58">
        <v>1710</v>
      </c>
      <c r="H441" s="121">
        <v>1626200</v>
      </c>
      <c r="I441" s="24"/>
      <c r="J441" s="24">
        <f t="shared" si="41"/>
        <v>1548761.9047619046</v>
      </c>
      <c r="K441" s="24">
        <f t="shared" si="37"/>
        <v>1548761.9047619046</v>
      </c>
      <c r="L441" s="123">
        <v>1</v>
      </c>
      <c r="M441" s="24">
        <f t="shared" si="38"/>
        <v>1548761.9047619046</v>
      </c>
      <c r="N441" s="124">
        <f t="shared" si="39"/>
        <v>0</v>
      </c>
      <c r="O441" s="107" t="s">
        <v>499</v>
      </c>
      <c r="Q441" s="140"/>
      <c r="AA441" s="130"/>
      <c r="AB441" s="130"/>
      <c r="AC441" s="130"/>
      <c r="AD441" s="130"/>
      <c r="AE441" s="130"/>
      <c r="AF441" s="130"/>
      <c r="AG441" s="130"/>
      <c r="AH441" s="130"/>
      <c r="AY441" s="130"/>
      <c r="AZ441" s="130"/>
      <c r="BA441" s="130"/>
      <c r="BB441" s="130"/>
      <c r="BC441" s="130"/>
      <c r="BD441" s="130"/>
      <c r="BE441" s="130"/>
      <c r="BF441" s="130"/>
      <c r="BW441" s="130"/>
      <c r="BX441" s="130"/>
      <c r="BY441" s="130"/>
      <c r="BZ441" s="130"/>
      <c r="CA441" s="130"/>
      <c r="CB441" s="130"/>
      <c r="CC441" s="130"/>
      <c r="CD441" s="130"/>
      <c r="CU441" s="130"/>
      <c r="CV441" s="130"/>
      <c r="CW441" s="130"/>
      <c r="CX441" s="130"/>
      <c r="CY441" s="130"/>
      <c r="CZ441" s="130"/>
      <c r="DA441" s="130"/>
      <c r="DB441" s="130"/>
      <c r="DS441" s="130"/>
      <c r="DT441" s="130"/>
      <c r="DU441" s="130"/>
      <c r="DV441" s="130"/>
      <c r="DW441" s="130"/>
      <c r="DX441" s="130"/>
      <c r="DY441" s="130"/>
      <c r="DZ441" s="130"/>
      <c r="EQ441" s="130"/>
      <c r="ER441" s="130"/>
      <c r="ES441" s="130"/>
      <c r="ET441" s="130"/>
      <c r="EU441" s="130"/>
      <c r="EV441" s="130"/>
      <c r="EW441" s="130"/>
      <c r="EX441" s="130"/>
      <c r="FO441" s="130"/>
      <c r="FP441" s="130"/>
      <c r="FQ441" s="130"/>
      <c r="FR441" s="130"/>
      <c r="FS441" s="130"/>
      <c r="FT441" s="130"/>
      <c r="FU441" s="130"/>
      <c r="FV441" s="130"/>
      <c r="GM441" s="130"/>
      <c r="GN441" s="130"/>
      <c r="GO441" s="130"/>
      <c r="GP441" s="130"/>
      <c r="GQ441" s="130"/>
      <c r="GR441" s="130"/>
      <c r="GS441" s="130"/>
      <c r="GT441" s="130"/>
      <c r="HK441" s="130"/>
      <c r="HL441" s="130"/>
      <c r="HM441" s="130"/>
      <c r="HN441" s="130"/>
      <c r="HO441" s="130"/>
      <c r="HP441" s="130"/>
      <c r="HQ441" s="130"/>
      <c r="HR441" s="130"/>
      <c r="II441" s="130"/>
      <c r="IJ441" s="130"/>
      <c r="IK441" s="130"/>
      <c r="IL441" s="130"/>
      <c r="IM441" s="130"/>
      <c r="IN441" s="130"/>
      <c r="IO441" s="130"/>
      <c r="IP441" s="130"/>
    </row>
    <row r="442" spans="1:254" s="3" customFormat="1">
      <c r="A442" s="80">
        <v>89</v>
      </c>
      <c r="B442" s="56">
        <v>43089</v>
      </c>
      <c r="C442" s="18"/>
      <c r="D442" s="19" t="s">
        <v>441</v>
      </c>
      <c r="E442" s="20" t="s">
        <v>447</v>
      </c>
      <c r="F442" s="82" t="s">
        <v>619</v>
      </c>
      <c r="G442" s="63">
        <v>1710</v>
      </c>
      <c r="H442" s="121">
        <v>1626200</v>
      </c>
      <c r="I442" s="24"/>
      <c r="J442" s="24">
        <f t="shared" si="41"/>
        <v>1548761.9047619046</v>
      </c>
      <c r="K442" s="24">
        <f t="shared" si="37"/>
        <v>1548761.9047619046</v>
      </c>
      <c r="L442" s="123">
        <v>1</v>
      </c>
      <c r="M442" s="24">
        <f t="shared" si="38"/>
        <v>1548761.9047619046</v>
      </c>
      <c r="N442" s="124">
        <f t="shared" si="39"/>
        <v>0</v>
      </c>
      <c r="O442" s="107" t="s">
        <v>499</v>
      </c>
      <c r="AA442" s="130"/>
      <c r="AB442" s="130"/>
      <c r="AC442" s="130"/>
      <c r="AD442" s="130"/>
      <c r="AE442" s="130"/>
      <c r="AF442" s="130"/>
      <c r="AG442" s="130"/>
      <c r="AH442" s="130"/>
      <c r="AY442" s="130"/>
      <c r="AZ442" s="130"/>
      <c r="BA442" s="130"/>
      <c r="BB442" s="130"/>
      <c r="BC442" s="130"/>
      <c r="BD442" s="130"/>
      <c r="BE442" s="130"/>
      <c r="BF442" s="130"/>
      <c r="BW442" s="130"/>
      <c r="BX442" s="130"/>
      <c r="BY442" s="130"/>
      <c r="BZ442" s="130"/>
      <c r="CA442" s="130"/>
      <c r="CB442" s="130"/>
      <c r="CC442" s="130"/>
      <c r="CD442" s="130"/>
      <c r="CU442" s="130"/>
      <c r="CV442" s="130"/>
      <c r="CW442" s="130"/>
      <c r="CX442" s="130"/>
      <c r="CY442" s="130"/>
      <c r="CZ442" s="130"/>
      <c r="DA442" s="130"/>
      <c r="DB442" s="130"/>
      <c r="DS442" s="130"/>
      <c r="DT442" s="130"/>
      <c r="DU442" s="130"/>
      <c r="DV442" s="130"/>
      <c r="DW442" s="130"/>
      <c r="DX442" s="130"/>
      <c r="DY442" s="130"/>
      <c r="DZ442" s="130"/>
      <c r="EQ442" s="130"/>
      <c r="ER442" s="130"/>
      <c r="ES442" s="130"/>
      <c r="ET442" s="130"/>
      <c r="EU442" s="130"/>
      <c r="EV442" s="130"/>
      <c r="EW442" s="130"/>
      <c r="EX442" s="130"/>
      <c r="FO442" s="130"/>
      <c r="FP442" s="130"/>
      <c r="FQ442" s="130"/>
      <c r="FR442" s="130"/>
      <c r="FS442" s="130"/>
      <c r="FT442" s="130"/>
      <c r="FU442" s="130"/>
      <c r="FV442" s="130"/>
      <c r="GM442" s="130"/>
      <c r="GN442" s="130"/>
      <c r="GO442" s="130"/>
      <c r="GP442" s="130"/>
      <c r="GQ442" s="130"/>
      <c r="GR442" s="130"/>
      <c r="GS442" s="130"/>
      <c r="GT442" s="130"/>
      <c r="HK442" s="130"/>
      <c r="HL442" s="130"/>
      <c r="HM442" s="130"/>
      <c r="HN442" s="130"/>
      <c r="HO442" s="130"/>
      <c r="HP442" s="130"/>
      <c r="HQ442" s="130"/>
      <c r="HR442" s="130"/>
      <c r="II442" s="130"/>
      <c r="IJ442" s="130"/>
      <c r="IK442" s="130"/>
      <c r="IL442" s="130"/>
      <c r="IM442" s="130"/>
      <c r="IN442" s="130"/>
      <c r="IO442" s="130"/>
      <c r="IP442" s="130"/>
    </row>
    <row r="443" spans="1:254" s="3" customFormat="1">
      <c r="A443" s="80">
        <v>90</v>
      </c>
      <c r="B443" s="56">
        <v>43090</v>
      </c>
      <c r="C443" s="18"/>
      <c r="D443" s="19" t="s">
        <v>441</v>
      </c>
      <c r="E443" s="20" t="s">
        <v>447</v>
      </c>
      <c r="F443" s="82" t="s">
        <v>620</v>
      </c>
      <c r="G443" s="58">
        <v>1710</v>
      </c>
      <c r="H443" s="121">
        <v>1626200</v>
      </c>
      <c r="I443" s="24"/>
      <c r="J443" s="24">
        <f t="shared" si="41"/>
        <v>1548761.9047619046</v>
      </c>
      <c r="K443" s="24">
        <f t="shared" si="37"/>
        <v>1548761.9047619046</v>
      </c>
      <c r="L443" s="123">
        <v>1</v>
      </c>
      <c r="M443" s="24">
        <f t="shared" si="38"/>
        <v>1548761.9047619046</v>
      </c>
      <c r="N443" s="124">
        <f t="shared" si="39"/>
        <v>0</v>
      </c>
      <c r="O443" s="107" t="s">
        <v>499</v>
      </c>
      <c r="AA443" s="130"/>
      <c r="AB443" s="130"/>
      <c r="AC443" s="130"/>
      <c r="AD443" s="130"/>
      <c r="AE443" s="130"/>
      <c r="AF443" s="130"/>
      <c r="AG443" s="130"/>
      <c r="AH443" s="130"/>
      <c r="AY443" s="130"/>
      <c r="AZ443" s="130"/>
      <c r="BA443" s="130"/>
      <c r="BB443" s="130"/>
      <c r="BC443" s="130"/>
      <c r="BD443" s="130"/>
      <c r="BE443" s="130"/>
      <c r="BF443" s="130"/>
      <c r="BW443" s="130"/>
      <c r="BX443" s="130"/>
      <c r="BY443" s="130"/>
      <c r="BZ443" s="130"/>
      <c r="CA443" s="130"/>
      <c r="CB443" s="130"/>
      <c r="CC443" s="130"/>
      <c r="CD443" s="130"/>
      <c r="CU443" s="130"/>
      <c r="CV443" s="130"/>
      <c r="CW443" s="130"/>
      <c r="CX443" s="130"/>
      <c r="CY443" s="130"/>
      <c r="CZ443" s="130"/>
      <c r="DA443" s="130"/>
      <c r="DB443" s="130"/>
      <c r="DS443" s="130"/>
      <c r="DT443" s="130"/>
      <c r="DU443" s="130"/>
      <c r="DV443" s="130"/>
      <c r="DW443" s="130"/>
      <c r="DX443" s="130"/>
      <c r="DY443" s="130"/>
      <c r="DZ443" s="130"/>
      <c r="EQ443" s="130"/>
      <c r="ER443" s="130"/>
      <c r="ES443" s="130"/>
      <c r="ET443" s="130"/>
      <c r="EU443" s="130"/>
      <c r="EV443" s="130"/>
      <c r="EW443" s="130"/>
      <c r="EX443" s="130"/>
      <c r="FO443" s="130"/>
      <c r="FP443" s="130"/>
      <c r="FQ443" s="130"/>
      <c r="FR443" s="130"/>
      <c r="FS443" s="130"/>
      <c r="FT443" s="130"/>
      <c r="FU443" s="130"/>
      <c r="FV443" s="130"/>
      <c r="GM443" s="130"/>
      <c r="GN443" s="130"/>
      <c r="GO443" s="130"/>
      <c r="GP443" s="130"/>
      <c r="GQ443" s="130"/>
      <c r="GR443" s="130"/>
      <c r="GS443" s="130"/>
      <c r="GT443" s="130"/>
      <c r="HK443" s="130"/>
      <c r="HL443" s="130"/>
      <c r="HM443" s="130"/>
      <c r="HN443" s="130"/>
      <c r="HO443" s="130"/>
      <c r="HP443" s="130"/>
      <c r="HQ443" s="130"/>
      <c r="HR443" s="130"/>
      <c r="II443" s="130"/>
      <c r="IJ443" s="130"/>
      <c r="IK443" s="130"/>
      <c r="IL443" s="130"/>
      <c r="IM443" s="130"/>
      <c r="IN443" s="130"/>
      <c r="IO443" s="130"/>
      <c r="IP443" s="130"/>
    </row>
    <row r="444" spans="1:254" s="3" customFormat="1">
      <c r="A444" s="80">
        <v>91</v>
      </c>
      <c r="B444" s="56">
        <v>43096</v>
      </c>
      <c r="C444" s="18"/>
      <c r="D444" s="19" t="s">
        <v>441</v>
      </c>
      <c r="E444" s="20" t="s">
        <v>454</v>
      </c>
      <c r="F444" s="62" t="s">
        <v>621</v>
      </c>
      <c r="G444" s="63">
        <v>1709</v>
      </c>
      <c r="H444" s="121">
        <f>160000+1823600</f>
        <v>1983600</v>
      </c>
      <c r="I444" s="24"/>
      <c r="J444" s="24">
        <f>SUM(H444)/1.05</f>
        <v>1889142.857142857</v>
      </c>
      <c r="K444" s="24">
        <f>I444+J444</f>
        <v>1889142.857142857</v>
      </c>
      <c r="L444" s="123">
        <v>1</v>
      </c>
      <c r="M444" s="24">
        <f>K444*L444</f>
        <v>1889142.857142857</v>
      </c>
      <c r="N444" s="124">
        <f>K444-M444</f>
        <v>0</v>
      </c>
      <c r="O444" s="107" t="s">
        <v>499</v>
      </c>
      <c r="Q444" s="140"/>
      <c r="AA444" s="130"/>
      <c r="AB444" s="130"/>
      <c r="AC444" s="130"/>
      <c r="AD444" s="130"/>
      <c r="AE444" s="130"/>
      <c r="AF444" s="130"/>
      <c r="AG444" s="130"/>
      <c r="AH444" s="130"/>
      <c r="AY444" s="130"/>
      <c r="AZ444" s="130"/>
      <c r="BA444" s="130"/>
      <c r="BB444" s="130"/>
      <c r="BC444" s="130"/>
      <c r="BD444" s="130"/>
      <c r="BE444" s="130"/>
      <c r="BF444" s="130"/>
      <c r="BW444" s="130"/>
      <c r="BX444" s="130"/>
      <c r="BY444" s="130"/>
      <c r="BZ444" s="130"/>
      <c r="CA444" s="130"/>
      <c r="CB444" s="130"/>
      <c r="CC444" s="130"/>
      <c r="CD444" s="130"/>
      <c r="CU444" s="130"/>
      <c r="CV444" s="130"/>
      <c r="CW444" s="130"/>
      <c r="CX444" s="130"/>
      <c r="CY444" s="130"/>
      <c r="CZ444" s="130"/>
      <c r="DA444" s="130"/>
      <c r="DB444" s="130"/>
      <c r="DS444" s="130"/>
      <c r="DT444" s="130"/>
      <c r="DU444" s="130"/>
      <c r="DV444" s="130"/>
      <c r="DW444" s="130"/>
      <c r="DX444" s="130"/>
      <c r="DY444" s="130"/>
      <c r="DZ444" s="130"/>
      <c r="EQ444" s="130"/>
      <c r="ER444" s="130"/>
      <c r="ES444" s="130"/>
      <c r="ET444" s="130"/>
      <c r="EU444" s="130"/>
      <c r="EV444" s="130"/>
      <c r="EW444" s="130"/>
      <c r="EX444" s="130"/>
      <c r="FO444" s="130"/>
      <c r="FP444" s="130"/>
      <c r="FQ444" s="130"/>
      <c r="FR444" s="130"/>
      <c r="FS444" s="130"/>
      <c r="FT444" s="130"/>
      <c r="FU444" s="130"/>
      <c r="FV444" s="130"/>
      <c r="GM444" s="130"/>
      <c r="GN444" s="130"/>
      <c r="GO444" s="130"/>
      <c r="GP444" s="130"/>
      <c r="GQ444" s="130"/>
      <c r="GR444" s="130"/>
      <c r="GS444" s="130"/>
      <c r="GT444" s="130"/>
      <c r="HK444" s="130"/>
      <c r="HL444" s="130"/>
      <c r="HM444" s="130"/>
      <c r="HN444" s="130"/>
      <c r="HO444" s="130"/>
      <c r="HP444" s="130"/>
      <c r="HQ444" s="130"/>
      <c r="HR444" s="130"/>
      <c r="II444" s="130"/>
      <c r="IJ444" s="130"/>
      <c r="IK444" s="130"/>
      <c r="IL444" s="130"/>
      <c r="IM444" s="130"/>
      <c r="IN444" s="130"/>
      <c r="IO444" s="130"/>
      <c r="IP444" s="130"/>
    </row>
    <row r="445" spans="1:254" s="3" customFormat="1">
      <c r="A445" s="80">
        <v>92</v>
      </c>
      <c r="B445" s="56">
        <v>43088</v>
      </c>
      <c r="C445" s="18"/>
      <c r="D445" s="19" t="s">
        <v>441</v>
      </c>
      <c r="E445" s="20" t="s">
        <v>454</v>
      </c>
      <c r="F445" s="82" t="s">
        <v>622</v>
      </c>
      <c r="G445" s="58">
        <v>1707</v>
      </c>
      <c r="H445" s="121">
        <f>160000+1823600</f>
        <v>1983600</v>
      </c>
      <c r="I445" s="24"/>
      <c r="J445" s="24">
        <f t="shared" si="41"/>
        <v>1889142.857142857</v>
      </c>
      <c r="K445" s="24">
        <f t="shared" si="37"/>
        <v>1889142.857142857</v>
      </c>
      <c r="L445" s="123">
        <v>1</v>
      </c>
      <c r="M445" s="24">
        <f t="shared" si="38"/>
        <v>1889142.857142857</v>
      </c>
      <c r="N445" s="124">
        <f t="shared" si="39"/>
        <v>0</v>
      </c>
      <c r="O445" s="107" t="s">
        <v>499</v>
      </c>
      <c r="Q445" s="140"/>
      <c r="AA445" s="130"/>
      <c r="AB445" s="130"/>
      <c r="AC445" s="130"/>
      <c r="AD445" s="130"/>
      <c r="AE445" s="130"/>
      <c r="AF445" s="130"/>
      <c r="AG445" s="130"/>
      <c r="AH445" s="130"/>
      <c r="AY445" s="130"/>
      <c r="AZ445" s="130"/>
      <c r="BA445" s="130"/>
      <c r="BB445" s="130"/>
      <c r="BC445" s="130"/>
      <c r="BD445" s="130"/>
      <c r="BE445" s="130"/>
      <c r="BF445" s="130"/>
      <c r="BW445" s="130"/>
      <c r="BX445" s="130"/>
      <c r="BY445" s="130"/>
      <c r="BZ445" s="130"/>
      <c r="CA445" s="130"/>
      <c r="CB445" s="130"/>
      <c r="CC445" s="130"/>
      <c r="CD445" s="130"/>
      <c r="CU445" s="130"/>
      <c r="CV445" s="130"/>
      <c r="CW445" s="130"/>
      <c r="CX445" s="130"/>
      <c r="CY445" s="130"/>
      <c r="CZ445" s="130"/>
      <c r="DA445" s="130"/>
      <c r="DB445" s="130"/>
      <c r="DS445" s="130"/>
      <c r="DT445" s="130"/>
      <c r="DU445" s="130"/>
      <c r="DV445" s="130"/>
      <c r="DW445" s="130"/>
      <c r="DX445" s="130"/>
      <c r="DY445" s="130"/>
      <c r="DZ445" s="130"/>
      <c r="EQ445" s="130"/>
      <c r="ER445" s="130"/>
      <c r="ES445" s="130"/>
      <c r="ET445" s="130"/>
      <c r="EU445" s="130"/>
      <c r="EV445" s="130"/>
      <c r="EW445" s="130"/>
      <c r="EX445" s="130"/>
      <c r="FO445" s="130"/>
      <c r="FP445" s="130"/>
      <c r="FQ445" s="130"/>
      <c r="FR445" s="130"/>
      <c r="FS445" s="130"/>
      <c r="FT445" s="130"/>
      <c r="FU445" s="130"/>
      <c r="FV445" s="130"/>
      <c r="GM445" s="130"/>
      <c r="GN445" s="130"/>
      <c r="GO445" s="130"/>
      <c r="GP445" s="130"/>
      <c r="GQ445" s="130"/>
      <c r="GR445" s="130"/>
      <c r="GS445" s="130"/>
      <c r="GT445" s="130"/>
      <c r="HK445" s="130"/>
      <c r="HL445" s="130"/>
      <c r="HM445" s="130"/>
      <c r="HN445" s="130"/>
      <c r="HO445" s="130"/>
      <c r="HP445" s="130"/>
      <c r="HQ445" s="130"/>
      <c r="HR445" s="130"/>
      <c r="II445" s="130"/>
      <c r="IJ445" s="130"/>
      <c r="IK445" s="130"/>
      <c r="IL445" s="130"/>
      <c r="IM445" s="130"/>
      <c r="IN445" s="130"/>
      <c r="IO445" s="130"/>
      <c r="IP445" s="130"/>
    </row>
    <row r="446" spans="1:254" s="3" customFormat="1">
      <c r="A446" s="80">
        <v>93</v>
      </c>
      <c r="B446" s="60">
        <v>43094</v>
      </c>
      <c r="C446" s="18"/>
      <c r="D446" s="19" t="s">
        <v>441</v>
      </c>
      <c r="E446" s="20" t="s">
        <v>454</v>
      </c>
      <c r="F446" s="168" t="s">
        <v>623</v>
      </c>
      <c r="G446" s="63">
        <v>1707</v>
      </c>
      <c r="H446" s="121">
        <f>160000+1823600</f>
        <v>1983600</v>
      </c>
      <c r="I446" s="24"/>
      <c r="J446" s="24">
        <f t="shared" si="41"/>
        <v>1889142.857142857</v>
      </c>
      <c r="K446" s="24">
        <f t="shared" si="37"/>
        <v>1889142.857142857</v>
      </c>
      <c r="L446" s="123">
        <v>1</v>
      </c>
      <c r="M446" s="24">
        <f t="shared" si="38"/>
        <v>1889142.857142857</v>
      </c>
      <c r="N446" s="124">
        <f t="shared" si="39"/>
        <v>0</v>
      </c>
      <c r="O446" s="107" t="s">
        <v>499</v>
      </c>
      <c r="AA446" s="130"/>
      <c r="AB446" s="130"/>
      <c r="AC446" s="130"/>
      <c r="AD446" s="130"/>
      <c r="AE446" s="130"/>
      <c r="AF446" s="130"/>
      <c r="AG446" s="130"/>
      <c r="AH446" s="130"/>
      <c r="AY446" s="130"/>
      <c r="AZ446" s="130"/>
      <c r="BA446" s="130"/>
      <c r="BB446" s="130"/>
      <c r="BC446" s="130"/>
      <c r="BD446" s="130"/>
      <c r="BE446" s="130"/>
      <c r="BF446" s="130"/>
      <c r="BW446" s="130"/>
      <c r="BX446" s="130"/>
      <c r="BY446" s="130"/>
      <c r="BZ446" s="130"/>
      <c r="CA446" s="130"/>
      <c r="CB446" s="130"/>
      <c r="CC446" s="130"/>
      <c r="CD446" s="130"/>
      <c r="CU446" s="130"/>
      <c r="CV446" s="130"/>
      <c r="CW446" s="130"/>
      <c r="CX446" s="130"/>
      <c r="CY446" s="130"/>
      <c r="CZ446" s="130"/>
      <c r="DA446" s="130"/>
      <c r="DB446" s="130"/>
      <c r="DS446" s="130"/>
      <c r="DT446" s="130"/>
      <c r="DU446" s="130"/>
      <c r="DV446" s="130"/>
      <c r="DW446" s="130"/>
      <c r="DX446" s="130"/>
      <c r="DY446" s="130"/>
      <c r="DZ446" s="130"/>
      <c r="EQ446" s="130"/>
      <c r="ER446" s="130"/>
      <c r="ES446" s="130"/>
      <c r="ET446" s="130"/>
      <c r="EU446" s="130"/>
      <c r="EV446" s="130"/>
      <c r="EW446" s="130"/>
      <c r="EX446" s="130"/>
      <c r="FO446" s="130"/>
      <c r="FP446" s="130"/>
      <c r="FQ446" s="130"/>
      <c r="FR446" s="130"/>
      <c r="FS446" s="130"/>
      <c r="FT446" s="130"/>
      <c r="FU446" s="130"/>
      <c r="FV446" s="130"/>
      <c r="GM446" s="130"/>
      <c r="GN446" s="130"/>
      <c r="GO446" s="130"/>
      <c r="GP446" s="130"/>
      <c r="GQ446" s="130"/>
      <c r="GR446" s="130"/>
      <c r="GS446" s="130"/>
      <c r="GT446" s="130"/>
      <c r="HK446" s="130"/>
      <c r="HL446" s="130"/>
      <c r="HM446" s="130"/>
      <c r="HN446" s="130"/>
      <c r="HO446" s="130"/>
      <c r="HP446" s="130"/>
      <c r="HQ446" s="130"/>
      <c r="HR446" s="130"/>
      <c r="II446" s="130"/>
      <c r="IJ446" s="130"/>
      <c r="IK446" s="130"/>
      <c r="IL446" s="130"/>
      <c r="IM446" s="130"/>
      <c r="IN446" s="130"/>
      <c r="IO446" s="130"/>
      <c r="IP446" s="130"/>
    </row>
    <row r="447" spans="1:254" s="3" customFormat="1">
      <c r="A447" s="80">
        <v>94</v>
      </c>
      <c r="B447" s="56">
        <v>43084</v>
      </c>
      <c r="C447" s="18" t="s">
        <v>624</v>
      </c>
      <c r="D447" s="19" t="s">
        <v>441</v>
      </c>
      <c r="E447" s="20" t="s">
        <v>458</v>
      </c>
      <c r="F447" s="82" t="s">
        <v>625</v>
      </c>
      <c r="G447" s="63">
        <v>1708</v>
      </c>
      <c r="H447" s="121">
        <f>1823600+9700</f>
        <v>1833300</v>
      </c>
      <c r="I447" s="24"/>
      <c r="J447" s="24">
        <f t="shared" si="41"/>
        <v>1746000</v>
      </c>
      <c r="K447" s="24">
        <f t="shared" si="37"/>
        <v>1746000</v>
      </c>
      <c r="L447" s="123">
        <v>1</v>
      </c>
      <c r="M447" s="24">
        <f t="shared" si="38"/>
        <v>1746000</v>
      </c>
      <c r="N447" s="124">
        <f t="shared" si="39"/>
        <v>0</v>
      </c>
      <c r="O447" s="107" t="s">
        <v>499</v>
      </c>
      <c r="AA447" s="130"/>
      <c r="AB447" s="130"/>
      <c r="AC447" s="130"/>
      <c r="AD447" s="130"/>
      <c r="AE447" s="130"/>
      <c r="AF447" s="130"/>
      <c r="AG447" s="130"/>
      <c r="AH447" s="130"/>
      <c r="AY447" s="130"/>
      <c r="AZ447" s="130"/>
      <c r="BA447" s="130"/>
      <c r="BB447" s="130"/>
      <c r="BC447" s="130"/>
      <c r="BD447" s="130"/>
      <c r="BE447" s="130"/>
      <c r="BF447" s="130"/>
      <c r="BW447" s="130"/>
      <c r="BX447" s="130"/>
      <c r="BY447" s="130"/>
      <c r="BZ447" s="130"/>
      <c r="CA447" s="130"/>
      <c r="CB447" s="130"/>
      <c r="CC447" s="130"/>
      <c r="CD447" s="130"/>
      <c r="CU447" s="130"/>
      <c r="CV447" s="130"/>
      <c r="CW447" s="130"/>
      <c r="CX447" s="130"/>
      <c r="CY447" s="130"/>
      <c r="CZ447" s="130"/>
      <c r="DA447" s="130"/>
      <c r="DB447" s="130"/>
      <c r="DS447" s="130"/>
      <c r="DT447" s="130"/>
      <c r="DU447" s="130"/>
      <c r="DV447" s="130"/>
      <c r="DW447" s="130"/>
      <c r="DX447" s="130"/>
      <c r="DY447" s="130"/>
      <c r="DZ447" s="130"/>
      <c r="EQ447" s="130"/>
      <c r="ER447" s="130"/>
      <c r="ES447" s="130"/>
      <c r="ET447" s="130"/>
      <c r="EU447" s="130"/>
      <c r="EV447" s="130"/>
      <c r="EW447" s="130"/>
      <c r="EX447" s="130"/>
      <c r="FO447" s="130"/>
      <c r="FP447" s="130"/>
      <c r="FQ447" s="130"/>
      <c r="FR447" s="130"/>
      <c r="FS447" s="130"/>
      <c r="FT447" s="130"/>
      <c r="FU447" s="130"/>
      <c r="FV447" s="130"/>
      <c r="GM447" s="130"/>
      <c r="GN447" s="130"/>
      <c r="GO447" s="130"/>
      <c r="GP447" s="130"/>
      <c r="GQ447" s="130"/>
      <c r="GR447" s="130"/>
      <c r="GS447" s="130"/>
      <c r="GT447" s="130"/>
      <c r="HK447" s="130"/>
      <c r="HL447" s="130"/>
      <c r="HM447" s="130"/>
      <c r="HN447" s="130"/>
      <c r="HO447" s="130"/>
      <c r="HP447" s="130"/>
      <c r="HQ447" s="130"/>
      <c r="HR447" s="130"/>
      <c r="II447" s="130"/>
      <c r="IJ447" s="130"/>
      <c r="IK447" s="130"/>
      <c r="IL447" s="130"/>
      <c r="IM447" s="130"/>
      <c r="IN447" s="130"/>
      <c r="IO447" s="130"/>
      <c r="IP447" s="130"/>
    </row>
    <row r="448" spans="1:254" s="3" customFormat="1">
      <c r="A448" s="80">
        <v>95</v>
      </c>
      <c r="B448" s="56">
        <v>43084</v>
      </c>
      <c r="C448" s="18"/>
      <c r="D448" s="19" t="s">
        <v>441</v>
      </c>
      <c r="E448" s="20" t="s">
        <v>454</v>
      </c>
      <c r="F448" s="82" t="s">
        <v>626</v>
      </c>
      <c r="G448" s="63">
        <v>1708</v>
      </c>
      <c r="H448" s="121">
        <v>1823600</v>
      </c>
      <c r="I448" s="24"/>
      <c r="J448" s="24">
        <f t="shared" si="41"/>
        <v>1736761.9047619046</v>
      </c>
      <c r="K448" s="24">
        <f t="shared" si="37"/>
        <v>1736761.9047619046</v>
      </c>
      <c r="L448" s="123">
        <v>1</v>
      </c>
      <c r="M448" s="24">
        <f t="shared" si="38"/>
        <v>1736761.9047619046</v>
      </c>
      <c r="N448" s="124">
        <f t="shared" si="39"/>
        <v>0</v>
      </c>
      <c r="O448" s="107" t="s">
        <v>499</v>
      </c>
      <c r="AA448" s="130"/>
      <c r="AB448" s="130"/>
      <c r="AC448" s="130"/>
      <c r="AD448" s="130"/>
      <c r="AE448" s="130"/>
      <c r="AF448" s="130"/>
      <c r="AG448" s="130"/>
      <c r="AH448" s="130"/>
      <c r="AY448" s="130"/>
      <c r="AZ448" s="130"/>
      <c r="BA448" s="130"/>
      <c r="BB448" s="130"/>
      <c r="BC448" s="130"/>
      <c r="BD448" s="130"/>
      <c r="BE448" s="130"/>
      <c r="BF448" s="130"/>
      <c r="BW448" s="130"/>
      <c r="BX448" s="130"/>
      <c r="BY448" s="130"/>
      <c r="BZ448" s="130"/>
      <c r="CA448" s="130"/>
      <c r="CB448" s="130"/>
      <c r="CC448" s="130"/>
      <c r="CD448" s="130"/>
      <c r="CU448" s="130"/>
      <c r="CV448" s="130"/>
      <c r="CW448" s="130"/>
      <c r="CX448" s="130"/>
      <c r="CY448" s="130"/>
      <c r="CZ448" s="130"/>
      <c r="DA448" s="130"/>
      <c r="DB448" s="130"/>
      <c r="DS448" s="130"/>
      <c r="DT448" s="130"/>
      <c r="DU448" s="130"/>
      <c r="DV448" s="130"/>
      <c r="DW448" s="130"/>
      <c r="DX448" s="130"/>
      <c r="DY448" s="130"/>
      <c r="DZ448" s="130"/>
      <c r="EQ448" s="130"/>
      <c r="ER448" s="130"/>
      <c r="ES448" s="130"/>
      <c r="ET448" s="130"/>
      <c r="EU448" s="130"/>
      <c r="EV448" s="130"/>
      <c r="EW448" s="130"/>
      <c r="EX448" s="130"/>
      <c r="FO448" s="130"/>
      <c r="FP448" s="130"/>
      <c r="FQ448" s="130"/>
      <c r="FR448" s="130"/>
      <c r="FS448" s="130"/>
      <c r="FT448" s="130"/>
      <c r="FU448" s="130"/>
      <c r="FV448" s="130"/>
      <c r="GM448" s="130"/>
      <c r="GN448" s="130"/>
      <c r="GO448" s="130"/>
      <c r="GP448" s="130"/>
      <c r="GQ448" s="130"/>
      <c r="GR448" s="130"/>
      <c r="GS448" s="130"/>
      <c r="GT448" s="130"/>
      <c r="HK448" s="130"/>
      <c r="HL448" s="130"/>
      <c r="HM448" s="130"/>
      <c r="HN448" s="130"/>
      <c r="HO448" s="130"/>
      <c r="HP448" s="130"/>
      <c r="HQ448" s="130"/>
      <c r="HR448" s="130"/>
      <c r="II448" s="130"/>
      <c r="IJ448" s="130"/>
      <c r="IK448" s="130"/>
      <c r="IL448" s="130"/>
      <c r="IM448" s="130"/>
      <c r="IN448" s="130"/>
      <c r="IO448" s="130"/>
      <c r="IP448" s="130"/>
    </row>
    <row r="449" spans="1:256" s="3" customFormat="1">
      <c r="A449" s="80">
        <v>96</v>
      </c>
      <c r="B449" s="60">
        <v>43095</v>
      </c>
      <c r="C449" s="18"/>
      <c r="D449" s="19" t="s">
        <v>441</v>
      </c>
      <c r="E449" s="20" t="s">
        <v>454</v>
      </c>
      <c r="F449" s="168" t="s">
        <v>627</v>
      </c>
      <c r="G449" s="63">
        <v>1710</v>
      </c>
      <c r="H449" s="121">
        <f>160000+1823600</f>
        <v>1983600</v>
      </c>
      <c r="I449" s="24"/>
      <c r="J449" s="24">
        <f t="shared" si="41"/>
        <v>1889142.857142857</v>
      </c>
      <c r="K449" s="24">
        <f t="shared" si="37"/>
        <v>1889142.857142857</v>
      </c>
      <c r="L449" s="123">
        <v>1</v>
      </c>
      <c r="M449" s="24">
        <f t="shared" si="38"/>
        <v>1889142.857142857</v>
      </c>
      <c r="N449" s="124">
        <f t="shared" si="39"/>
        <v>0</v>
      </c>
      <c r="O449" s="107" t="s">
        <v>499</v>
      </c>
      <c r="AA449" s="130"/>
      <c r="AB449" s="130"/>
      <c r="AC449" s="130"/>
      <c r="AD449" s="130"/>
      <c r="AE449" s="130"/>
      <c r="AF449" s="130"/>
      <c r="AG449" s="130"/>
      <c r="AH449" s="130"/>
      <c r="AY449" s="130"/>
      <c r="AZ449" s="130"/>
      <c r="BA449" s="130"/>
      <c r="BB449" s="130"/>
      <c r="BC449" s="130"/>
      <c r="BD449" s="130"/>
      <c r="BE449" s="130"/>
      <c r="BF449" s="130"/>
      <c r="BW449" s="130"/>
      <c r="BX449" s="130"/>
      <c r="BY449" s="130"/>
      <c r="BZ449" s="130"/>
      <c r="CA449" s="130"/>
      <c r="CB449" s="130"/>
      <c r="CC449" s="130"/>
      <c r="CD449" s="130"/>
      <c r="CU449" s="130"/>
      <c r="CV449" s="130"/>
      <c r="CW449" s="130"/>
      <c r="CX449" s="130"/>
      <c r="CY449" s="130"/>
      <c r="CZ449" s="130"/>
      <c r="DA449" s="130"/>
      <c r="DB449" s="130"/>
      <c r="DS449" s="130"/>
      <c r="DT449" s="130"/>
      <c r="DU449" s="130"/>
      <c r="DV449" s="130"/>
      <c r="DW449" s="130"/>
      <c r="DX449" s="130"/>
      <c r="DY449" s="130"/>
      <c r="DZ449" s="130"/>
      <c r="EQ449" s="130"/>
      <c r="ER449" s="130"/>
      <c r="ES449" s="130"/>
      <c r="ET449" s="130"/>
      <c r="EU449" s="130"/>
      <c r="EV449" s="130"/>
      <c r="EW449" s="130"/>
      <c r="EX449" s="130"/>
      <c r="FO449" s="130"/>
      <c r="FP449" s="130"/>
      <c r="FQ449" s="130"/>
      <c r="FR449" s="130"/>
      <c r="FS449" s="130"/>
      <c r="FT449" s="130"/>
      <c r="FU449" s="130"/>
      <c r="FV449" s="130"/>
      <c r="GM449" s="130"/>
      <c r="GN449" s="130"/>
      <c r="GO449" s="130"/>
      <c r="GP449" s="130"/>
      <c r="GQ449" s="130"/>
      <c r="GR449" s="130"/>
      <c r="GS449" s="130"/>
      <c r="GT449" s="130"/>
      <c r="HK449" s="130"/>
      <c r="HL449" s="130"/>
      <c r="HM449" s="130"/>
      <c r="HN449" s="130"/>
      <c r="HO449" s="130"/>
      <c r="HP449" s="130"/>
      <c r="HQ449" s="130"/>
      <c r="HR449" s="130"/>
      <c r="II449" s="130"/>
      <c r="IJ449" s="130"/>
      <c r="IK449" s="130"/>
      <c r="IL449" s="130"/>
      <c r="IM449" s="130"/>
      <c r="IN449" s="130"/>
      <c r="IO449" s="130"/>
      <c r="IP449" s="130"/>
    </row>
    <row r="450" spans="1:256" s="3" customFormat="1">
      <c r="A450" s="80">
        <v>97</v>
      </c>
      <c r="B450" s="29">
        <v>43081</v>
      </c>
      <c r="C450" s="18"/>
      <c r="D450" s="19" t="s">
        <v>441</v>
      </c>
      <c r="E450" s="20" t="s">
        <v>454</v>
      </c>
      <c r="F450" s="82" t="s">
        <v>628</v>
      </c>
      <c r="G450" s="58">
        <v>1710</v>
      </c>
      <c r="H450" s="121">
        <v>1823600</v>
      </c>
      <c r="I450" s="24"/>
      <c r="J450" s="24">
        <f t="shared" si="41"/>
        <v>1736761.9047619046</v>
      </c>
      <c r="K450" s="199">
        <f t="shared" si="37"/>
        <v>1736761.9047619046</v>
      </c>
      <c r="L450" s="123">
        <v>1</v>
      </c>
      <c r="M450" s="24">
        <f t="shared" si="38"/>
        <v>1736761.9047619046</v>
      </c>
      <c r="N450" s="124">
        <f t="shared" si="39"/>
        <v>0</v>
      </c>
      <c r="O450" s="107" t="s">
        <v>499</v>
      </c>
      <c r="AA450" s="130"/>
      <c r="AB450" s="130"/>
      <c r="AC450" s="130"/>
      <c r="AD450" s="130"/>
      <c r="AE450" s="130"/>
      <c r="AF450" s="130"/>
      <c r="AG450" s="130"/>
      <c r="AH450" s="130"/>
      <c r="AY450" s="130"/>
      <c r="AZ450" s="130"/>
      <c r="BA450" s="130"/>
      <c r="BB450" s="130"/>
      <c r="BC450" s="130"/>
      <c r="BD450" s="130"/>
      <c r="BE450" s="130"/>
      <c r="BF450" s="130"/>
      <c r="BW450" s="130"/>
      <c r="BX450" s="130"/>
      <c r="BY450" s="130"/>
      <c r="BZ450" s="130"/>
      <c r="CA450" s="130"/>
      <c r="CB450" s="130"/>
      <c r="CC450" s="130"/>
      <c r="CD450" s="130"/>
      <c r="CU450" s="130"/>
      <c r="CV450" s="130"/>
      <c r="CW450" s="130"/>
      <c r="CX450" s="130"/>
      <c r="CY450" s="130"/>
      <c r="CZ450" s="130"/>
      <c r="DA450" s="130"/>
      <c r="DB450" s="130"/>
      <c r="DS450" s="130"/>
      <c r="DT450" s="130"/>
      <c r="DU450" s="130"/>
      <c r="DV450" s="130"/>
      <c r="DW450" s="130"/>
      <c r="DX450" s="130"/>
      <c r="DY450" s="130"/>
      <c r="DZ450" s="130"/>
      <c r="EQ450" s="130"/>
      <c r="ER450" s="130"/>
      <c r="ES450" s="130"/>
      <c r="ET450" s="130"/>
      <c r="EU450" s="130"/>
      <c r="EV450" s="130"/>
      <c r="EW450" s="130"/>
      <c r="EX450" s="130"/>
      <c r="FO450" s="130"/>
      <c r="FP450" s="130"/>
      <c r="FQ450" s="130"/>
      <c r="FR450" s="130"/>
      <c r="FS450" s="130"/>
      <c r="FT450" s="130"/>
      <c r="FU450" s="130"/>
      <c r="FV450" s="130"/>
      <c r="GM450" s="130"/>
      <c r="GN450" s="130"/>
      <c r="GO450" s="130"/>
      <c r="GP450" s="130"/>
      <c r="GQ450" s="130"/>
      <c r="GR450" s="130"/>
      <c r="GS450" s="130"/>
      <c r="GT450" s="130"/>
      <c r="HK450" s="130"/>
      <c r="HL450" s="130"/>
      <c r="HM450" s="130"/>
      <c r="HN450" s="130"/>
      <c r="HO450" s="130"/>
      <c r="HP450" s="130"/>
      <c r="HQ450" s="130"/>
      <c r="HR450" s="130"/>
      <c r="II450" s="130"/>
      <c r="IJ450" s="130"/>
      <c r="IK450" s="130"/>
      <c r="IL450" s="130"/>
      <c r="IM450" s="130"/>
      <c r="IN450" s="130"/>
      <c r="IO450" s="130"/>
      <c r="IP450" s="130"/>
    </row>
    <row r="451" spans="1:256" s="3" customFormat="1">
      <c r="A451" s="80">
        <v>98</v>
      </c>
      <c r="B451" s="17">
        <v>43089</v>
      </c>
      <c r="C451" s="18"/>
      <c r="D451" s="19" t="s">
        <v>441</v>
      </c>
      <c r="E451" s="20" t="s">
        <v>454</v>
      </c>
      <c r="F451" s="168" t="s">
        <v>629</v>
      </c>
      <c r="G451" s="63">
        <v>1710</v>
      </c>
      <c r="H451" s="121">
        <v>1823600</v>
      </c>
      <c r="I451" s="24"/>
      <c r="J451" s="24">
        <f t="shared" si="41"/>
        <v>1736761.9047619046</v>
      </c>
      <c r="K451" s="24">
        <f t="shared" si="37"/>
        <v>1736761.9047619046</v>
      </c>
      <c r="L451" s="123">
        <v>1</v>
      </c>
      <c r="M451" s="24">
        <f t="shared" si="38"/>
        <v>1736761.9047619046</v>
      </c>
      <c r="N451" s="124">
        <f t="shared" si="39"/>
        <v>0</v>
      </c>
      <c r="O451" s="107" t="s">
        <v>499</v>
      </c>
      <c r="AA451" s="130"/>
      <c r="AB451" s="130"/>
      <c r="AC451" s="130"/>
      <c r="AD451" s="130"/>
      <c r="AE451" s="130"/>
      <c r="AF451" s="130"/>
      <c r="AG451" s="130"/>
      <c r="AH451" s="130"/>
      <c r="AY451" s="130"/>
      <c r="AZ451" s="130"/>
      <c r="BA451" s="130"/>
      <c r="BB451" s="130"/>
      <c r="BC451" s="130"/>
      <c r="BD451" s="130"/>
      <c r="BE451" s="130"/>
      <c r="BF451" s="130"/>
      <c r="BW451" s="130"/>
      <c r="BX451" s="130"/>
      <c r="BY451" s="130"/>
      <c r="BZ451" s="130"/>
      <c r="CA451" s="130"/>
      <c r="CB451" s="130"/>
      <c r="CC451" s="130"/>
      <c r="CD451" s="130"/>
      <c r="CU451" s="130"/>
      <c r="CV451" s="130"/>
      <c r="CW451" s="130"/>
      <c r="CX451" s="130"/>
      <c r="CY451" s="130"/>
      <c r="CZ451" s="130"/>
      <c r="DA451" s="130"/>
      <c r="DB451" s="130"/>
      <c r="DS451" s="130"/>
      <c r="DT451" s="130"/>
      <c r="DU451" s="130"/>
      <c r="DV451" s="130"/>
      <c r="DW451" s="130"/>
      <c r="DX451" s="130"/>
      <c r="DY451" s="130"/>
      <c r="DZ451" s="130"/>
      <c r="EQ451" s="130"/>
      <c r="ER451" s="130"/>
      <c r="ES451" s="130"/>
      <c r="ET451" s="130"/>
      <c r="EU451" s="130"/>
      <c r="EV451" s="130"/>
      <c r="EW451" s="130"/>
      <c r="EX451" s="130"/>
      <c r="FO451" s="130"/>
      <c r="FP451" s="130"/>
      <c r="FQ451" s="130"/>
      <c r="FR451" s="130"/>
      <c r="FS451" s="130"/>
      <c r="FT451" s="130"/>
      <c r="FU451" s="130"/>
      <c r="FV451" s="130"/>
      <c r="GM451" s="130"/>
      <c r="GN451" s="130"/>
      <c r="GO451" s="130"/>
      <c r="GP451" s="130"/>
      <c r="GQ451" s="130"/>
      <c r="GR451" s="130"/>
      <c r="GS451" s="130"/>
      <c r="GT451" s="130"/>
      <c r="HK451" s="130"/>
      <c r="HL451" s="130"/>
      <c r="HM451" s="130"/>
      <c r="HN451" s="130"/>
      <c r="HO451" s="130"/>
      <c r="HP451" s="130"/>
      <c r="HQ451" s="130"/>
      <c r="HR451" s="130"/>
      <c r="II451" s="130"/>
      <c r="IJ451" s="130"/>
      <c r="IK451" s="130"/>
      <c r="IL451" s="130"/>
      <c r="IM451" s="130"/>
      <c r="IN451" s="130"/>
      <c r="IO451" s="130"/>
      <c r="IP451" s="130"/>
    </row>
    <row r="452" spans="1:256" s="3" customFormat="1">
      <c r="A452" s="80">
        <v>99</v>
      </c>
      <c r="B452" s="29">
        <v>43081</v>
      </c>
      <c r="C452" s="18"/>
      <c r="D452" s="19" t="s">
        <v>461</v>
      </c>
      <c r="E452" s="20" t="s">
        <v>462</v>
      </c>
      <c r="F452" s="120" t="s">
        <v>630</v>
      </c>
      <c r="G452" s="63">
        <v>1709</v>
      </c>
      <c r="H452" s="121">
        <f>2289200+130000</f>
        <v>2419200</v>
      </c>
      <c r="I452" s="24"/>
      <c r="J452" s="24">
        <f t="shared" si="41"/>
        <v>2304000</v>
      </c>
      <c r="K452" s="24">
        <f t="shared" si="37"/>
        <v>2304000</v>
      </c>
      <c r="L452" s="123">
        <v>1</v>
      </c>
      <c r="M452" s="24">
        <f t="shared" si="38"/>
        <v>2304000</v>
      </c>
      <c r="N452" s="124">
        <f t="shared" si="39"/>
        <v>0</v>
      </c>
      <c r="O452" s="107" t="s">
        <v>499</v>
      </c>
      <c r="AA452" s="130"/>
      <c r="AB452" s="130"/>
      <c r="AC452" s="130"/>
      <c r="AD452" s="130"/>
      <c r="AE452" s="130"/>
      <c r="AF452" s="130"/>
      <c r="AG452" s="130"/>
      <c r="AH452" s="130"/>
      <c r="AY452" s="130"/>
      <c r="AZ452" s="130"/>
      <c r="BA452" s="130"/>
      <c r="BB452" s="130"/>
      <c r="BC452" s="130"/>
      <c r="BD452" s="130"/>
      <c r="BE452" s="130"/>
      <c r="BF452" s="130"/>
      <c r="BW452" s="130"/>
      <c r="BX452" s="130"/>
      <c r="BY452" s="130"/>
      <c r="BZ452" s="130"/>
      <c r="CA452" s="130"/>
      <c r="CB452" s="130"/>
      <c r="CC452" s="130"/>
      <c r="CD452" s="130"/>
      <c r="CU452" s="130"/>
      <c r="CV452" s="130"/>
      <c r="CW452" s="130"/>
      <c r="CX452" s="130"/>
      <c r="CY452" s="130"/>
      <c r="CZ452" s="130"/>
      <c r="DA452" s="130"/>
      <c r="DB452" s="130"/>
      <c r="DS452" s="130"/>
      <c r="DT452" s="130"/>
      <c r="DU452" s="130"/>
      <c r="DV452" s="130"/>
      <c r="DW452" s="130"/>
      <c r="DX452" s="130"/>
      <c r="DY452" s="130"/>
      <c r="DZ452" s="130"/>
      <c r="EQ452" s="130"/>
      <c r="ER452" s="130"/>
      <c r="ES452" s="130"/>
      <c r="ET452" s="130"/>
      <c r="EU452" s="130"/>
      <c r="EV452" s="130"/>
      <c r="EW452" s="130"/>
      <c r="EX452" s="130"/>
      <c r="FO452" s="130"/>
      <c r="FP452" s="130"/>
      <c r="FQ452" s="130"/>
      <c r="FR452" s="130"/>
      <c r="FS452" s="130"/>
      <c r="FT452" s="130"/>
      <c r="FU452" s="130"/>
      <c r="FV452" s="130"/>
      <c r="GM452" s="130"/>
      <c r="GN452" s="130"/>
      <c r="GO452" s="130"/>
      <c r="GP452" s="130"/>
      <c r="GQ452" s="130"/>
      <c r="GR452" s="130"/>
      <c r="GS452" s="130"/>
      <c r="GT452" s="130"/>
      <c r="HK452" s="130"/>
      <c r="HL452" s="130"/>
      <c r="HM452" s="130"/>
      <c r="HN452" s="130"/>
      <c r="HO452" s="130"/>
      <c r="HP452" s="130"/>
      <c r="HQ452" s="130"/>
      <c r="HR452" s="130"/>
      <c r="II452" s="130"/>
      <c r="IJ452" s="130"/>
      <c r="IK452" s="130"/>
      <c r="IL452" s="130"/>
      <c r="IM452" s="130"/>
      <c r="IN452" s="130"/>
      <c r="IO452" s="130"/>
      <c r="IP452" s="130"/>
    </row>
    <row r="453" spans="1:256" s="125" customFormat="1">
      <c r="A453" s="80">
        <v>100</v>
      </c>
      <c r="B453" s="29">
        <v>43040</v>
      </c>
      <c r="C453" s="18" t="s">
        <v>624</v>
      </c>
      <c r="D453" s="19" t="s">
        <v>461</v>
      </c>
      <c r="E453" s="20" t="s">
        <v>631</v>
      </c>
      <c r="F453" s="82" t="s">
        <v>632</v>
      </c>
      <c r="G453" s="58">
        <v>1705</v>
      </c>
      <c r="H453" s="121">
        <v>2030000</v>
      </c>
      <c r="I453" s="24">
        <v>1933333</v>
      </c>
      <c r="J453" s="24"/>
      <c r="K453" s="24">
        <f t="shared" si="37"/>
        <v>1933333</v>
      </c>
      <c r="L453" s="123">
        <v>1</v>
      </c>
      <c r="M453" s="24">
        <f t="shared" si="38"/>
        <v>1933333</v>
      </c>
      <c r="N453" s="124">
        <f t="shared" si="39"/>
        <v>0</v>
      </c>
      <c r="O453" s="107" t="s">
        <v>499</v>
      </c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130"/>
      <c r="AB453" s="130"/>
      <c r="AC453" s="130"/>
      <c r="AD453" s="130"/>
      <c r="AE453" s="130"/>
      <c r="AF453" s="130"/>
      <c r="AG453" s="130"/>
      <c r="AH453" s="130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130"/>
      <c r="AZ453" s="130"/>
      <c r="BA453" s="130"/>
      <c r="BB453" s="130"/>
      <c r="BC453" s="130"/>
      <c r="BD453" s="130"/>
      <c r="BE453" s="130"/>
      <c r="BF453" s="130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130"/>
      <c r="BX453" s="130"/>
      <c r="BY453" s="130"/>
      <c r="BZ453" s="130"/>
      <c r="CA453" s="130"/>
      <c r="CB453" s="130"/>
      <c r="CC453" s="130"/>
      <c r="CD453" s="130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130"/>
      <c r="CV453" s="130"/>
      <c r="CW453" s="130"/>
      <c r="CX453" s="130"/>
      <c r="CY453" s="130"/>
      <c r="CZ453" s="130"/>
      <c r="DA453" s="130"/>
      <c r="DB453" s="130"/>
      <c r="DC453" s="3"/>
      <c r="DD453" s="3"/>
      <c r="DE453" s="3"/>
      <c r="DF453" s="3"/>
      <c r="DG453" s="3"/>
      <c r="DH453" s="3"/>
      <c r="DI453" s="3"/>
      <c r="DJ453" s="3"/>
      <c r="DK453" s="3"/>
      <c r="DL453" s="3"/>
      <c r="DM453" s="3"/>
      <c r="DN453" s="3"/>
      <c r="DO453" s="3"/>
      <c r="DP453" s="3"/>
      <c r="DQ453" s="3"/>
      <c r="DR453" s="3"/>
      <c r="DS453" s="130"/>
      <c r="DT453" s="130"/>
      <c r="DU453" s="130"/>
      <c r="DV453" s="130"/>
      <c r="DW453" s="130"/>
      <c r="DX453" s="130"/>
      <c r="DY453" s="130"/>
      <c r="DZ453" s="130"/>
      <c r="EA453" s="3"/>
      <c r="EB453" s="3"/>
      <c r="EC453" s="3"/>
      <c r="ED453" s="3"/>
      <c r="EE453" s="3"/>
      <c r="EF453" s="3"/>
      <c r="EG453" s="3"/>
      <c r="EH453" s="3"/>
      <c r="EI453" s="3"/>
      <c r="EJ453" s="3"/>
      <c r="EK453" s="3"/>
      <c r="EL453" s="3"/>
      <c r="EM453" s="3"/>
      <c r="EN453" s="3"/>
      <c r="EO453" s="3"/>
      <c r="EP453" s="3"/>
      <c r="EQ453" s="130"/>
      <c r="ER453" s="130"/>
      <c r="ES453" s="130"/>
      <c r="ET453" s="130"/>
      <c r="EU453" s="130"/>
      <c r="EV453" s="130"/>
      <c r="EW453" s="130"/>
      <c r="EX453" s="130"/>
      <c r="EY453" s="3"/>
      <c r="EZ453" s="3"/>
      <c r="FA453" s="3"/>
      <c r="FB453" s="3"/>
      <c r="FC453" s="3"/>
      <c r="FD453" s="3"/>
      <c r="FE453" s="3"/>
      <c r="FF453" s="3"/>
      <c r="FG453" s="3"/>
      <c r="FH453" s="3"/>
      <c r="FI453" s="3"/>
      <c r="FJ453" s="3"/>
      <c r="FK453" s="3"/>
      <c r="FL453" s="3"/>
      <c r="FM453" s="3"/>
      <c r="FN453" s="3"/>
      <c r="FO453" s="130"/>
      <c r="FP453" s="130"/>
      <c r="FQ453" s="130"/>
      <c r="FR453" s="130"/>
      <c r="FS453" s="130"/>
      <c r="FT453" s="130"/>
      <c r="FU453" s="130"/>
      <c r="FV453" s="130"/>
      <c r="FW453" s="3"/>
      <c r="FX453" s="3"/>
      <c r="FY453" s="3"/>
      <c r="FZ453" s="3"/>
      <c r="GA453" s="3"/>
      <c r="GB453" s="3"/>
      <c r="GC453" s="3"/>
      <c r="GD453" s="3"/>
      <c r="GE453" s="3"/>
      <c r="GF453" s="3"/>
      <c r="GG453" s="3"/>
      <c r="GH453" s="3"/>
      <c r="GI453" s="3"/>
      <c r="GJ453" s="3"/>
      <c r="GK453" s="3"/>
      <c r="GL453" s="3"/>
      <c r="GM453" s="130"/>
      <c r="GN453" s="130"/>
      <c r="GO453" s="130"/>
      <c r="GP453" s="130"/>
      <c r="GQ453" s="130"/>
      <c r="GR453" s="130"/>
      <c r="GS453" s="130"/>
      <c r="GT453" s="130"/>
      <c r="GU453" s="3"/>
      <c r="GV453" s="3"/>
      <c r="GW453" s="3"/>
      <c r="GX453" s="3"/>
      <c r="GY453" s="3"/>
      <c r="GZ453" s="3"/>
      <c r="HA453" s="3"/>
      <c r="HB453" s="3"/>
      <c r="HC453" s="3"/>
      <c r="HD453" s="3"/>
      <c r="HE453" s="3"/>
      <c r="HF453" s="3"/>
      <c r="HG453" s="3"/>
      <c r="HH453" s="3"/>
      <c r="HI453" s="3"/>
      <c r="HJ453" s="3"/>
      <c r="HK453" s="130"/>
      <c r="HL453" s="130"/>
      <c r="HM453" s="130"/>
      <c r="HN453" s="130"/>
      <c r="HO453" s="130"/>
      <c r="HP453" s="130"/>
      <c r="HQ453" s="130"/>
      <c r="HR453" s="130"/>
      <c r="HS453" s="3"/>
      <c r="HT453" s="3"/>
      <c r="HU453" s="3"/>
      <c r="HV453" s="3"/>
      <c r="HW453" s="3"/>
      <c r="HX453" s="3"/>
      <c r="HY453" s="3"/>
      <c r="HZ453" s="3"/>
      <c r="IA453" s="3"/>
      <c r="IB453" s="3"/>
      <c r="IC453" s="3"/>
      <c r="ID453" s="3"/>
      <c r="IE453" s="3"/>
      <c r="IF453" s="3"/>
      <c r="IG453" s="3"/>
      <c r="IH453" s="3"/>
      <c r="II453" s="130"/>
      <c r="IJ453" s="130"/>
      <c r="IK453" s="130"/>
      <c r="IL453" s="130"/>
      <c r="IM453" s="130"/>
      <c r="IN453" s="130"/>
      <c r="IO453" s="130"/>
      <c r="IP453" s="130"/>
      <c r="IQ453" s="3"/>
      <c r="IR453" s="3"/>
      <c r="IS453" s="3"/>
      <c r="IT453" s="3"/>
      <c r="IU453" s="3"/>
      <c r="IV453" s="3"/>
    </row>
    <row r="454" spans="1:256" s="125" customFormat="1">
      <c r="A454" s="80">
        <v>101</v>
      </c>
      <c r="B454" s="17">
        <v>43081</v>
      </c>
      <c r="C454" s="18"/>
      <c r="D454" s="19" t="s">
        <v>461</v>
      </c>
      <c r="E454" s="20" t="s">
        <v>467</v>
      </c>
      <c r="F454" s="120" t="s">
        <v>633</v>
      </c>
      <c r="G454" s="58">
        <v>1709</v>
      </c>
      <c r="H454" s="121">
        <v>2648100</v>
      </c>
      <c r="I454" s="24"/>
      <c r="J454" s="24">
        <f t="shared" ref="J454:J460" si="42">SUM(H454)/1.05</f>
        <v>2522000</v>
      </c>
      <c r="K454" s="24">
        <f t="shared" si="37"/>
        <v>2522000</v>
      </c>
      <c r="L454" s="123">
        <v>1</v>
      </c>
      <c r="M454" s="24">
        <f t="shared" si="38"/>
        <v>2522000</v>
      </c>
      <c r="N454" s="129">
        <f t="shared" si="39"/>
        <v>0</v>
      </c>
      <c r="O454" s="107" t="s">
        <v>499</v>
      </c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130"/>
      <c r="AB454" s="130"/>
      <c r="AC454" s="130"/>
      <c r="AD454" s="130"/>
      <c r="AE454" s="130"/>
      <c r="AF454" s="130"/>
      <c r="AG454" s="130"/>
      <c r="AH454" s="130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130"/>
      <c r="AZ454" s="130"/>
      <c r="BA454" s="130"/>
      <c r="BB454" s="130"/>
      <c r="BC454" s="130"/>
      <c r="BD454" s="130"/>
      <c r="BE454" s="130"/>
      <c r="BF454" s="130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130"/>
      <c r="BX454" s="130"/>
      <c r="BY454" s="130"/>
      <c r="BZ454" s="130"/>
      <c r="CA454" s="130"/>
      <c r="CB454" s="130"/>
      <c r="CC454" s="130"/>
      <c r="CD454" s="130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130"/>
      <c r="CV454" s="130"/>
      <c r="CW454" s="130"/>
      <c r="CX454" s="130"/>
      <c r="CY454" s="130"/>
      <c r="CZ454" s="130"/>
      <c r="DA454" s="130"/>
      <c r="DB454" s="130"/>
      <c r="DC454" s="3"/>
      <c r="DD454" s="3"/>
      <c r="DE454" s="3"/>
      <c r="DF454" s="3"/>
      <c r="DG454" s="3"/>
      <c r="DH454" s="3"/>
      <c r="DI454" s="3"/>
      <c r="DJ454" s="3"/>
      <c r="DK454" s="3"/>
      <c r="DL454" s="3"/>
      <c r="DM454" s="3"/>
      <c r="DN454" s="3"/>
      <c r="DO454" s="3"/>
      <c r="DP454" s="3"/>
      <c r="DQ454" s="3"/>
      <c r="DR454" s="3"/>
      <c r="DS454" s="130"/>
      <c r="DT454" s="130"/>
      <c r="DU454" s="130"/>
      <c r="DV454" s="130"/>
      <c r="DW454" s="130"/>
      <c r="DX454" s="130"/>
      <c r="DY454" s="130"/>
      <c r="DZ454" s="130"/>
      <c r="EA454" s="3"/>
      <c r="EB454" s="3"/>
      <c r="EC454" s="3"/>
      <c r="ED454" s="3"/>
      <c r="EE454" s="3"/>
      <c r="EF454" s="3"/>
      <c r="EG454" s="3"/>
      <c r="EH454" s="3"/>
      <c r="EI454" s="3"/>
      <c r="EJ454" s="3"/>
      <c r="EK454" s="3"/>
      <c r="EL454" s="3"/>
      <c r="EM454" s="3"/>
      <c r="EN454" s="3"/>
      <c r="EO454" s="3"/>
      <c r="EP454" s="3"/>
      <c r="EQ454" s="130"/>
      <c r="ER454" s="130"/>
      <c r="ES454" s="130"/>
      <c r="ET454" s="130"/>
      <c r="EU454" s="130"/>
      <c r="EV454" s="130"/>
      <c r="EW454" s="130"/>
      <c r="EX454" s="130"/>
      <c r="EY454" s="3"/>
      <c r="EZ454" s="3"/>
      <c r="FA454" s="3"/>
      <c r="FB454" s="3"/>
      <c r="FC454" s="3"/>
      <c r="FD454" s="3"/>
      <c r="FE454" s="3"/>
      <c r="FF454" s="3"/>
      <c r="FG454" s="3"/>
      <c r="FH454" s="3"/>
      <c r="FI454" s="3"/>
      <c r="FJ454" s="3"/>
      <c r="FK454" s="3"/>
      <c r="FL454" s="3"/>
      <c r="FM454" s="3"/>
      <c r="FN454" s="3"/>
      <c r="FO454" s="130"/>
      <c r="FP454" s="130"/>
      <c r="FQ454" s="130"/>
      <c r="FR454" s="130"/>
      <c r="FS454" s="130"/>
      <c r="FT454" s="130"/>
      <c r="FU454" s="130"/>
      <c r="FV454" s="130"/>
      <c r="FW454" s="3"/>
      <c r="FX454" s="3"/>
      <c r="FY454" s="3"/>
      <c r="FZ454" s="3"/>
      <c r="GA454" s="3"/>
      <c r="GB454" s="3"/>
      <c r="GC454" s="3"/>
      <c r="GD454" s="3"/>
      <c r="GE454" s="3"/>
      <c r="GF454" s="3"/>
      <c r="GG454" s="3"/>
      <c r="GH454" s="3"/>
      <c r="GI454" s="3"/>
      <c r="GJ454" s="3"/>
      <c r="GK454" s="3"/>
      <c r="GL454" s="3"/>
      <c r="GM454" s="130"/>
      <c r="GN454" s="130"/>
      <c r="GO454" s="130"/>
      <c r="GP454" s="130"/>
      <c r="GQ454" s="130"/>
      <c r="GR454" s="130"/>
      <c r="GS454" s="130"/>
      <c r="GT454" s="130"/>
      <c r="GU454" s="3"/>
      <c r="GV454" s="3"/>
      <c r="GW454" s="3"/>
      <c r="GX454" s="3"/>
      <c r="GY454" s="3"/>
      <c r="GZ454" s="3"/>
      <c r="HA454" s="3"/>
      <c r="HB454" s="3"/>
      <c r="HC454" s="3"/>
      <c r="HD454" s="3"/>
      <c r="HE454" s="3"/>
      <c r="HF454" s="3"/>
      <c r="HG454" s="3"/>
      <c r="HH454" s="3"/>
      <c r="HI454" s="3"/>
      <c r="HJ454" s="3"/>
      <c r="HK454" s="130"/>
      <c r="HL454" s="130"/>
      <c r="HM454" s="130"/>
      <c r="HN454" s="130"/>
      <c r="HO454" s="130"/>
      <c r="HP454" s="130"/>
      <c r="HQ454" s="130"/>
      <c r="HR454" s="130"/>
      <c r="HS454" s="3"/>
      <c r="HT454" s="3"/>
      <c r="HU454" s="3"/>
      <c r="HV454" s="3"/>
      <c r="HW454" s="3"/>
      <c r="HX454" s="3"/>
      <c r="HY454" s="3"/>
      <c r="HZ454" s="3"/>
      <c r="IA454" s="3"/>
      <c r="IB454" s="3"/>
      <c r="IC454" s="3"/>
      <c r="ID454" s="3"/>
      <c r="IE454" s="3"/>
      <c r="IF454" s="3"/>
      <c r="IG454" s="3"/>
      <c r="IH454" s="3"/>
      <c r="II454" s="130"/>
      <c r="IJ454" s="130"/>
      <c r="IK454" s="130"/>
      <c r="IL454" s="130"/>
      <c r="IM454" s="130"/>
      <c r="IN454" s="130"/>
      <c r="IO454" s="130"/>
      <c r="IP454" s="130"/>
      <c r="IQ454" s="3"/>
      <c r="IR454" s="3"/>
      <c r="IS454" s="3"/>
      <c r="IT454" s="3"/>
      <c r="IU454" s="3"/>
      <c r="IV454" s="3"/>
    </row>
    <row r="455" spans="1:256" s="125" customFormat="1">
      <c r="A455" s="80">
        <v>102</v>
      </c>
      <c r="B455" s="17">
        <v>43095</v>
      </c>
      <c r="C455" s="18"/>
      <c r="D455" s="19" t="s">
        <v>461</v>
      </c>
      <c r="E455" s="20" t="s">
        <v>467</v>
      </c>
      <c r="F455" s="168" t="s">
        <v>634</v>
      </c>
      <c r="G455" s="63">
        <v>1709</v>
      </c>
      <c r="H455" s="121">
        <f>25000+2648100</f>
        <v>2673100</v>
      </c>
      <c r="I455" s="24"/>
      <c r="J455" s="24">
        <f t="shared" si="42"/>
        <v>2545809.5238095238</v>
      </c>
      <c r="K455" s="24">
        <f t="shared" si="37"/>
        <v>2545809.5238095238</v>
      </c>
      <c r="L455" s="123">
        <v>1</v>
      </c>
      <c r="M455" s="24">
        <f t="shared" si="38"/>
        <v>2545809.5238095238</v>
      </c>
      <c r="N455" s="129">
        <f t="shared" si="39"/>
        <v>0</v>
      </c>
      <c r="O455" s="107" t="s">
        <v>499</v>
      </c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130"/>
      <c r="AB455" s="130"/>
      <c r="AC455" s="130"/>
      <c r="AD455" s="130"/>
      <c r="AE455" s="130"/>
      <c r="AF455" s="130"/>
      <c r="AG455" s="130"/>
      <c r="AH455" s="130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130"/>
      <c r="AZ455" s="130"/>
      <c r="BA455" s="130"/>
      <c r="BB455" s="130"/>
      <c r="BC455" s="130"/>
      <c r="BD455" s="130"/>
      <c r="BE455" s="130"/>
      <c r="BF455" s="130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130"/>
      <c r="BX455" s="130"/>
      <c r="BY455" s="130"/>
      <c r="BZ455" s="130"/>
      <c r="CA455" s="130"/>
      <c r="CB455" s="130"/>
      <c r="CC455" s="130"/>
      <c r="CD455" s="130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130"/>
      <c r="CV455" s="130"/>
      <c r="CW455" s="130"/>
      <c r="CX455" s="130"/>
      <c r="CY455" s="130"/>
      <c r="CZ455" s="130"/>
      <c r="DA455" s="130"/>
      <c r="DB455" s="130"/>
      <c r="DC455" s="3"/>
      <c r="DD455" s="3"/>
      <c r="DE455" s="3"/>
      <c r="DF455" s="3"/>
      <c r="DG455" s="3"/>
      <c r="DH455" s="3"/>
      <c r="DI455" s="3"/>
      <c r="DJ455" s="3"/>
      <c r="DK455" s="3"/>
      <c r="DL455" s="3"/>
      <c r="DM455" s="3"/>
      <c r="DN455" s="3"/>
      <c r="DO455" s="3"/>
      <c r="DP455" s="3"/>
      <c r="DQ455" s="3"/>
      <c r="DR455" s="3"/>
      <c r="DS455" s="130"/>
      <c r="DT455" s="130"/>
      <c r="DU455" s="130"/>
      <c r="DV455" s="130"/>
      <c r="DW455" s="130"/>
      <c r="DX455" s="130"/>
      <c r="DY455" s="130"/>
      <c r="DZ455" s="130"/>
      <c r="EA455" s="3"/>
      <c r="EB455" s="3"/>
      <c r="EC455" s="3"/>
      <c r="ED455" s="3"/>
      <c r="EE455" s="3"/>
      <c r="EF455" s="3"/>
      <c r="EG455" s="3"/>
      <c r="EH455" s="3"/>
      <c r="EI455" s="3"/>
      <c r="EJ455" s="3"/>
      <c r="EK455" s="3"/>
      <c r="EL455" s="3"/>
      <c r="EM455" s="3"/>
      <c r="EN455" s="3"/>
      <c r="EO455" s="3"/>
      <c r="EP455" s="3"/>
      <c r="EQ455" s="130"/>
      <c r="ER455" s="130"/>
      <c r="ES455" s="130"/>
      <c r="ET455" s="130"/>
      <c r="EU455" s="130"/>
      <c r="EV455" s="130"/>
      <c r="EW455" s="130"/>
      <c r="EX455" s="130"/>
      <c r="EY455" s="3"/>
      <c r="EZ455" s="3"/>
      <c r="FA455" s="3"/>
      <c r="FB455" s="3"/>
      <c r="FC455" s="3"/>
      <c r="FD455" s="3"/>
      <c r="FE455" s="3"/>
      <c r="FF455" s="3"/>
      <c r="FG455" s="3"/>
      <c r="FH455" s="3"/>
      <c r="FI455" s="3"/>
      <c r="FJ455" s="3"/>
      <c r="FK455" s="3"/>
      <c r="FL455" s="3"/>
      <c r="FM455" s="3"/>
      <c r="FN455" s="3"/>
      <c r="FO455" s="130"/>
      <c r="FP455" s="130"/>
      <c r="FQ455" s="130"/>
      <c r="FR455" s="130"/>
      <c r="FS455" s="130"/>
      <c r="FT455" s="130"/>
      <c r="FU455" s="130"/>
      <c r="FV455" s="130"/>
      <c r="FW455" s="3"/>
      <c r="FX455" s="3"/>
      <c r="FY455" s="3"/>
      <c r="FZ455" s="3"/>
      <c r="GA455" s="3"/>
      <c r="GB455" s="3"/>
      <c r="GC455" s="3"/>
      <c r="GD455" s="3"/>
      <c r="GE455" s="3"/>
      <c r="GF455" s="3"/>
      <c r="GG455" s="3"/>
      <c r="GH455" s="3"/>
      <c r="GI455" s="3"/>
      <c r="GJ455" s="3"/>
      <c r="GK455" s="3"/>
      <c r="GL455" s="3"/>
      <c r="GM455" s="130"/>
      <c r="GN455" s="130"/>
      <c r="GO455" s="130"/>
      <c r="GP455" s="130"/>
      <c r="GQ455" s="130"/>
      <c r="GR455" s="130"/>
      <c r="GS455" s="130"/>
      <c r="GT455" s="130"/>
      <c r="GU455" s="3"/>
      <c r="GV455" s="3"/>
      <c r="GW455" s="3"/>
      <c r="GX455" s="3"/>
      <c r="GY455" s="3"/>
      <c r="GZ455" s="3"/>
      <c r="HA455" s="3"/>
      <c r="HB455" s="3"/>
      <c r="HC455" s="3"/>
      <c r="HD455" s="3"/>
      <c r="HE455" s="3"/>
      <c r="HF455" s="3"/>
      <c r="HG455" s="3"/>
      <c r="HH455" s="3"/>
      <c r="HI455" s="3"/>
      <c r="HJ455" s="3"/>
      <c r="HK455" s="130"/>
      <c r="HL455" s="130"/>
      <c r="HM455" s="130"/>
      <c r="HN455" s="130"/>
      <c r="HO455" s="130"/>
      <c r="HP455" s="130"/>
      <c r="HQ455" s="130"/>
      <c r="HR455" s="130"/>
      <c r="HS455" s="3"/>
      <c r="HT455" s="3"/>
      <c r="HU455" s="3"/>
      <c r="HV455" s="3"/>
      <c r="HW455" s="3"/>
      <c r="HX455" s="3"/>
      <c r="HY455" s="3"/>
      <c r="HZ455" s="3"/>
      <c r="IA455" s="3"/>
      <c r="IB455" s="3"/>
      <c r="IC455" s="3"/>
      <c r="ID455" s="3"/>
      <c r="IE455" s="3"/>
      <c r="IF455" s="3"/>
      <c r="IG455" s="3"/>
      <c r="IH455" s="3"/>
      <c r="II455" s="130"/>
      <c r="IJ455" s="130"/>
      <c r="IK455" s="130"/>
      <c r="IL455" s="130"/>
      <c r="IM455" s="130"/>
      <c r="IN455" s="130"/>
      <c r="IO455" s="130"/>
      <c r="IP455" s="130"/>
      <c r="IQ455" s="3"/>
      <c r="IR455" s="3"/>
      <c r="IS455" s="3"/>
      <c r="IT455" s="3"/>
      <c r="IU455" s="3"/>
      <c r="IV455" s="3"/>
    </row>
    <row r="456" spans="1:256" s="125" customFormat="1">
      <c r="A456" s="80">
        <v>103</v>
      </c>
      <c r="B456" s="17">
        <v>43081</v>
      </c>
      <c r="C456" s="18"/>
      <c r="D456" s="19" t="s">
        <v>461</v>
      </c>
      <c r="E456" s="20" t="s">
        <v>467</v>
      </c>
      <c r="F456" s="62" t="s">
        <v>635</v>
      </c>
      <c r="G456" s="63">
        <v>1709</v>
      </c>
      <c r="H456" s="121">
        <v>2648100</v>
      </c>
      <c r="I456" s="24"/>
      <c r="J456" s="24">
        <f t="shared" si="42"/>
        <v>2522000</v>
      </c>
      <c r="K456" s="24">
        <f t="shared" si="37"/>
        <v>2522000</v>
      </c>
      <c r="L456" s="123">
        <v>1</v>
      </c>
      <c r="M456" s="24">
        <f t="shared" si="38"/>
        <v>2522000</v>
      </c>
      <c r="N456" s="129">
        <f t="shared" si="39"/>
        <v>0</v>
      </c>
      <c r="O456" s="107" t="s">
        <v>499</v>
      </c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130"/>
      <c r="AB456" s="130"/>
      <c r="AC456" s="130"/>
      <c r="AD456" s="130"/>
      <c r="AE456" s="130"/>
      <c r="AF456" s="130"/>
      <c r="AG456" s="130"/>
      <c r="AH456" s="130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130"/>
      <c r="AZ456" s="130"/>
      <c r="BA456" s="130"/>
      <c r="BB456" s="130"/>
      <c r="BC456" s="130"/>
      <c r="BD456" s="130"/>
      <c r="BE456" s="130"/>
      <c r="BF456" s="130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130"/>
      <c r="BX456" s="130"/>
      <c r="BY456" s="130"/>
      <c r="BZ456" s="130"/>
      <c r="CA456" s="130"/>
      <c r="CB456" s="130"/>
      <c r="CC456" s="130"/>
      <c r="CD456" s="130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130"/>
      <c r="CV456" s="130"/>
      <c r="CW456" s="130"/>
      <c r="CX456" s="130"/>
      <c r="CY456" s="130"/>
      <c r="CZ456" s="130"/>
      <c r="DA456" s="130"/>
      <c r="DB456" s="130"/>
      <c r="DC456" s="3"/>
      <c r="DD456" s="3"/>
      <c r="DE456" s="3"/>
      <c r="DF456" s="3"/>
      <c r="DG456" s="3"/>
      <c r="DH456" s="3"/>
      <c r="DI456" s="3"/>
      <c r="DJ456" s="3"/>
      <c r="DK456" s="3"/>
      <c r="DL456" s="3"/>
      <c r="DM456" s="3"/>
      <c r="DN456" s="3"/>
      <c r="DO456" s="3"/>
      <c r="DP456" s="3"/>
      <c r="DQ456" s="3"/>
      <c r="DR456" s="3"/>
      <c r="DS456" s="130"/>
      <c r="DT456" s="130"/>
      <c r="DU456" s="130"/>
      <c r="DV456" s="130"/>
      <c r="DW456" s="130"/>
      <c r="DX456" s="130"/>
      <c r="DY456" s="130"/>
      <c r="DZ456" s="130"/>
      <c r="EA456" s="3"/>
      <c r="EB456" s="3"/>
      <c r="EC456" s="3"/>
      <c r="ED456" s="3"/>
      <c r="EE456" s="3"/>
      <c r="EF456" s="3"/>
      <c r="EG456" s="3"/>
      <c r="EH456" s="3"/>
      <c r="EI456" s="3"/>
      <c r="EJ456" s="3"/>
      <c r="EK456" s="3"/>
      <c r="EL456" s="3"/>
      <c r="EM456" s="3"/>
      <c r="EN456" s="3"/>
      <c r="EO456" s="3"/>
      <c r="EP456" s="3"/>
      <c r="EQ456" s="130"/>
      <c r="ER456" s="130"/>
      <c r="ES456" s="130"/>
      <c r="ET456" s="130"/>
      <c r="EU456" s="130"/>
      <c r="EV456" s="130"/>
      <c r="EW456" s="130"/>
      <c r="EX456" s="130"/>
      <c r="EY456" s="3"/>
      <c r="EZ456" s="3"/>
      <c r="FA456" s="3"/>
      <c r="FB456" s="3"/>
      <c r="FC456" s="3"/>
      <c r="FD456" s="3"/>
      <c r="FE456" s="3"/>
      <c r="FF456" s="3"/>
      <c r="FG456" s="3"/>
      <c r="FH456" s="3"/>
      <c r="FI456" s="3"/>
      <c r="FJ456" s="3"/>
      <c r="FK456" s="3"/>
      <c r="FL456" s="3"/>
      <c r="FM456" s="3"/>
      <c r="FN456" s="3"/>
      <c r="FO456" s="130"/>
      <c r="FP456" s="130"/>
      <c r="FQ456" s="130"/>
      <c r="FR456" s="130"/>
      <c r="FS456" s="130"/>
      <c r="FT456" s="130"/>
      <c r="FU456" s="130"/>
      <c r="FV456" s="130"/>
      <c r="FW456" s="3"/>
      <c r="FX456" s="3"/>
      <c r="FY456" s="3"/>
      <c r="FZ456" s="3"/>
      <c r="GA456" s="3"/>
      <c r="GB456" s="3"/>
      <c r="GC456" s="3"/>
      <c r="GD456" s="3"/>
      <c r="GE456" s="3"/>
      <c r="GF456" s="3"/>
      <c r="GG456" s="3"/>
      <c r="GH456" s="3"/>
      <c r="GI456" s="3"/>
      <c r="GJ456" s="3"/>
      <c r="GK456" s="3"/>
      <c r="GL456" s="3"/>
      <c r="GM456" s="130"/>
      <c r="GN456" s="130"/>
      <c r="GO456" s="130"/>
      <c r="GP456" s="130"/>
      <c r="GQ456" s="130"/>
      <c r="GR456" s="130"/>
      <c r="GS456" s="130"/>
      <c r="GT456" s="130"/>
      <c r="GU456" s="3"/>
      <c r="GV456" s="3"/>
      <c r="GW456" s="3"/>
      <c r="GX456" s="3"/>
      <c r="GY456" s="3"/>
      <c r="GZ456" s="3"/>
      <c r="HA456" s="3"/>
      <c r="HB456" s="3"/>
      <c r="HC456" s="3"/>
      <c r="HD456" s="3"/>
      <c r="HE456" s="3"/>
      <c r="HF456" s="3"/>
      <c r="HG456" s="3"/>
      <c r="HH456" s="3"/>
      <c r="HI456" s="3"/>
      <c r="HJ456" s="3"/>
      <c r="HK456" s="130"/>
      <c r="HL456" s="130"/>
      <c r="HM456" s="130"/>
      <c r="HN456" s="130"/>
      <c r="HO456" s="130"/>
      <c r="HP456" s="130"/>
      <c r="HQ456" s="130"/>
      <c r="HR456" s="130"/>
      <c r="HS456" s="3"/>
      <c r="HT456" s="3"/>
      <c r="HU456" s="3"/>
      <c r="HV456" s="3"/>
      <c r="HW456" s="3"/>
      <c r="HX456" s="3"/>
      <c r="HY456" s="3"/>
      <c r="HZ456" s="3"/>
      <c r="IA456" s="3"/>
      <c r="IB456" s="3"/>
      <c r="IC456" s="3"/>
      <c r="ID456" s="3"/>
      <c r="IE456" s="3"/>
      <c r="IF456" s="3"/>
      <c r="IG456" s="3"/>
      <c r="IH456" s="3"/>
      <c r="II456" s="130"/>
      <c r="IJ456" s="130"/>
      <c r="IK456" s="130"/>
      <c r="IL456" s="130"/>
      <c r="IM456" s="130"/>
      <c r="IN456" s="130"/>
      <c r="IO456" s="130"/>
      <c r="IP456" s="130"/>
      <c r="IQ456" s="3"/>
      <c r="IR456" s="3"/>
      <c r="IS456" s="3"/>
      <c r="IT456" s="3"/>
      <c r="IU456" s="3"/>
      <c r="IV456" s="3"/>
    </row>
    <row r="457" spans="1:256" s="125" customFormat="1">
      <c r="A457" s="80">
        <v>104</v>
      </c>
      <c r="B457" s="17">
        <v>43095</v>
      </c>
      <c r="C457" s="18"/>
      <c r="D457" s="19" t="s">
        <v>461</v>
      </c>
      <c r="E457" s="20" t="s">
        <v>467</v>
      </c>
      <c r="F457" s="168" t="s">
        <v>636</v>
      </c>
      <c r="G457" s="63">
        <v>1710</v>
      </c>
      <c r="H457" s="121">
        <v>2648100</v>
      </c>
      <c r="I457" s="24"/>
      <c r="J457" s="24">
        <f t="shared" si="42"/>
        <v>2522000</v>
      </c>
      <c r="K457" s="24">
        <f t="shared" si="37"/>
        <v>2522000</v>
      </c>
      <c r="L457" s="123">
        <v>1</v>
      </c>
      <c r="M457" s="24">
        <f t="shared" si="38"/>
        <v>2522000</v>
      </c>
      <c r="N457" s="129">
        <f t="shared" si="39"/>
        <v>0</v>
      </c>
      <c r="O457" s="107" t="s">
        <v>499</v>
      </c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130"/>
      <c r="AB457" s="130"/>
      <c r="AC457" s="130"/>
      <c r="AD457" s="130"/>
      <c r="AE457" s="130"/>
      <c r="AF457" s="130"/>
      <c r="AG457" s="130"/>
      <c r="AH457" s="130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130"/>
      <c r="AZ457" s="130"/>
      <c r="BA457" s="130"/>
      <c r="BB457" s="130"/>
      <c r="BC457" s="130"/>
      <c r="BD457" s="130"/>
      <c r="BE457" s="130"/>
      <c r="BF457" s="130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130"/>
      <c r="BX457" s="130"/>
      <c r="BY457" s="130"/>
      <c r="BZ457" s="130"/>
      <c r="CA457" s="130"/>
      <c r="CB457" s="130"/>
      <c r="CC457" s="130"/>
      <c r="CD457" s="130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130"/>
      <c r="CV457" s="130"/>
      <c r="CW457" s="130"/>
      <c r="CX457" s="130"/>
      <c r="CY457" s="130"/>
      <c r="CZ457" s="130"/>
      <c r="DA457" s="130"/>
      <c r="DB457" s="130"/>
      <c r="DC457" s="3"/>
      <c r="DD457" s="3"/>
      <c r="DE457" s="3"/>
      <c r="DF457" s="3"/>
      <c r="DG457" s="3"/>
      <c r="DH457" s="3"/>
      <c r="DI457" s="3"/>
      <c r="DJ457" s="3"/>
      <c r="DK457" s="3"/>
      <c r="DL457" s="3"/>
      <c r="DM457" s="3"/>
      <c r="DN457" s="3"/>
      <c r="DO457" s="3"/>
      <c r="DP457" s="3"/>
      <c r="DQ457" s="3"/>
      <c r="DR457" s="3"/>
      <c r="DS457" s="130"/>
      <c r="DT457" s="130"/>
      <c r="DU457" s="130"/>
      <c r="DV457" s="130"/>
      <c r="DW457" s="130"/>
      <c r="DX457" s="130"/>
      <c r="DY457" s="130"/>
      <c r="DZ457" s="130"/>
      <c r="EA457" s="3"/>
      <c r="EB457" s="3"/>
      <c r="EC457" s="3"/>
      <c r="ED457" s="3"/>
      <c r="EE457" s="3"/>
      <c r="EF457" s="3"/>
      <c r="EG457" s="3"/>
      <c r="EH457" s="3"/>
      <c r="EI457" s="3"/>
      <c r="EJ457" s="3"/>
      <c r="EK457" s="3"/>
      <c r="EL457" s="3"/>
      <c r="EM457" s="3"/>
      <c r="EN457" s="3"/>
      <c r="EO457" s="3"/>
      <c r="EP457" s="3"/>
      <c r="EQ457" s="130"/>
      <c r="ER457" s="130"/>
      <c r="ES457" s="130"/>
      <c r="ET457" s="130"/>
      <c r="EU457" s="130"/>
      <c r="EV457" s="130"/>
      <c r="EW457" s="130"/>
      <c r="EX457" s="130"/>
      <c r="EY457" s="3"/>
      <c r="EZ457" s="3"/>
      <c r="FA457" s="3"/>
      <c r="FB457" s="3"/>
      <c r="FC457" s="3"/>
      <c r="FD457" s="3"/>
      <c r="FE457" s="3"/>
      <c r="FF457" s="3"/>
      <c r="FG457" s="3"/>
      <c r="FH457" s="3"/>
      <c r="FI457" s="3"/>
      <c r="FJ457" s="3"/>
      <c r="FK457" s="3"/>
      <c r="FL457" s="3"/>
      <c r="FM457" s="3"/>
      <c r="FN457" s="3"/>
      <c r="FO457" s="130"/>
      <c r="FP457" s="130"/>
      <c r="FQ457" s="130"/>
      <c r="FR457" s="130"/>
      <c r="FS457" s="130"/>
      <c r="FT457" s="130"/>
      <c r="FU457" s="130"/>
      <c r="FV457" s="130"/>
      <c r="FW457" s="3"/>
      <c r="FX457" s="3"/>
      <c r="FY457" s="3"/>
      <c r="FZ457" s="3"/>
      <c r="GA457" s="3"/>
      <c r="GB457" s="3"/>
      <c r="GC457" s="3"/>
      <c r="GD457" s="3"/>
      <c r="GE457" s="3"/>
      <c r="GF457" s="3"/>
      <c r="GG457" s="3"/>
      <c r="GH457" s="3"/>
      <c r="GI457" s="3"/>
      <c r="GJ457" s="3"/>
      <c r="GK457" s="3"/>
      <c r="GL457" s="3"/>
      <c r="GM457" s="130"/>
      <c r="GN457" s="130"/>
      <c r="GO457" s="130"/>
      <c r="GP457" s="130"/>
      <c r="GQ457" s="130"/>
      <c r="GR457" s="130"/>
      <c r="GS457" s="130"/>
      <c r="GT457" s="130"/>
      <c r="GU457" s="3"/>
      <c r="GV457" s="3"/>
      <c r="GW457" s="3"/>
      <c r="GX457" s="3"/>
      <c r="GY457" s="3"/>
      <c r="GZ457" s="3"/>
      <c r="HA457" s="3"/>
      <c r="HB457" s="3"/>
      <c r="HC457" s="3"/>
      <c r="HD457" s="3"/>
      <c r="HE457" s="3"/>
      <c r="HF457" s="3"/>
      <c r="HG457" s="3"/>
      <c r="HH457" s="3"/>
      <c r="HI457" s="3"/>
      <c r="HJ457" s="3"/>
      <c r="HK457" s="130"/>
      <c r="HL457" s="130"/>
      <c r="HM457" s="130"/>
      <c r="HN457" s="130"/>
      <c r="HO457" s="130"/>
      <c r="HP457" s="130"/>
      <c r="HQ457" s="130"/>
      <c r="HR457" s="130"/>
      <c r="HS457" s="3"/>
      <c r="HT457" s="3"/>
      <c r="HU457" s="3"/>
      <c r="HV457" s="3"/>
      <c r="HW457" s="3"/>
      <c r="HX457" s="3"/>
      <c r="HY457" s="3"/>
      <c r="HZ457" s="3"/>
      <c r="IA457" s="3"/>
      <c r="IB457" s="3"/>
      <c r="IC457" s="3"/>
      <c r="ID457" s="3"/>
      <c r="IE457" s="3"/>
      <c r="IF457" s="3"/>
      <c r="IG457" s="3"/>
      <c r="IH457" s="3"/>
      <c r="II457" s="130"/>
      <c r="IJ457" s="130"/>
      <c r="IK457" s="130"/>
      <c r="IL457" s="130"/>
      <c r="IM457" s="130"/>
      <c r="IN457" s="130"/>
      <c r="IO457" s="130"/>
      <c r="IP457" s="130"/>
      <c r="IQ457" s="3"/>
      <c r="IR457" s="3"/>
      <c r="IS457" s="3"/>
      <c r="IT457" s="3"/>
      <c r="IU457" s="3"/>
      <c r="IV457" s="3"/>
    </row>
    <row r="458" spans="1:256" s="125" customFormat="1">
      <c r="A458" s="80">
        <v>105</v>
      </c>
      <c r="B458" s="17">
        <v>43095</v>
      </c>
      <c r="C458" s="18"/>
      <c r="D458" s="19" t="s">
        <v>461</v>
      </c>
      <c r="E458" s="20" t="s">
        <v>467</v>
      </c>
      <c r="F458" s="168" t="s">
        <v>637</v>
      </c>
      <c r="G458" s="63">
        <v>1710</v>
      </c>
      <c r="H458" s="121">
        <v>2648100</v>
      </c>
      <c r="I458" s="24"/>
      <c r="J458" s="24">
        <f t="shared" si="42"/>
        <v>2522000</v>
      </c>
      <c r="K458" s="24">
        <f t="shared" si="37"/>
        <v>2522000</v>
      </c>
      <c r="L458" s="123">
        <v>1</v>
      </c>
      <c r="M458" s="24">
        <f t="shared" si="38"/>
        <v>2522000</v>
      </c>
      <c r="N458" s="129">
        <f t="shared" si="39"/>
        <v>0</v>
      </c>
      <c r="O458" s="107" t="s">
        <v>499</v>
      </c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130"/>
      <c r="AB458" s="130"/>
      <c r="AC458" s="130"/>
      <c r="AD458" s="130"/>
      <c r="AE458" s="130"/>
      <c r="AF458" s="130"/>
      <c r="AG458" s="130"/>
      <c r="AH458" s="130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130"/>
      <c r="AZ458" s="130"/>
      <c r="BA458" s="130"/>
      <c r="BB458" s="130"/>
      <c r="BC458" s="130"/>
      <c r="BD458" s="130"/>
      <c r="BE458" s="130"/>
      <c r="BF458" s="130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130"/>
      <c r="BX458" s="130"/>
      <c r="BY458" s="130"/>
      <c r="BZ458" s="130"/>
      <c r="CA458" s="130"/>
      <c r="CB458" s="130"/>
      <c r="CC458" s="130"/>
      <c r="CD458" s="130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130"/>
      <c r="CV458" s="130"/>
      <c r="CW458" s="130"/>
      <c r="CX458" s="130"/>
      <c r="CY458" s="130"/>
      <c r="CZ458" s="130"/>
      <c r="DA458" s="130"/>
      <c r="DB458" s="130"/>
      <c r="DC458" s="3"/>
      <c r="DD458" s="3"/>
      <c r="DE458" s="3"/>
      <c r="DF458" s="3"/>
      <c r="DG458" s="3"/>
      <c r="DH458" s="3"/>
      <c r="DI458" s="3"/>
      <c r="DJ458" s="3"/>
      <c r="DK458" s="3"/>
      <c r="DL458" s="3"/>
      <c r="DM458" s="3"/>
      <c r="DN458" s="3"/>
      <c r="DO458" s="3"/>
      <c r="DP458" s="3"/>
      <c r="DQ458" s="3"/>
      <c r="DR458" s="3"/>
      <c r="DS458" s="130"/>
      <c r="DT458" s="130"/>
      <c r="DU458" s="130"/>
      <c r="DV458" s="130"/>
      <c r="DW458" s="130"/>
      <c r="DX458" s="130"/>
      <c r="DY458" s="130"/>
      <c r="DZ458" s="130"/>
      <c r="EA458" s="3"/>
      <c r="EB458" s="3"/>
      <c r="EC458" s="3"/>
      <c r="ED458" s="3"/>
      <c r="EE458" s="3"/>
      <c r="EF458" s="3"/>
      <c r="EG458" s="3"/>
      <c r="EH458" s="3"/>
      <c r="EI458" s="3"/>
      <c r="EJ458" s="3"/>
      <c r="EK458" s="3"/>
      <c r="EL458" s="3"/>
      <c r="EM458" s="3"/>
      <c r="EN458" s="3"/>
      <c r="EO458" s="3"/>
      <c r="EP458" s="3"/>
      <c r="EQ458" s="130"/>
      <c r="ER458" s="130"/>
      <c r="ES458" s="130"/>
      <c r="ET458" s="130"/>
      <c r="EU458" s="130"/>
      <c r="EV458" s="130"/>
      <c r="EW458" s="130"/>
      <c r="EX458" s="130"/>
      <c r="EY458" s="3"/>
      <c r="EZ458" s="3"/>
      <c r="FA458" s="3"/>
      <c r="FB458" s="3"/>
      <c r="FC458" s="3"/>
      <c r="FD458" s="3"/>
      <c r="FE458" s="3"/>
      <c r="FF458" s="3"/>
      <c r="FG458" s="3"/>
      <c r="FH458" s="3"/>
      <c r="FI458" s="3"/>
      <c r="FJ458" s="3"/>
      <c r="FK458" s="3"/>
      <c r="FL458" s="3"/>
      <c r="FM458" s="3"/>
      <c r="FN458" s="3"/>
      <c r="FO458" s="130"/>
      <c r="FP458" s="130"/>
      <c r="FQ458" s="130"/>
      <c r="FR458" s="130"/>
      <c r="FS458" s="130"/>
      <c r="FT458" s="130"/>
      <c r="FU458" s="130"/>
      <c r="FV458" s="130"/>
      <c r="FW458" s="3"/>
      <c r="FX458" s="3"/>
      <c r="FY458" s="3"/>
      <c r="FZ458" s="3"/>
      <c r="GA458" s="3"/>
      <c r="GB458" s="3"/>
      <c r="GC458" s="3"/>
      <c r="GD458" s="3"/>
      <c r="GE458" s="3"/>
      <c r="GF458" s="3"/>
      <c r="GG458" s="3"/>
      <c r="GH458" s="3"/>
      <c r="GI458" s="3"/>
      <c r="GJ458" s="3"/>
      <c r="GK458" s="3"/>
      <c r="GL458" s="3"/>
      <c r="GM458" s="130"/>
      <c r="GN458" s="130"/>
      <c r="GO458" s="130"/>
      <c r="GP458" s="130"/>
      <c r="GQ458" s="130"/>
      <c r="GR458" s="130"/>
      <c r="GS458" s="130"/>
      <c r="GT458" s="130"/>
      <c r="GU458" s="3"/>
      <c r="GV458" s="3"/>
      <c r="GW458" s="3"/>
      <c r="GX458" s="3"/>
      <c r="GY458" s="3"/>
      <c r="GZ458" s="3"/>
      <c r="HA458" s="3"/>
      <c r="HB458" s="3"/>
      <c r="HC458" s="3"/>
      <c r="HD458" s="3"/>
      <c r="HE458" s="3"/>
      <c r="HF458" s="3"/>
      <c r="HG458" s="3"/>
      <c r="HH458" s="3"/>
      <c r="HI458" s="3"/>
      <c r="HJ458" s="3"/>
      <c r="HK458" s="130"/>
      <c r="HL458" s="130"/>
      <c r="HM458" s="130"/>
      <c r="HN458" s="130"/>
      <c r="HO458" s="130"/>
      <c r="HP458" s="130"/>
      <c r="HQ458" s="130"/>
      <c r="HR458" s="130"/>
      <c r="HS458" s="3"/>
      <c r="HT458" s="3"/>
      <c r="HU458" s="3"/>
      <c r="HV458" s="3"/>
      <c r="HW458" s="3"/>
      <c r="HX458" s="3"/>
      <c r="HY458" s="3"/>
      <c r="HZ458" s="3"/>
      <c r="IA458" s="3"/>
      <c r="IB458" s="3"/>
      <c r="IC458" s="3"/>
      <c r="ID458" s="3"/>
      <c r="IE458" s="3"/>
      <c r="IF458" s="3"/>
      <c r="IG458" s="3"/>
      <c r="IH458" s="3"/>
      <c r="II458" s="130"/>
      <c r="IJ458" s="130"/>
      <c r="IK458" s="130"/>
      <c r="IL458" s="130"/>
      <c r="IM458" s="130"/>
      <c r="IN458" s="130"/>
      <c r="IO458" s="130"/>
      <c r="IP458" s="130"/>
      <c r="IQ458" s="3"/>
      <c r="IR458" s="3"/>
      <c r="IS458" s="3"/>
      <c r="IT458" s="3"/>
      <c r="IU458" s="3"/>
      <c r="IV458" s="3"/>
    </row>
    <row r="459" spans="1:256" s="125" customFormat="1">
      <c r="A459" s="80">
        <v>106</v>
      </c>
      <c r="B459" s="17">
        <v>43095</v>
      </c>
      <c r="C459" s="18"/>
      <c r="D459" s="19" t="s">
        <v>461</v>
      </c>
      <c r="E459" s="20" t="s">
        <v>467</v>
      </c>
      <c r="F459" s="168" t="s">
        <v>638</v>
      </c>
      <c r="G459" s="63">
        <v>1710</v>
      </c>
      <c r="H459" s="121">
        <v>2648100</v>
      </c>
      <c r="I459" s="24"/>
      <c r="J459" s="24">
        <f t="shared" si="42"/>
        <v>2522000</v>
      </c>
      <c r="K459" s="24">
        <f t="shared" si="37"/>
        <v>2522000</v>
      </c>
      <c r="L459" s="123">
        <v>1</v>
      </c>
      <c r="M459" s="24">
        <f t="shared" si="38"/>
        <v>2522000</v>
      </c>
      <c r="N459" s="129">
        <f t="shared" si="39"/>
        <v>0</v>
      </c>
      <c r="O459" s="107" t="s">
        <v>499</v>
      </c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130"/>
      <c r="AB459" s="130"/>
      <c r="AC459" s="130"/>
      <c r="AD459" s="130"/>
      <c r="AE459" s="130"/>
      <c r="AF459" s="130"/>
      <c r="AG459" s="130"/>
      <c r="AH459" s="130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130"/>
      <c r="AZ459" s="130"/>
      <c r="BA459" s="130"/>
      <c r="BB459" s="130"/>
      <c r="BC459" s="130"/>
      <c r="BD459" s="130"/>
      <c r="BE459" s="130"/>
      <c r="BF459" s="130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130"/>
      <c r="BX459" s="130"/>
      <c r="BY459" s="130"/>
      <c r="BZ459" s="130"/>
      <c r="CA459" s="130"/>
      <c r="CB459" s="130"/>
      <c r="CC459" s="130"/>
      <c r="CD459" s="130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130"/>
      <c r="CV459" s="130"/>
      <c r="CW459" s="130"/>
      <c r="CX459" s="130"/>
      <c r="CY459" s="130"/>
      <c r="CZ459" s="130"/>
      <c r="DA459" s="130"/>
      <c r="DB459" s="130"/>
      <c r="DC459" s="3"/>
      <c r="DD459" s="3"/>
      <c r="DE459" s="3"/>
      <c r="DF459" s="3"/>
      <c r="DG459" s="3"/>
      <c r="DH459" s="3"/>
      <c r="DI459" s="3"/>
      <c r="DJ459" s="3"/>
      <c r="DK459" s="3"/>
      <c r="DL459" s="3"/>
      <c r="DM459" s="3"/>
      <c r="DN459" s="3"/>
      <c r="DO459" s="3"/>
      <c r="DP459" s="3"/>
      <c r="DQ459" s="3"/>
      <c r="DR459" s="3"/>
      <c r="DS459" s="130"/>
      <c r="DT459" s="130"/>
      <c r="DU459" s="130"/>
      <c r="DV459" s="130"/>
      <c r="DW459" s="130"/>
      <c r="DX459" s="130"/>
      <c r="DY459" s="130"/>
      <c r="DZ459" s="130"/>
      <c r="EA459" s="3"/>
      <c r="EB459" s="3"/>
      <c r="EC459" s="3"/>
      <c r="ED459" s="3"/>
      <c r="EE459" s="3"/>
      <c r="EF459" s="3"/>
      <c r="EG459" s="3"/>
      <c r="EH459" s="3"/>
      <c r="EI459" s="3"/>
      <c r="EJ459" s="3"/>
      <c r="EK459" s="3"/>
      <c r="EL459" s="3"/>
      <c r="EM459" s="3"/>
      <c r="EN459" s="3"/>
      <c r="EO459" s="3"/>
      <c r="EP459" s="3"/>
      <c r="EQ459" s="130"/>
      <c r="ER459" s="130"/>
      <c r="ES459" s="130"/>
      <c r="ET459" s="130"/>
      <c r="EU459" s="130"/>
      <c r="EV459" s="130"/>
      <c r="EW459" s="130"/>
      <c r="EX459" s="130"/>
      <c r="EY459" s="3"/>
      <c r="EZ459" s="3"/>
      <c r="FA459" s="3"/>
      <c r="FB459" s="3"/>
      <c r="FC459" s="3"/>
      <c r="FD459" s="3"/>
      <c r="FE459" s="3"/>
      <c r="FF459" s="3"/>
      <c r="FG459" s="3"/>
      <c r="FH459" s="3"/>
      <c r="FI459" s="3"/>
      <c r="FJ459" s="3"/>
      <c r="FK459" s="3"/>
      <c r="FL459" s="3"/>
      <c r="FM459" s="3"/>
      <c r="FN459" s="3"/>
      <c r="FO459" s="130"/>
      <c r="FP459" s="130"/>
      <c r="FQ459" s="130"/>
      <c r="FR459" s="130"/>
      <c r="FS459" s="130"/>
      <c r="FT459" s="130"/>
      <c r="FU459" s="130"/>
      <c r="FV459" s="130"/>
      <c r="FW459" s="3"/>
      <c r="FX459" s="3"/>
      <c r="FY459" s="3"/>
      <c r="FZ459" s="3"/>
      <c r="GA459" s="3"/>
      <c r="GB459" s="3"/>
      <c r="GC459" s="3"/>
      <c r="GD459" s="3"/>
      <c r="GE459" s="3"/>
      <c r="GF459" s="3"/>
      <c r="GG459" s="3"/>
      <c r="GH459" s="3"/>
      <c r="GI459" s="3"/>
      <c r="GJ459" s="3"/>
      <c r="GK459" s="3"/>
      <c r="GL459" s="3"/>
      <c r="GM459" s="130"/>
      <c r="GN459" s="130"/>
      <c r="GO459" s="130"/>
      <c r="GP459" s="130"/>
      <c r="GQ459" s="130"/>
      <c r="GR459" s="130"/>
      <c r="GS459" s="130"/>
      <c r="GT459" s="130"/>
      <c r="GU459" s="3"/>
      <c r="GV459" s="3"/>
      <c r="GW459" s="3"/>
      <c r="GX459" s="3"/>
      <c r="GY459" s="3"/>
      <c r="GZ459" s="3"/>
      <c r="HA459" s="3"/>
      <c r="HB459" s="3"/>
      <c r="HC459" s="3"/>
      <c r="HD459" s="3"/>
      <c r="HE459" s="3"/>
      <c r="HF459" s="3"/>
      <c r="HG459" s="3"/>
      <c r="HH459" s="3"/>
      <c r="HI459" s="3"/>
      <c r="HJ459" s="3"/>
      <c r="HK459" s="130"/>
      <c r="HL459" s="130"/>
      <c r="HM459" s="130"/>
      <c r="HN459" s="130"/>
      <c r="HO459" s="130"/>
      <c r="HP459" s="130"/>
      <c r="HQ459" s="130"/>
      <c r="HR459" s="130"/>
      <c r="HS459" s="3"/>
      <c r="HT459" s="3"/>
      <c r="HU459" s="3"/>
      <c r="HV459" s="3"/>
      <c r="HW459" s="3"/>
      <c r="HX459" s="3"/>
      <c r="HY459" s="3"/>
      <c r="HZ459" s="3"/>
      <c r="IA459" s="3"/>
      <c r="IB459" s="3"/>
      <c r="IC459" s="3"/>
      <c r="ID459" s="3"/>
      <c r="IE459" s="3"/>
      <c r="IF459" s="3"/>
      <c r="IG459" s="3"/>
      <c r="IH459" s="3"/>
      <c r="II459" s="130"/>
      <c r="IJ459" s="130"/>
      <c r="IK459" s="130"/>
      <c r="IL459" s="130"/>
      <c r="IM459" s="130"/>
      <c r="IN459" s="130"/>
      <c r="IO459" s="130"/>
      <c r="IP459" s="130"/>
      <c r="IQ459" s="3"/>
      <c r="IR459" s="3"/>
      <c r="IS459" s="3"/>
      <c r="IT459" s="3"/>
      <c r="IU459" s="3"/>
      <c r="IV459" s="3"/>
    </row>
    <row r="460" spans="1:256" s="125" customFormat="1">
      <c r="A460" s="80">
        <v>107</v>
      </c>
      <c r="B460" s="17">
        <v>43095</v>
      </c>
      <c r="C460" s="18"/>
      <c r="D460" s="19" t="s">
        <v>461</v>
      </c>
      <c r="E460" s="20" t="s">
        <v>467</v>
      </c>
      <c r="F460" s="168" t="s">
        <v>639</v>
      </c>
      <c r="G460" s="63">
        <v>1710</v>
      </c>
      <c r="H460" s="121">
        <v>2648100</v>
      </c>
      <c r="I460" s="24"/>
      <c r="J460" s="24">
        <f t="shared" si="42"/>
        <v>2522000</v>
      </c>
      <c r="K460" s="24">
        <f t="shared" si="37"/>
        <v>2522000</v>
      </c>
      <c r="L460" s="123">
        <v>1</v>
      </c>
      <c r="M460" s="24">
        <f t="shared" si="38"/>
        <v>2522000</v>
      </c>
      <c r="N460" s="129">
        <f t="shared" si="39"/>
        <v>0</v>
      </c>
      <c r="O460" s="107" t="s">
        <v>499</v>
      </c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130"/>
      <c r="AB460" s="130"/>
      <c r="AC460" s="130"/>
      <c r="AD460" s="130"/>
      <c r="AE460" s="130"/>
      <c r="AF460" s="130"/>
      <c r="AG460" s="130"/>
      <c r="AH460" s="130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130"/>
      <c r="AZ460" s="130"/>
      <c r="BA460" s="130"/>
      <c r="BB460" s="130"/>
      <c r="BC460" s="130"/>
      <c r="BD460" s="130"/>
      <c r="BE460" s="130"/>
      <c r="BF460" s="130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130"/>
      <c r="BX460" s="130"/>
      <c r="BY460" s="130"/>
      <c r="BZ460" s="130"/>
      <c r="CA460" s="130"/>
      <c r="CB460" s="130"/>
      <c r="CC460" s="130"/>
      <c r="CD460" s="130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130"/>
      <c r="CV460" s="130"/>
      <c r="CW460" s="130"/>
      <c r="CX460" s="130"/>
      <c r="CY460" s="130"/>
      <c r="CZ460" s="130"/>
      <c r="DA460" s="130"/>
      <c r="DB460" s="130"/>
      <c r="DC460" s="3"/>
      <c r="DD460" s="3"/>
      <c r="DE460" s="3"/>
      <c r="DF460" s="3"/>
      <c r="DG460" s="3"/>
      <c r="DH460" s="3"/>
      <c r="DI460" s="3"/>
      <c r="DJ460" s="3"/>
      <c r="DK460" s="3"/>
      <c r="DL460" s="3"/>
      <c r="DM460" s="3"/>
      <c r="DN460" s="3"/>
      <c r="DO460" s="3"/>
      <c r="DP460" s="3"/>
      <c r="DQ460" s="3"/>
      <c r="DR460" s="3"/>
      <c r="DS460" s="130"/>
      <c r="DT460" s="130"/>
      <c r="DU460" s="130"/>
      <c r="DV460" s="130"/>
      <c r="DW460" s="130"/>
      <c r="DX460" s="130"/>
      <c r="DY460" s="130"/>
      <c r="DZ460" s="130"/>
      <c r="EA460" s="3"/>
      <c r="EB460" s="3"/>
      <c r="EC460" s="3"/>
      <c r="ED460" s="3"/>
      <c r="EE460" s="3"/>
      <c r="EF460" s="3"/>
      <c r="EG460" s="3"/>
      <c r="EH460" s="3"/>
      <c r="EI460" s="3"/>
      <c r="EJ460" s="3"/>
      <c r="EK460" s="3"/>
      <c r="EL460" s="3"/>
      <c r="EM460" s="3"/>
      <c r="EN460" s="3"/>
      <c r="EO460" s="3"/>
      <c r="EP460" s="3"/>
      <c r="EQ460" s="130"/>
      <c r="ER460" s="130"/>
      <c r="ES460" s="130"/>
      <c r="ET460" s="130"/>
      <c r="EU460" s="130"/>
      <c r="EV460" s="130"/>
      <c r="EW460" s="130"/>
      <c r="EX460" s="130"/>
      <c r="EY460" s="3"/>
      <c r="EZ460" s="3"/>
      <c r="FA460" s="3"/>
      <c r="FB460" s="3"/>
      <c r="FC460" s="3"/>
      <c r="FD460" s="3"/>
      <c r="FE460" s="3"/>
      <c r="FF460" s="3"/>
      <c r="FG460" s="3"/>
      <c r="FH460" s="3"/>
      <c r="FI460" s="3"/>
      <c r="FJ460" s="3"/>
      <c r="FK460" s="3"/>
      <c r="FL460" s="3"/>
      <c r="FM460" s="3"/>
      <c r="FN460" s="3"/>
      <c r="FO460" s="130"/>
      <c r="FP460" s="130"/>
      <c r="FQ460" s="130"/>
      <c r="FR460" s="130"/>
      <c r="FS460" s="130"/>
      <c r="FT460" s="130"/>
      <c r="FU460" s="130"/>
      <c r="FV460" s="130"/>
      <c r="FW460" s="3"/>
      <c r="FX460" s="3"/>
      <c r="FY460" s="3"/>
      <c r="FZ460" s="3"/>
      <c r="GA460" s="3"/>
      <c r="GB460" s="3"/>
      <c r="GC460" s="3"/>
      <c r="GD460" s="3"/>
      <c r="GE460" s="3"/>
      <c r="GF460" s="3"/>
      <c r="GG460" s="3"/>
      <c r="GH460" s="3"/>
      <c r="GI460" s="3"/>
      <c r="GJ460" s="3"/>
      <c r="GK460" s="3"/>
      <c r="GL460" s="3"/>
      <c r="GM460" s="130"/>
      <c r="GN460" s="130"/>
      <c r="GO460" s="130"/>
      <c r="GP460" s="130"/>
      <c r="GQ460" s="130"/>
      <c r="GR460" s="130"/>
      <c r="GS460" s="130"/>
      <c r="GT460" s="130"/>
      <c r="GU460" s="3"/>
      <c r="GV460" s="3"/>
      <c r="GW460" s="3"/>
      <c r="GX460" s="3"/>
      <c r="GY460" s="3"/>
      <c r="GZ460" s="3"/>
      <c r="HA460" s="3"/>
      <c r="HB460" s="3"/>
      <c r="HC460" s="3"/>
      <c r="HD460" s="3"/>
      <c r="HE460" s="3"/>
      <c r="HF460" s="3"/>
      <c r="HG460" s="3"/>
      <c r="HH460" s="3"/>
      <c r="HI460" s="3"/>
      <c r="HJ460" s="3"/>
      <c r="HK460" s="130"/>
      <c r="HL460" s="130"/>
      <c r="HM460" s="130"/>
      <c r="HN460" s="130"/>
      <c r="HO460" s="130"/>
      <c r="HP460" s="130"/>
      <c r="HQ460" s="130"/>
      <c r="HR460" s="130"/>
      <c r="HS460" s="3"/>
      <c r="HT460" s="3"/>
      <c r="HU460" s="3"/>
      <c r="HV460" s="3"/>
      <c r="HW460" s="3"/>
      <c r="HX460" s="3"/>
      <c r="HY460" s="3"/>
      <c r="HZ460" s="3"/>
      <c r="IA460" s="3"/>
      <c r="IB460" s="3"/>
      <c r="IC460" s="3"/>
      <c r="ID460" s="3"/>
      <c r="IE460" s="3"/>
      <c r="IF460" s="3"/>
      <c r="IG460" s="3"/>
      <c r="IH460" s="3"/>
      <c r="II460" s="130"/>
      <c r="IJ460" s="130"/>
      <c r="IK460" s="130"/>
      <c r="IL460" s="130"/>
      <c r="IM460" s="130"/>
      <c r="IN460" s="130"/>
      <c r="IO460" s="130"/>
      <c r="IP460" s="130"/>
      <c r="IQ460" s="3"/>
      <c r="IR460" s="3"/>
      <c r="IS460" s="3"/>
      <c r="IT460" s="3"/>
      <c r="IU460" s="3"/>
      <c r="IV460" s="3"/>
    </row>
    <row r="461" spans="1:256" s="125" customFormat="1">
      <c r="A461" s="80">
        <v>108</v>
      </c>
      <c r="B461" s="56">
        <v>43069</v>
      </c>
      <c r="C461" s="18"/>
      <c r="D461" s="19" t="s">
        <v>461</v>
      </c>
      <c r="E461" s="20" t="s">
        <v>469</v>
      </c>
      <c r="F461" s="62" t="s">
        <v>640</v>
      </c>
      <c r="G461" s="63">
        <v>1709</v>
      </c>
      <c r="H461" s="121">
        <v>3433800</v>
      </c>
      <c r="I461" s="24">
        <v>3270286</v>
      </c>
      <c r="J461" s="24"/>
      <c r="K461" s="24">
        <f t="shared" si="37"/>
        <v>3270286</v>
      </c>
      <c r="L461" s="123">
        <v>1</v>
      </c>
      <c r="M461" s="24">
        <f t="shared" si="38"/>
        <v>3270286</v>
      </c>
      <c r="N461" s="124">
        <f t="shared" si="39"/>
        <v>0</v>
      </c>
      <c r="O461" s="107" t="s">
        <v>499</v>
      </c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130"/>
      <c r="AB461" s="130"/>
      <c r="AC461" s="130"/>
      <c r="AD461" s="130"/>
      <c r="AE461" s="130"/>
      <c r="AF461" s="130"/>
      <c r="AG461" s="130"/>
      <c r="AH461" s="130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130"/>
      <c r="AZ461" s="130"/>
      <c r="BA461" s="130"/>
      <c r="BB461" s="130"/>
      <c r="BC461" s="130"/>
      <c r="BD461" s="130"/>
      <c r="BE461" s="130"/>
      <c r="BF461" s="130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130"/>
      <c r="BX461" s="130"/>
      <c r="BY461" s="130"/>
      <c r="BZ461" s="130"/>
      <c r="CA461" s="130"/>
      <c r="CB461" s="130"/>
      <c r="CC461" s="130"/>
      <c r="CD461" s="130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130"/>
      <c r="CV461" s="130"/>
      <c r="CW461" s="130"/>
      <c r="CX461" s="130"/>
      <c r="CY461" s="130"/>
      <c r="CZ461" s="130"/>
      <c r="DA461" s="130"/>
      <c r="DB461" s="130"/>
      <c r="DC461" s="3"/>
      <c r="DD461" s="3"/>
      <c r="DE461" s="3"/>
      <c r="DF461" s="3"/>
      <c r="DG461" s="3"/>
      <c r="DH461" s="3"/>
      <c r="DI461" s="3"/>
      <c r="DJ461" s="3"/>
      <c r="DK461" s="3"/>
      <c r="DL461" s="3"/>
      <c r="DM461" s="3"/>
      <c r="DN461" s="3"/>
      <c r="DO461" s="3"/>
      <c r="DP461" s="3"/>
      <c r="DQ461" s="3"/>
      <c r="DR461" s="3"/>
      <c r="DS461" s="130"/>
      <c r="DT461" s="130"/>
      <c r="DU461" s="130"/>
      <c r="DV461" s="130"/>
      <c r="DW461" s="130"/>
      <c r="DX461" s="130"/>
      <c r="DY461" s="130"/>
      <c r="DZ461" s="130"/>
      <c r="EA461" s="3"/>
      <c r="EB461" s="3"/>
      <c r="EC461" s="3"/>
      <c r="ED461" s="3"/>
      <c r="EE461" s="3"/>
      <c r="EF461" s="3"/>
      <c r="EG461" s="3"/>
      <c r="EH461" s="3"/>
      <c r="EI461" s="3"/>
      <c r="EJ461" s="3"/>
      <c r="EK461" s="3"/>
      <c r="EL461" s="3"/>
      <c r="EM461" s="3"/>
      <c r="EN461" s="3"/>
      <c r="EO461" s="3"/>
      <c r="EP461" s="3"/>
      <c r="EQ461" s="130"/>
      <c r="ER461" s="130"/>
      <c r="ES461" s="130"/>
      <c r="ET461" s="130"/>
      <c r="EU461" s="130"/>
      <c r="EV461" s="130"/>
      <c r="EW461" s="130"/>
      <c r="EX461" s="130"/>
      <c r="EY461" s="3"/>
      <c r="EZ461" s="3"/>
      <c r="FA461" s="3"/>
      <c r="FB461" s="3"/>
      <c r="FC461" s="3"/>
      <c r="FD461" s="3"/>
      <c r="FE461" s="3"/>
      <c r="FF461" s="3"/>
      <c r="FG461" s="3"/>
      <c r="FH461" s="3"/>
      <c r="FI461" s="3"/>
      <c r="FJ461" s="3"/>
      <c r="FK461" s="3"/>
      <c r="FL461" s="3"/>
      <c r="FM461" s="3"/>
      <c r="FN461" s="3"/>
      <c r="FO461" s="130"/>
      <c r="FP461" s="130"/>
      <c r="FQ461" s="130"/>
      <c r="FR461" s="130"/>
      <c r="FS461" s="130"/>
      <c r="FT461" s="130"/>
      <c r="FU461" s="130"/>
      <c r="FV461" s="130"/>
      <c r="FW461" s="3"/>
      <c r="FX461" s="3"/>
      <c r="FY461" s="3"/>
      <c r="FZ461" s="3"/>
      <c r="GA461" s="3"/>
      <c r="GB461" s="3"/>
      <c r="GC461" s="3"/>
      <c r="GD461" s="3"/>
      <c r="GE461" s="3"/>
      <c r="GF461" s="3"/>
      <c r="GG461" s="3"/>
      <c r="GH461" s="3"/>
      <c r="GI461" s="3"/>
      <c r="GJ461" s="3"/>
      <c r="GK461" s="3"/>
      <c r="GL461" s="3"/>
      <c r="GM461" s="130"/>
      <c r="GN461" s="130"/>
      <c r="GO461" s="130"/>
      <c r="GP461" s="130"/>
      <c r="GQ461" s="130"/>
      <c r="GR461" s="130"/>
      <c r="GS461" s="130"/>
      <c r="GT461" s="130"/>
      <c r="GU461" s="3"/>
      <c r="GV461" s="3"/>
      <c r="GW461" s="3"/>
      <c r="GX461" s="3"/>
      <c r="GY461" s="3"/>
      <c r="GZ461" s="3"/>
      <c r="HA461" s="3"/>
      <c r="HB461" s="3"/>
      <c r="HC461" s="3"/>
      <c r="HD461" s="3"/>
      <c r="HE461" s="3"/>
      <c r="HF461" s="3"/>
      <c r="HG461" s="3"/>
      <c r="HH461" s="3"/>
      <c r="HI461" s="3"/>
      <c r="HJ461" s="3"/>
      <c r="HK461" s="130"/>
      <c r="HL461" s="130"/>
      <c r="HM461" s="130"/>
      <c r="HN461" s="130"/>
      <c r="HO461" s="130"/>
      <c r="HP461" s="130"/>
      <c r="HQ461" s="130"/>
      <c r="HR461" s="130"/>
      <c r="HS461" s="3"/>
      <c r="HT461" s="3"/>
      <c r="HU461" s="3"/>
      <c r="HV461" s="3"/>
      <c r="HW461" s="3"/>
      <c r="HX461" s="3"/>
      <c r="HY461" s="3"/>
      <c r="HZ461" s="3"/>
      <c r="IA461" s="3"/>
      <c r="IB461" s="3"/>
      <c r="IC461" s="3"/>
      <c r="ID461" s="3"/>
      <c r="IE461" s="3"/>
      <c r="IF461" s="3"/>
      <c r="IG461" s="3"/>
      <c r="IH461" s="3"/>
      <c r="II461" s="130"/>
      <c r="IJ461" s="130"/>
      <c r="IK461" s="130"/>
      <c r="IL461" s="130"/>
      <c r="IM461" s="130"/>
      <c r="IN461" s="130"/>
      <c r="IO461" s="130"/>
      <c r="IP461" s="130"/>
      <c r="IQ461" s="3"/>
      <c r="IR461" s="3"/>
      <c r="IS461" s="3"/>
      <c r="IT461" s="3"/>
      <c r="IU461" s="3"/>
      <c r="IV461" s="3"/>
    </row>
    <row r="462" spans="1:256" s="125" customFormat="1">
      <c r="A462" s="80">
        <v>109</v>
      </c>
      <c r="B462" s="29">
        <v>43068</v>
      </c>
      <c r="C462" s="18"/>
      <c r="D462" s="19" t="s">
        <v>472</v>
      </c>
      <c r="E462" s="20" t="s">
        <v>473</v>
      </c>
      <c r="F462" s="82" t="s">
        <v>641</v>
      </c>
      <c r="G462" s="58">
        <v>1709</v>
      </c>
      <c r="H462" s="121">
        <v>2246600</v>
      </c>
      <c r="I462" s="24">
        <v>2139619</v>
      </c>
      <c r="J462" s="24"/>
      <c r="K462" s="24">
        <f t="shared" si="37"/>
        <v>2139619</v>
      </c>
      <c r="L462" s="123">
        <v>1</v>
      </c>
      <c r="M462" s="24">
        <f t="shared" si="38"/>
        <v>2139619</v>
      </c>
      <c r="N462" s="129">
        <f t="shared" si="39"/>
        <v>0</v>
      </c>
      <c r="O462" s="107" t="s">
        <v>499</v>
      </c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130"/>
      <c r="AB462" s="130"/>
      <c r="AC462" s="130"/>
      <c r="AD462" s="130"/>
      <c r="AE462" s="130"/>
      <c r="AF462" s="130"/>
      <c r="AG462" s="130"/>
      <c r="AH462" s="130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130"/>
      <c r="AZ462" s="130"/>
      <c r="BA462" s="130"/>
      <c r="BB462" s="130"/>
      <c r="BC462" s="130"/>
      <c r="BD462" s="130"/>
      <c r="BE462" s="130"/>
      <c r="BF462" s="130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130"/>
      <c r="BX462" s="130"/>
      <c r="BY462" s="130"/>
      <c r="BZ462" s="130"/>
      <c r="CA462" s="130"/>
      <c r="CB462" s="130"/>
      <c r="CC462" s="130"/>
      <c r="CD462" s="130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130"/>
      <c r="CV462" s="130"/>
      <c r="CW462" s="130"/>
      <c r="CX462" s="130"/>
      <c r="CY462" s="130"/>
      <c r="CZ462" s="130"/>
      <c r="DA462" s="130"/>
      <c r="DB462" s="130"/>
      <c r="DC462" s="3"/>
      <c r="DD462" s="3"/>
      <c r="DE462" s="3"/>
      <c r="DF462" s="3"/>
      <c r="DG462" s="3"/>
      <c r="DH462" s="3"/>
      <c r="DI462" s="3"/>
      <c r="DJ462" s="3"/>
      <c r="DK462" s="3"/>
      <c r="DL462" s="3"/>
      <c r="DM462" s="3"/>
      <c r="DN462" s="3"/>
      <c r="DO462" s="3"/>
      <c r="DP462" s="3"/>
      <c r="DQ462" s="3"/>
      <c r="DR462" s="3"/>
      <c r="DS462" s="130"/>
      <c r="DT462" s="130"/>
      <c r="DU462" s="130"/>
      <c r="DV462" s="130"/>
      <c r="DW462" s="130"/>
      <c r="DX462" s="130"/>
      <c r="DY462" s="130"/>
      <c r="DZ462" s="130"/>
      <c r="EA462" s="3"/>
      <c r="EB462" s="3"/>
      <c r="EC462" s="3"/>
      <c r="ED462" s="3"/>
      <c r="EE462" s="3"/>
      <c r="EF462" s="3"/>
      <c r="EG462" s="3"/>
      <c r="EH462" s="3"/>
      <c r="EI462" s="3"/>
      <c r="EJ462" s="3"/>
      <c r="EK462" s="3"/>
      <c r="EL462" s="3"/>
      <c r="EM462" s="3"/>
      <c r="EN462" s="3"/>
      <c r="EO462" s="3"/>
      <c r="EP462" s="3"/>
      <c r="EQ462" s="130"/>
      <c r="ER462" s="130"/>
      <c r="ES462" s="130"/>
      <c r="ET462" s="130"/>
      <c r="EU462" s="130"/>
      <c r="EV462" s="130"/>
      <c r="EW462" s="130"/>
      <c r="EX462" s="130"/>
      <c r="EY462" s="3"/>
      <c r="EZ462" s="3"/>
      <c r="FA462" s="3"/>
      <c r="FB462" s="3"/>
      <c r="FC462" s="3"/>
      <c r="FD462" s="3"/>
      <c r="FE462" s="3"/>
      <c r="FF462" s="3"/>
      <c r="FG462" s="3"/>
      <c r="FH462" s="3"/>
      <c r="FI462" s="3"/>
      <c r="FJ462" s="3"/>
      <c r="FK462" s="3"/>
      <c r="FL462" s="3"/>
      <c r="FM462" s="3"/>
      <c r="FN462" s="3"/>
      <c r="FO462" s="130"/>
      <c r="FP462" s="130"/>
      <c r="FQ462" s="130"/>
      <c r="FR462" s="130"/>
      <c r="FS462" s="130"/>
      <c r="FT462" s="130"/>
      <c r="FU462" s="130"/>
      <c r="FV462" s="130"/>
      <c r="FW462" s="3"/>
      <c r="FX462" s="3"/>
      <c r="FY462" s="3"/>
      <c r="FZ462" s="3"/>
      <c r="GA462" s="3"/>
      <c r="GB462" s="3"/>
      <c r="GC462" s="3"/>
      <c r="GD462" s="3"/>
      <c r="GE462" s="3"/>
      <c r="GF462" s="3"/>
      <c r="GG462" s="3"/>
      <c r="GH462" s="3"/>
      <c r="GI462" s="3"/>
      <c r="GJ462" s="3"/>
      <c r="GK462" s="3"/>
      <c r="GL462" s="3"/>
      <c r="GM462" s="130"/>
      <c r="GN462" s="130"/>
      <c r="GO462" s="130"/>
      <c r="GP462" s="130"/>
      <c r="GQ462" s="130"/>
      <c r="GR462" s="130"/>
      <c r="GS462" s="130"/>
      <c r="GT462" s="130"/>
      <c r="GU462" s="3"/>
      <c r="GV462" s="3"/>
      <c r="GW462" s="3"/>
      <c r="GX462" s="3"/>
      <c r="GY462" s="3"/>
      <c r="GZ462" s="3"/>
      <c r="HA462" s="3"/>
      <c r="HB462" s="3"/>
      <c r="HC462" s="3"/>
      <c r="HD462" s="3"/>
      <c r="HE462" s="3"/>
      <c r="HF462" s="3"/>
      <c r="HG462" s="3"/>
      <c r="HH462" s="3"/>
      <c r="HI462" s="3"/>
      <c r="HJ462" s="3"/>
      <c r="HK462" s="130"/>
      <c r="HL462" s="130"/>
      <c r="HM462" s="130"/>
      <c r="HN462" s="130"/>
      <c r="HO462" s="130"/>
      <c r="HP462" s="130"/>
      <c r="HQ462" s="130"/>
      <c r="HR462" s="130"/>
      <c r="HS462" s="3"/>
      <c r="HT462" s="3"/>
      <c r="HU462" s="3"/>
      <c r="HV462" s="3"/>
      <c r="HW462" s="3"/>
      <c r="HX462" s="3"/>
      <c r="HY462" s="3"/>
      <c r="HZ462" s="3"/>
      <c r="IA462" s="3"/>
      <c r="IB462" s="3"/>
      <c r="IC462" s="3"/>
      <c r="ID462" s="3"/>
      <c r="IE462" s="3"/>
      <c r="IF462" s="3"/>
      <c r="IG462" s="3"/>
      <c r="IH462" s="3"/>
      <c r="II462" s="130"/>
      <c r="IJ462" s="130"/>
      <c r="IK462" s="130"/>
      <c r="IL462" s="130"/>
      <c r="IM462" s="130"/>
      <c r="IN462" s="130"/>
      <c r="IO462" s="130"/>
      <c r="IP462" s="130"/>
      <c r="IQ462" s="3"/>
      <c r="IR462" s="3"/>
      <c r="IS462" s="3"/>
      <c r="IT462" s="3"/>
      <c r="IU462" s="3"/>
      <c r="IV462" s="3"/>
    </row>
    <row r="463" spans="1:256" s="3" customFormat="1">
      <c r="A463" s="80">
        <v>110</v>
      </c>
      <c r="B463" s="17">
        <v>43088</v>
      </c>
      <c r="C463" s="18" t="s">
        <v>311</v>
      </c>
      <c r="D463" s="19" t="s">
        <v>472</v>
      </c>
      <c r="E463" s="20" t="s">
        <v>642</v>
      </c>
      <c r="F463" s="168" t="s">
        <v>643</v>
      </c>
      <c r="G463" s="63">
        <v>1706</v>
      </c>
      <c r="H463" s="121">
        <v>2440000</v>
      </c>
      <c r="I463" s="24"/>
      <c r="J463" s="24">
        <f>SUM(H463)/1.05</f>
        <v>2323809.5238095238</v>
      </c>
      <c r="K463" s="24">
        <f t="shared" si="37"/>
        <v>2323809.5238095238</v>
      </c>
      <c r="L463" s="123">
        <v>1</v>
      </c>
      <c r="M463" s="24">
        <f t="shared" si="38"/>
        <v>2323809.5238095238</v>
      </c>
      <c r="N463" s="129">
        <f t="shared" si="39"/>
        <v>0</v>
      </c>
      <c r="O463" s="107" t="s">
        <v>499</v>
      </c>
      <c r="Q463" s="140"/>
      <c r="Y463" s="131"/>
      <c r="Z463" s="15"/>
      <c r="AA463" s="99"/>
      <c r="AB463" s="149"/>
      <c r="AC463" s="134"/>
      <c r="AD463" s="134"/>
      <c r="AE463" s="137"/>
      <c r="AF463" s="150"/>
      <c r="AG463" s="137"/>
      <c r="AH463" s="137"/>
      <c r="AJ463" s="138"/>
      <c r="AK463" s="2"/>
      <c r="AL463" s="139"/>
      <c r="AW463" s="131"/>
      <c r="AX463" s="15"/>
      <c r="AY463" s="99"/>
      <c r="AZ463" s="149"/>
      <c r="BA463" s="134"/>
      <c r="BB463" s="134"/>
      <c r="BC463" s="137"/>
      <c r="BD463" s="150"/>
      <c r="BE463" s="137"/>
      <c r="BF463" s="137"/>
      <c r="BH463" s="138"/>
      <c r="BI463" s="2"/>
      <c r="BJ463" s="139"/>
      <c r="BU463" s="131"/>
      <c r="BV463" s="15"/>
      <c r="BW463" s="99"/>
      <c r="BX463" s="149"/>
      <c r="BY463" s="134"/>
      <c r="BZ463" s="134"/>
      <c r="CA463" s="137"/>
      <c r="CB463" s="150"/>
      <c r="CC463" s="137"/>
      <c r="CD463" s="137"/>
      <c r="CF463" s="138"/>
      <c r="CG463" s="2"/>
      <c r="CH463" s="139"/>
      <c r="CS463" s="131"/>
      <c r="CT463" s="15"/>
      <c r="CU463" s="99"/>
      <c r="CV463" s="149"/>
      <c r="CW463" s="134"/>
      <c r="CX463" s="134"/>
      <c r="CY463" s="137"/>
      <c r="CZ463" s="150"/>
      <c r="DA463" s="137"/>
      <c r="DB463" s="137"/>
      <c r="DD463" s="138"/>
      <c r="DE463" s="2"/>
      <c r="DF463" s="139"/>
      <c r="DQ463" s="131"/>
      <c r="DR463" s="15"/>
      <c r="DS463" s="99"/>
      <c r="DT463" s="149"/>
      <c r="DU463" s="134"/>
      <c r="DV463" s="134"/>
      <c r="DW463" s="137"/>
      <c r="DX463" s="150"/>
      <c r="DY463" s="137"/>
      <c r="DZ463" s="137"/>
      <c r="EB463" s="138"/>
      <c r="EC463" s="2"/>
      <c r="ED463" s="139"/>
      <c r="EO463" s="131"/>
      <c r="EP463" s="15"/>
      <c r="EQ463" s="99"/>
      <c r="ER463" s="149"/>
      <c r="ES463" s="134"/>
      <c r="ET463" s="134"/>
      <c r="EU463" s="137"/>
      <c r="EV463" s="150"/>
      <c r="EW463" s="137"/>
      <c r="EX463" s="137"/>
      <c r="EZ463" s="138"/>
      <c r="FA463" s="2"/>
      <c r="FB463" s="139"/>
      <c r="FM463" s="131"/>
      <c r="FN463" s="15"/>
      <c r="FO463" s="99"/>
      <c r="FP463" s="149"/>
      <c r="FQ463" s="134"/>
      <c r="FR463" s="134"/>
      <c r="FS463" s="137"/>
      <c r="FT463" s="150"/>
      <c r="FU463" s="137"/>
      <c r="FV463" s="137"/>
      <c r="FX463" s="138"/>
      <c r="FY463" s="2"/>
      <c r="FZ463" s="139"/>
      <c r="GK463" s="131"/>
      <c r="GL463" s="15"/>
      <c r="GM463" s="99"/>
      <c r="GN463" s="149"/>
      <c r="GO463" s="134"/>
      <c r="GP463" s="134"/>
      <c r="GQ463" s="137"/>
      <c r="GR463" s="150"/>
      <c r="GS463" s="137"/>
      <c r="GT463" s="137"/>
      <c r="GV463" s="138"/>
      <c r="GW463" s="2"/>
      <c r="GX463" s="139"/>
      <c r="HI463" s="131"/>
      <c r="HJ463" s="15"/>
      <c r="HK463" s="99"/>
      <c r="HL463" s="149"/>
      <c r="HM463" s="134"/>
      <c r="HN463" s="134"/>
      <c r="HO463" s="137"/>
      <c r="HP463" s="150"/>
      <c r="HQ463" s="137"/>
      <c r="HR463" s="137"/>
      <c r="HT463" s="138"/>
      <c r="HU463" s="2"/>
      <c r="HV463" s="139"/>
      <c r="IG463" s="131"/>
      <c r="IH463" s="15"/>
      <c r="II463" s="99"/>
      <c r="IJ463" s="149"/>
      <c r="IK463" s="134"/>
      <c r="IL463" s="134"/>
      <c r="IM463" s="137"/>
      <c r="IN463" s="150"/>
      <c r="IO463" s="137"/>
      <c r="IP463" s="137"/>
      <c r="IR463" s="138"/>
      <c r="IS463" s="2"/>
      <c r="IT463" s="139"/>
    </row>
    <row r="464" spans="1:256" s="3" customFormat="1">
      <c r="A464" s="80">
        <v>111</v>
      </c>
      <c r="B464" s="29">
        <v>43041</v>
      </c>
      <c r="C464" s="18"/>
      <c r="D464" s="198" t="s">
        <v>472</v>
      </c>
      <c r="E464" s="20" t="s">
        <v>475</v>
      </c>
      <c r="F464" s="82" t="s">
        <v>644</v>
      </c>
      <c r="G464" s="63">
        <v>1708</v>
      </c>
      <c r="H464" s="121">
        <v>2368800</v>
      </c>
      <c r="I464" s="24">
        <v>2256000</v>
      </c>
      <c r="J464" s="24"/>
      <c r="K464" s="24">
        <f t="shared" si="37"/>
        <v>2256000</v>
      </c>
      <c r="L464" s="123">
        <v>1</v>
      </c>
      <c r="M464" s="24">
        <f t="shared" si="38"/>
        <v>2256000</v>
      </c>
      <c r="N464" s="129">
        <f t="shared" si="39"/>
        <v>0</v>
      </c>
      <c r="O464" s="107" t="s">
        <v>499</v>
      </c>
      <c r="Q464" s="140"/>
      <c r="Y464" s="131"/>
      <c r="Z464" s="15"/>
      <c r="AA464" s="99"/>
      <c r="AB464" s="149"/>
      <c r="AC464" s="134"/>
      <c r="AD464" s="134"/>
      <c r="AE464" s="137"/>
      <c r="AF464" s="150"/>
      <c r="AG464" s="137"/>
      <c r="AH464" s="137"/>
      <c r="AJ464" s="138"/>
      <c r="AK464" s="2"/>
      <c r="AL464" s="139"/>
      <c r="AW464" s="131"/>
      <c r="AX464" s="15"/>
      <c r="AY464" s="99"/>
      <c r="AZ464" s="149"/>
      <c r="BA464" s="134"/>
      <c r="BB464" s="134"/>
      <c r="BC464" s="137"/>
      <c r="BD464" s="150"/>
      <c r="BE464" s="137"/>
      <c r="BF464" s="137"/>
      <c r="BH464" s="138"/>
      <c r="BI464" s="2"/>
      <c r="BJ464" s="139"/>
      <c r="BU464" s="131"/>
      <c r="BV464" s="15"/>
      <c r="BW464" s="99"/>
      <c r="BX464" s="149"/>
      <c r="BY464" s="134"/>
      <c r="BZ464" s="134"/>
      <c r="CA464" s="137"/>
      <c r="CB464" s="150"/>
      <c r="CC464" s="137"/>
      <c r="CD464" s="137"/>
      <c r="CF464" s="138"/>
      <c r="CG464" s="2"/>
      <c r="CH464" s="139"/>
      <c r="CS464" s="131"/>
      <c r="CT464" s="15"/>
      <c r="CU464" s="99"/>
      <c r="CV464" s="149"/>
      <c r="CW464" s="134"/>
      <c r="CX464" s="134"/>
      <c r="CY464" s="137"/>
      <c r="CZ464" s="150"/>
      <c r="DA464" s="137"/>
      <c r="DB464" s="137"/>
      <c r="DD464" s="138"/>
      <c r="DE464" s="2"/>
      <c r="DF464" s="139"/>
      <c r="DQ464" s="131"/>
      <c r="DR464" s="15"/>
      <c r="DS464" s="99"/>
      <c r="DT464" s="149"/>
      <c r="DU464" s="134"/>
      <c r="DV464" s="134"/>
      <c r="DW464" s="137"/>
      <c r="DX464" s="150"/>
      <c r="DY464" s="137"/>
      <c r="DZ464" s="137"/>
      <c r="EB464" s="138"/>
      <c r="EC464" s="2"/>
      <c r="ED464" s="139"/>
      <c r="EO464" s="131"/>
      <c r="EP464" s="15"/>
      <c r="EQ464" s="99"/>
      <c r="ER464" s="149"/>
      <c r="ES464" s="134"/>
      <c r="ET464" s="134"/>
      <c r="EU464" s="137"/>
      <c r="EV464" s="150"/>
      <c r="EW464" s="137"/>
      <c r="EX464" s="137"/>
      <c r="EZ464" s="138"/>
      <c r="FA464" s="2"/>
      <c r="FB464" s="139"/>
      <c r="FM464" s="131"/>
      <c r="FN464" s="15"/>
      <c r="FO464" s="99"/>
      <c r="FP464" s="149"/>
      <c r="FQ464" s="134"/>
      <c r="FR464" s="134"/>
      <c r="FS464" s="137"/>
      <c r="FT464" s="150"/>
      <c r="FU464" s="137"/>
      <c r="FV464" s="137"/>
      <c r="FX464" s="138"/>
      <c r="FY464" s="2"/>
      <c r="FZ464" s="139"/>
      <c r="GK464" s="131"/>
      <c r="GL464" s="15"/>
      <c r="GM464" s="99"/>
      <c r="GN464" s="149"/>
      <c r="GO464" s="134"/>
      <c r="GP464" s="134"/>
      <c r="GQ464" s="137"/>
      <c r="GR464" s="150"/>
      <c r="GS464" s="137"/>
      <c r="GT464" s="137"/>
      <c r="GV464" s="138"/>
      <c r="GW464" s="2"/>
      <c r="GX464" s="139"/>
      <c r="HI464" s="131"/>
      <c r="HJ464" s="15"/>
      <c r="HK464" s="99"/>
      <c r="HL464" s="149"/>
      <c r="HM464" s="134"/>
      <c r="HN464" s="134"/>
      <c r="HO464" s="137"/>
      <c r="HP464" s="150"/>
      <c r="HQ464" s="137"/>
      <c r="HR464" s="137"/>
      <c r="HT464" s="138"/>
      <c r="HU464" s="2"/>
      <c r="HV464" s="139"/>
      <c r="IG464" s="131"/>
      <c r="IH464" s="15"/>
      <c r="II464" s="99"/>
      <c r="IJ464" s="149"/>
      <c r="IK464" s="134"/>
      <c r="IL464" s="134"/>
      <c r="IM464" s="137"/>
      <c r="IN464" s="150"/>
      <c r="IO464" s="137"/>
      <c r="IP464" s="137"/>
      <c r="IR464" s="138"/>
      <c r="IS464" s="2"/>
      <c r="IT464" s="139"/>
    </row>
    <row r="465" spans="1:256" s="3" customFormat="1">
      <c r="A465" s="80">
        <v>112</v>
      </c>
      <c r="B465" s="17">
        <v>43063</v>
      </c>
      <c r="C465" s="18"/>
      <c r="D465" s="19" t="s">
        <v>479</v>
      </c>
      <c r="E465" s="20" t="s">
        <v>480</v>
      </c>
      <c r="F465" s="82" t="s">
        <v>645</v>
      </c>
      <c r="G465" s="63">
        <v>1708</v>
      </c>
      <c r="H465" s="121">
        <v>2669500</v>
      </c>
      <c r="I465" s="24">
        <v>2542381</v>
      </c>
      <c r="J465" s="24"/>
      <c r="K465" s="24">
        <f t="shared" si="37"/>
        <v>2542381</v>
      </c>
      <c r="L465" s="123">
        <v>1</v>
      </c>
      <c r="M465" s="24">
        <f t="shared" si="38"/>
        <v>2542381</v>
      </c>
      <c r="N465" s="129">
        <f t="shared" si="39"/>
        <v>0</v>
      </c>
      <c r="O465" s="107" t="s">
        <v>499</v>
      </c>
      <c r="AA465" s="130"/>
      <c r="AB465" s="130"/>
      <c r="AC465" s="130"/>
      <c r="AD465" s="130"/>
      <c r="AE465" s="130"/>
      <c r="AF465" s="130"/>
      <c r="AG465" s="130"/>
      <c r="AH465" s="130"/>
      <c r="AY465" s="130"/>
      <c r="AZ465" s="130"/>
      <c r="BA465" s="130"/>
      <c r="BB465" s="130"/>
      <c r="BC465" s="130"/>
      <c r="BD465" s="130"/>
      <c r="BE465" s="130"/>
      <c r="BF465" s="130"/>
      <c r="BW465" s="130"/>
      <c r="BX465" s="130"/>
      <c r="BY465" s="130"/>
      <c r="BZ465" s="130"/>
      <c r="CA465" s="130"/>
      <c r="CB465" s="130"/>
      <c r="CC465" s="130"/>
      <c r="CD465" s="130"/>
      <c r="CU465" s="130"/>
      <c r="CV465" s="130"/>
      <c r="CW465" s="130"/>
      <c r="CX465" s="130"/>
      <c r="CY465" s="130"/>
      <c r="CZ465" s="130"/>
      <c r="DA465" s="130"/>
      <c r="DB465" s="130"/>
      <c r="DS465" s="130"/>
      <c r="DT465" s="130"/>
      <c r="DU465" s="130"/>
      <c r="DV465" s="130"/>
      <c r="DW465" s="130"/>
      <c r="DX465" s="130"/>
      <c r="DY465" s="130"/>
      <c r="DZ465" s="130"/>
      <c r="EQ465" s="130"/>
      <c r="ER465" s="130"/>
      <c r="ES465" s="130"/>
      <c r="ET465" s="130"/>
      <c r="EU465" s="130"/>
      <c r="EV465" s="130"/>
      <c r="EW465" s="130"/>
      <c r="EX465" s="130"/>
      <c r="FO465" s="130"/>
      <c r="FP465" s="130"/>
      <c r="FQ465" s="130"/>
      <c r="FR465" s="130"/>
      <c r="FS465" s="130"/>
      <c r="FT465" s="130"/>
      <c r="FU465" s="130"/>
      <c r="FV465" s="130"/>
      <c r="GM465" s="130"/>
      <c r="GN465" s="130"/>
      <c r="GO465" s="130"/>
      <c r="GP465" s="130"/>
      <c r="GQ465" s="130"/>
      <c r="GR465" s="130"/>
      <c r="GS465" s="130"/>
      <c r="GT465" s="130"/>
      <c r="HK465" s="130"/>
      <c r="HL465" s="130"/>
      <c r="HM465" s="130"/>
      <c r="HN465" s="130"/>
      <c r="HO465" s="130"/>
      <c r="HP465" s="130"/>
      <c r="HQ465" s="130"/>
      <c r="HR465" s="130"/>
      <c r="II465" s="130"/>
      <c r="IJ465" s="130"/>
      <c r="IK465" s="130"/>
      <c r="IL465" s="130"/>
      <c r="IM465" s="130"/>
      <c r="IN465" s="130"/>
      <c r="IO465" s="130"/>
      <c r="IP465" s="130"/>
    </row>
    <row r="466" spans="1:256" s="125" customFormat="1">
      <c r="A466" s="80">
        <v>113</v>
      </c>
      <c r="B466" s="17">
        <v>43068</v>
      </c>
      <c r="C466" s="18"/>
      <c r="D466" s="19" t="s">
        <v>479</v>
      </c>
      <c r="E466" s="20" t="s">
        <v>480</v>
      </c>
      <c r="F466" s="120" t="s">
        <v>646</v>
      </c>
      <c r="G466" s="58">
        <v>1708</v>
      </c>
      <c r="H466" s="121">
        <v>2669500</v>
      </c>
      <c r="I466" s="24">
        <v>2542381</v>
      </c>
      <c r="J466" s="24"/>
      <c r="K466" s="24">
        <f t="shared" si="37"/>
        <v>2542381</v>
      </c>
      <c r="L466" s="123">
        <v>1</v>
      </c>
      <c r="M466" s="24">
        <f t="shared" si="38"/>
        <v>2542381</v>
      </c>
      <c r="N466" s="129">
        <f t="shared" si="39"/>
        <v>0</v>
      </c>
      <c r="O466" s="107" t="s">
        <v>499</v>
      </c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130"/>
      <c r="AB466" s="130"/>
      <c r="AC466" s="130"/>
      <c r="AD466" s="130"/>
      <c r="AE466" s="130"/>
      <c r="AF466" s="130"/>
      <c r="AG466" s="130"/>
      <c r="AH466" s="130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130"/>
      <c r="AZ466" s="130"/>
      <c r="BA466" s="130"/>
      <c r="BB466" s="130"/>
      <c r="BC466" s="130"/>
      <c r="BD466" s="130"/>
      <c r="BE466" s="130"/>
      <c r="BF466" s="130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130"/>
      <c r="BX466" s="130"/>
      <c r="BY466" s="130"/>
      <c r="BZ466" s="130"/>
      <c r="CA466" s="130"/>
      <c r="CB466" s="130"/>
      <c r="CC466" s="130"/>
      <c r="CD466" s="130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  <c r="CT466" s="3"/>
      <c r="CU466" s="130"/>
      <c r="CV466" s="130"/>
      <c r="CW466" s="130"/>
      <c r="CX466" s="130"/>
      <c r="CY466" s="130"/>
      <c r="CZ466" s="130"/>
      <c r="DA466" s="130"/>
      <c r="DB466" s="130"/>
      <c r="DC466" s="3"/>
      <c r="DD466" s="3"/>
      <c r="DE466" s="3"/>
      <c r="DF466" s="3"/>
      <c r="DG466" s="3"/>
      <c r="DH466" s="3"/>
      <c r="DI466" s="3"/>
      <c r="DJ466" s="3"/>
      <c r="DK466" s="3"/>
      <c r="DL466" s="3"/>
      <c r="DM466" s="3"/>
      <c r="DN466" s="3"/>
      <c r="DO466" s="3"/>
      <c r="DP466" s="3"/>
      <c r="DQ466" s="3"/>
      <c r="DR466" s="3"/>
      <c r="DS466" s="130"/>
      <c r="DT466" s="130"/>
      <c r="DU466" s="130"/>
      <c r="DV466" s="130"/>
      <c r="DW466" s="130"/>
      <c r="DX466" s="130"/>
      <c r="DY466" s="130"/>
      <c r="DZ466" s="130"/>
      <c r="EA466" s="3"/>
      <c r="EB466" s="3"/>
      <c r="EC466" s="3"/>
      <c r="ED466" s="3"/>
      <c r="EE466" s="3"/>
      <c r="EF466" s="3"/>
      <c r="EG466" s="3"/>
      <c r="EH466" s="3"/>
      <c r="EI466" s="3"/>
      <c r="EJ466" s="3"/>
      <c r="EK466" s="3"/>
      <c r="EL466" s="3"/>
      <c r="EM466" s="3"/>
      <c r="EN466" s="3"/>
      <c r="EO466" s="3"/>
      <c r="EP466" s="3"/>
      <c r="EQ466" s="130"/>
      <c r="ER466" s="130"/>
      <c r="ES466" s="130"/>
      <c r="ET466" s="130"/>
      <c r="EU466" s="130"/>
      <c r="EV466" s="130"/>
      <c r="EW466" s="130"/>
      <c r="EX466" s="130"/>
      <c r="EY466" s="3"/>
      <c r="EZ466" s="3"/>
      <c r="FA466" s="3"/>
      <c r="FB466" s="3"/>
      <c r="FC466" s="3"/>
      <c r="FD466" s="3"/>
      <c r="FE466" s="3"/>
      <c r="FF466" s="3"/>
      <c r="FG466" s="3"/>
      <c r="FH466" s="3"/>
      <c r="FI466" s="3"/>
      <c r="FJ466" s="3"/>
      <c r="FK466" s="3"/>
      <c r="FL466" s="3"/>
      <c r="FM466" s="3"/>
      <c r="FN466" s="3"/>
      <c r="FO466" s="130"/>
      <c r="FP466" s="130"/>
      <c r="FQ466" s="130"/>
      <c r="FR466" s="130"/>
      <c r="FS466" s="130"/>
      <c r="FT466" s="130"/>
      <c r="FU466" s="130"/>
      <c r="FV466" s="130"/>
      <c r="FW466" s="3"/>
      <c r="FX466" s="3"/>
      <c r="FY466" s="3"/>
      <c r="FZ466" s="3"/>
      <c r="GA466" s="3"/>
      <c r="GB466" s="3"/>
      <c r="GC466" s="3"/>
      <c r="GD466" s="3"/>
      <c r="GE466" s="3"/>
      <c r="GF466" s="3"/>
      <c r="GG466" s="3"/>
      <c r="GH466" s="3"/>
      <c r="GI466" s="3"/>
      <c r="GJ466" s="3"/>
      <c r="GK466" s="3"/>
      <c r="GL466" s="3"/>
      <c r="GM466" s="130"/>
      <c r="GN466" s="130"/>
      <c r="GO466" s="130"/>
      <c r="GP466" s="130"/>
      <c r="GQ466" s="130"/>
      <c r="GR466" s="130"/>
      <c r="GS466" s="130"/>
      <c r="GT466" s="130"/>
      <c r="GU466" s="3"/>
      <c r="GV466" s="3"/>
      <c r="GW466" s="3"/>
      <c r="GX466" s="3"/>
      <c r="GY466" s="3"/>
      <c r="GZ466" s="3"/>
      <c r="HA466" s="3"/>
      <c r="HB466" s="3"/>
      <c r="HC466" s="3"/>
      <c r="HD466" s="3"/>
      <c r="HE466" s="3"/>
      <c r="HF466" s="3"/>
      <c r="HG466" s="3"/>
      <c r="HH466" s="3"/>
      <c r="HI466" s="3"/>
      <c r="HJ466" s="3"/>
      <c r="HK466" s="130"/>
      <c r="HL466" s="130"/>
      <c r="HM466" s="130"/>
      <c r="HN466" s="130"/>
      <c r="HO466" s="130"/>
      <c r="HP466" s="130"/>
      <c r="HQ466" s="130"/>
      <c r="HR466" s="130"/>
      <c r="HS466" s="3"/>
      <c r="HT466" s="3"/>
      <c r="HU466" s="3"/>
      <c r="HV466" s="3"/>
      <c r="HW466" s="3"/>
      <c r="HX466" s="3"/>
      <c r="HY466" s="3"/>
      <c r="HZ466" s="3"/>
      <c r="IA466" s="3"/>
      <c r="IB466" s="3"/>
      <c r="IC466" s="3"/>
      <c r="ID466" s="3"/>
      <c r="IE466" s="3"/>
      <c r="IF466" s="3"/>
      <c r="IG466" s="3"/>
      <c r="IH466" s="3"/>
      <c r="II466" s="130"/>
      <c r="IJ466" s="130"/>
      <c r="IK466" s="130"/>
      <c r="IL466" s="130"/>
      <c r="IM466" s="130"/>
      <c r="IN466" s="130"/>
      <c r="IO466" s="130"/>
      <c r="IP466" s="130"/>
      <c r="IQ466" s="3"/>
      <c r="IR466" s="3"/>
      <c r="IS466" s="3"/>
      <c r="IT466" s="3"/>
      <c r="IU466" s="3"/>
      <c r="IV466" s="3"/>
    </row>
    <row r="467" spans="1:256" s="3" customFormat="1">
      <c r="A467" s="80">
        <v>114</v>
      </c>
      <c r="B467" s="29">
        <v>43097</v>
      </c>
      <c r="C467" s="18" t="s">
        <v>647</v>
      </c>
      <c r="D467" s="19" t="s">
        <v>479</v>
      </c>
      <c r="E467" s="20" t="s">
        <v>648</v>
      </c>
      <c r="F467" s="62" t="s">
        <v>649</v>
      </c>
      <c r="G467" s="63">
        <v>1708</v>
      </c>
      <c r="H467" s="121">
        <f>2630000+13450</f>
        <v>2643450</v>
      </c>
      <c r="I467" s="24"/>
      <c r="J467" s="24">
        <f>SUM(H467)/1.05</f>
        <v>2517571.4285714286</v>
      </c>
      <c r="K467" s="24">
        <f t="shared" si="37"/>
        <v>2517571.4285714286</v>
      </c>
      <c r="L467" s="123">
        <v>1</v>
      </c>
      <c r="M467" s="24">
        <f t="shared" si="38"/>
        <v>2517571.4285714286</v>
      </c>
      <c r="N467" s="129">
        <f t="shared" si="39"/>
        <v>0</v>
      </c>
      <c r="O467" s="107" t="s">
        <v>499</v>
      </c>
      <c r="Q467" s="140"/>
      <c r="AA467" s="130"/>
      <c r="AB467" s="130"/>
      <c r="AC467" s="130"/>
      <c r="AD467" s="130"/>
      <c r="AE467" s="130"/>
      <c r="AF467" s="167"/>
      <c r="AG467" s="167"/>
      <c r="AH467" s="167"/>
      <c r="AI467" s="125"/>
      <c r="AJ467" s="125"/>
      <c r="AK467" s="125"/>
      <c r="AL467" s="125"/>
      <c r="AM467" s="125"/>
      <c r="AN467" s="125"/>
      <c r="AO467" s="125"/>
      <c r="AP467" s="125"/>
      <c r="AQ467" s="125"/>
      <c r="AR467" s="125"/>
      <c r="AS467" s="125"/>
      <c r="AT467" s="125"/>
      <c r="AU467" s="125"/>
      <c r="AV467" s="125"/>
      <c r="AW467" s="125"/>
      <c r="AX467" s="125"/>
      <c r="AY467" s="167"/>
      <c r="AZ467" s="167"/>
      <c r="BA467" s="167"/>
      <c r="BB467" s="167"/>
      <c r="BC467" s="167"/>
      <c r="BD467" s="167"/>
      <c r="BE467" s="167"/>
      <c r="BF467" s="167"/>
      <c r="BG467" s="125"/>
      <c r="BH467" s="125"/>
      <c r="BI467" s="125"/>
      <c r="BJ467" s="125"/>
      <c r="BK467" s="125"/>
      <c r="BL467" s="125"/>
      <c r="BM467" s="125"/>
      <c r="BN467" s="125"/>
      <c r="BO467" s="125"/>
      <c r="BP467" s="125"/>
      <c r="BQ467" s="125"/>
      <c r="BR467" s="125"/>
      <c r="BS467" s="125"/>
      <c r="BT467" s="125"/>
      <c r="BU467" s="125"/>
      <c r="BV467" s="125"/>
      <c r="BW467" s="167"/>
      <c r="BX467" s="167"/>
      <c r="BY467" s="167"/>
      <c r="BZ467" s="167"/>
      <c r="CA467" s="167"/>
      <c r="CB467" s="167"/>
      <c r="CC467" s="167"/>
      <c r="CD467" s="167"/>
      <c r="CE467" s="125"/>
      <c r="CF467" s="125"/>
      <c r="CG467" s="125"/>
      <c r="CH467" s="125"/>
      <c r="CI467" s="125"/>
      <c r="CJ467" s="125"/>
      <c r="CK467" s="125"/>
      <c r="CL467" s="125"/>
      <c r="CM467" s="125"/>
      <c r="CN467" s="125"/>
      <c r="CO467" s="125"/>
      <c r="CP467" s="125"/>
      <c r="CQ467" s="125"/>
      <c r="CR467" s="125"/>
      <c r="CS467" s="125"/>
      <c r="CT467" s="125"/>
      <c r="CU467" s="167"/>
      <c r="CV467" s="167"/>
      <c r="CW467" s="167"/>
      <c r="CX467" s="167"/>
      <c r="CY467" s="167"/>
      <c r="CZ467" s="167"/>
      <c r="DA467" s="167"/>
      <c r="DB467" s="167"/>
      <c r="DC467" s="125"/>
      <c r="DD467" s="125"/>
      <c r="DE467" s="125"/>
      <c r="DF467" s="125"/>
      <c r="DG467" s="125"/>
      <c r="DH467" s="125"/>
      <c r="DI467" s="125"/>
      <c r="DJ467" s="125"/>
      <c r="DK467" s="125"/>
      <c r="DL467" s="125"/>
      <c r="DM467" s="125"/>
      <c r="DN467" s="125"/>
      <c r="DO467" s="125"/>
      <c r="DP467" s="125"/>
      <c r="DQ467" s="125"/>
      <c r="DR467" s="125"/>
      <c r="DS467" s="167"/>
      <c r="DT467" s="167"/>
      <c r="DU467" s="167"/>
      <c r="DV467" s="167"/>
      <c r="DW467" s="167"/>
      <c r="DX467" s="167"/>
      <c r="DY467" s="167"/>
      <c r="DZ467" s="167"/>
      <c r="EA467" s="125"/>
      <c r="EB467" s="125"/>
      <c r="EC467" s="125"/>
      <c r="ED467" s="125"/>
      <c r="EE467" s="125"/>
      <c r="EF467" s="125"/>
      <c r="EG467" s="125"/>
      <c r="EH467" s="125"/>
      <c r="EI467" s="125"/>
      <c r="EJ467" s="125"/>
      <c r="EK467" s="125"/>
      <c r="EL467" s="125"/>
      <c r="EM467" s="125"/>
      <c r="EN467" s="125"/>
      <c r="EO467" s="125"/>
      <c r="EP467" s="125"/>
      <c r="EQ467" s="167"/>
      <c r="ER467" s="167"/>
      <c r="ES467" s="167"/>
      <c r="ET467" s="167"/>
      <c r="EU467" s="167"/>
      <c r="EV467" s="167"/>
      <c r="EW467" s="167"/>
      <c r="EX467" s="167"/>
      <c r="EY467" s="125"/>
      <c r="EZ467" s="125"/>
      <c r="FA467" s="125"/>
      <c r="FB467" s="125"/>
      <c r="FC467" s="125"/>
      <c r="FD467" s="125"/>
      <c r="FE467" s="125"/>
      <c r="FF467" s="125"/>
      <c r="FG467" s="125"/>
      <c r="FH467" s="125"/>
      <c r="FI467" s="125"/>
      <c r="FJ467" s="125"/>
      <c r="FK467" s="125"/>
      <c r="FL467" s="125"/>
      <c r="FM467" s="125"/>
      <c r="FN467" s="125"/>
      <c r="FO467" s="167"/>
      <c r="FP467" s="167"/>
      <c r="FQ467" s="167"/>
      <c r="FR467" s="167"/>
      <c r="FS467" s="167"/>
      <c r="FT467" s="167"/>
      <c r="FU467" s="167"/>
      <c r="FV467" s="167"/>
      <c r="FW467" s="125"/>
      <c r="FX467" s="125"/>
      <c r="FY467" s="125"/>
      <c r="FZ467" s="125"/>
      <c r="GA467" s="125"/>
      <c r="GB467" s="125"/>
      <c r="GC467" s="125"/>
      <c r="GD467" s="125"/>
      <c r="GE467" s="125"/>
      <c r="GF467" s="125"/>
      <c r="GG467" s="125"/>
      <c r="GH467" s="125"/>
      <c r="GI467" s="125"/>
      <c r="GJ467" s="125"/>
      <c r="GK467" s="125"/>
      <c r="GL467" s="125"/>
      <c r="GM467" s="167"/>
      <c r="GN467" s="167"/>
      <c r="GO467" s="167"/>
      <c r="GP467" s="167"/>
      <c r="GQ467" s="167"/>
      <c r="GR467" s="167"/>
      <c r="GS467" s="167"/>
      <c r="GT467" s="167"/>
      <c r="GU467" s="125"/>
      <c r="GV467" s="125"/>
      <c r="GW467" s="125"/>
      <c r="GX467" s="125"/>
      <c r="GY467" s="125"/>
      <c r="GZ467" s="125"/>
      <c r="HA467" s="125"/>
      <c r="HB467" s="125"/>
      <c r="HC467" s="125"/>
      <c r="HD467" s="125"/>
      <c r="HE467" s="125"/>
      <c r="HF467" s="125"/>
      <c r="HG467" s="125"/>
      <c r="HH467" s="125"/>
      <c r="HI467" s="125"/>
      <c r="HJ467" s="125"/>
      <c r="HK467" s="167"/>
      <c r="HL467" s="167"/>
      <c r="HM467" s="167"/>
      <c r="HN467" s="167"/>
      <c r="HO467" s="167"/>
      <c r="HP467" s="167"/>
      <c r="HQ467" s="167"/>
      <c r="HR467" s="167"/>
      <c r="HS467" s="125"/>
      <c r="HT467" s="125"/>
      <c r="HU467" s="125"/>
      <c r="HV467" s="125"/>
      <c r="HW467" s="125"/>
      <c r="HX467" s="125"/>
      <c r="HY467" s="125"/>
      <c r="HZ467" s="125"/>
      <c r="IA467" s="125"/>
      <c r="IB467" s="125"/>
      <c r="IC467" s="125"/>
      <c r="ID467" s="125"/>
      <c r="IE467" s="125"/>
      <c r="IF467" s="125"/>
      <c r="IG467" s="125"/>
      <c r="IH467" s="125"/>
      <c r="II467" s="167"/>
      <c r="IJ467" s="167"/>
      <c r="IK467" s="167"/>
      <c r="IL467" s="167"/>
      <c r="IM467" s="167"/>
      <c r="IN467" s="167"/>
      <c r="IO467" s="167"/>
      <c r="IP467" s="167"/>
      <c r="IQ467" s="125"/>
      <c r="IR467" s="125"/>
      <c r="IS467" s="125"/>
      <c r="IT467" s="125"/>
      <c r="IU467" s="125"/>
      <c r="IV467" s="125"/>
    </row>
    <row r="468" spans="1:256" s="125" customFormat="1">
      <c r="A468" s="80">
        <v>115</v>
      </c>
      <c r="B468" s="29">
        <v>43068</v>
      </c>
      <c r="C468" s="18"/>
      <c r="D468" s="19" t="s">
        <v>479</v>
      </c>
      <c r="E468" s="20" t="s">
        <v>480</v>
      </c>
      <c r="F468" s="82" t="s">
        <v>650</v>
      </c>
      <c r="G468" s="58">
        <v>1708</v>
      </c>
      <c r="H468" s="121">
        <v>2669500</v>
      </c>
      <c r="I468" s="24">
        <v>2542381</v>
      </c>
      <c r="J468" s="24"/>
      <c r="K468" s="24">
        <f t="shared" si="37"/>
        <v>2542381</v>
      </c>
      <c r="L468" s="123">
        <v>1</v>
      </c>
      <c r="M468" s="24">
        <f t="shared" si="38"/>
        <v>2542381</v>
      </c>
      <c r="N468" s="129">
        <f t="shared" si="39"/>
        <v>0</v>
      </c>
      <c r="O468" s="107" t="s">
        <v>499</v>
      </c>
      <c r="P468" s="3"/>
      <c r="Q468" s="3"/>
      <c r="R468" s="3"/>
      <c r="S468" s="3"/>
      <c r="T468" s="3"/>
      <c r="U468" s="3"/>
      <c r="V468" s="3"/>
      <c r="W468" s="3"/>
      <c r="X468" s="3"/>
      <c r="Y468" s="131"/>
      <c r="Z468" s="15"/>
      <c r="AA468" s="132"/>
      <c r="AB468" s="133"/>
      <c r="AC468" s="134"/>
      <c r="AD468" s="134"/>
      <c r="AE468" s="135"/>
      <c r="AF468" s="136"/>
      <c r="AG468" s="137"/>
      <c r="AH468" s="137"/>
      <c r="AI468" s="3"/>
      <c r="AJ468" s="138"/>
      <c r="AK468" s="2"/>
      <c r="AL468" s="139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131"/>
      <c r="AX468" s="15"/>
      <c r="AY468" s="132"/>
      <c r="AZ468" s="133"/>
      <c r="BA468" s="134"/>
      <c r="BB468" s="134"/>
      <c r="BC468" s="135"/>
      <c r="BD468" s="136"/>
      <c r="BE468" s="137"/>
      <c r="BF468" s="137"/>
      <c r="BG468" s="3"/>
      <c r="BH468" s="138"/>
      <c r="BI468" s="2"/>
      <c r="BJ468" s="139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131"/>
      <c r="BV468" s="15"/>
      <c r="BW468" s="132"/>
      <c r="BX468" s="133"/>
      <c r="BY468" s="134"/>
      <c r="BZ468" s="134"/>
      <c r="CA468" s="135"/>
      <c r="CB468" s="136"/>
      <c r="CC468" s="137"/>
      <c r="CD468" s="137"/>
      <c r="CE468" s="3"/>
      <c r="CF468" s="138"/>
      <c r="CG468" s="2"/>
      <c r="CH468" s="139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131"/>
      <c r="CT468" s="15"/>
      <c r="CU468" s="132"/>
      <c r="CV468" s="133"/>
      <c r="CW468" s="134"/>
      <c r="CX468" s="134"/>
      <c r="CY468" s="135"/>
      <c r="CZ468" s="136"/>
      <c r="DA468" s="137"/>
      <c r="DB468" s="137"/>
      <c r="DC468" s="3"/>
      <c r="DD468" s="138"/>
      <c r="DE468" s="2"/>
      <c r="DF468" s="139"/>
      <c r="DG468" s="3"/>
      <c r="DH468" s="3"/>
      <c r="DI468" s="3"/>
      <c r="DJ468" s="3"/>
      <c r="DK468" s="3"/>
      <c r="DL468" s="3"/>
      <c r="DM468" s="3"/>
      <c r="DN468" s="3"/>
      <c r="DO468" s="3"/>
      <c r="DP468" s="3"/>
      <c r="DQ468" s="131"/>
      <c r="DR468" s="15"/>
      <c r="DS468" s="132"/>
      <c r="DT468" s="133"/>
      <c r="DU468" s="134"/>
      <c r="DV468" s="134"/>
      <c r="DW468" s="135"/>
      <c r="DX468" s="136"/>
      <c r="DY468" s="137"/>
      <c r="DZ468" s="137"/>
      <c r="EA468" s="3"/>
      <c r="EB468" s="138"/>
      <c r="EC468" s="2"/>
      <c r="ED468" s="139"/>
      <c r="EE468" s="3"/>
      <c r="EF468" s="3"/>
      <c r="EG468" s="3"/>
      <c r="EH468" s="3"/>
      <c r="EI468" s="3"/>
      <c r="EJ468" s="3"/>
      <c r="EK468" s="3"/>
      <c r="EL468" s="3"/>
      <c r="EM468" s="3"/>
      <c r="EN468" s="3"/>
      <c r="EO468" s="131"/>
      <c r="EP468" s="15"/>
      <c r="EQ468" s="132"/>
      <c r="ER468" s="133"/>
      <c r="ES468" s="134"/>
      <c r="ET468" s="134"/>
      <c r="EU468" s="135"/>
      <c r="EV468" s="136"/>
      <c r="EW468" s="137"/>
      <c r="EX468" s="137"/>
      <c r="EY468" s="3"/>
      <c r="EZ468" s="138"/>
      <c r="FA468" s="2"/>
      <c r="FB468" s="139"/>
      <c r="FC468" s="3"/>
      <c r="FD468" s="3"/>
      <c r="FE468" s="3"/>
      <c r="FF468" s="3"/>
      <c r="FG468" s="3"/>
      <c r="FH468" s="3"/>
      <c r="FI468" s="3"/>
      <c r="FJ468" s="3"/>
      <c r="FK468" s="3"/>
      <c r="FL468" s="3"/>
      <c r="FM468" s="131"/>
      <c r="FN468" s="15"/>
      <c r="FO468" s="132"/>
      <c r="FP468" s="133"/>
      <c r="FQ468" s="134"/>
      <c r="FR468" s="134"/>
      <c r="FS468" s="135"/>
      <c r="FT468" s="136"/>
      <c r="FU468" s="137"/>
      <c r="FV468" s="137"/>
      <c r="FW468" s="3"/>
      <c r="FX468" s="138"/>
      <c r="FY468" s="2"/>
      <c r="FZ468" s="139"/>
      <c r="GA468" s="3"/>
      <c r="GB468" s="3"/>
      <c r="GC468" s="3"/>
      <c r="GD468" s="3"/>
      <c r="GE468" s="3"/>
      <c r="GF468" s="3"/>
      <c r="GG468" s="3"/>
      <c r="GH468" s="3"/>
      <c r="GI468" s="3"/>
      <c r="GJ468" s="3"/>
      <c r="GK468" s="131"/>
      <c r="GL468" s="15"/>
      <c r="GM468" s="132"/>
      <c r="GN468" s="133"/>
      <c r="GO468" s="134"/>
      <c r="GP468" s="134"/>
      <c r="GQ468" s="135"/>
      <c r="GR468" s="136"/>
      <c r="GS468" s="137"/>
      <c r="GT468" s="137"/>
      <c r="GU468" s="3"/>
      <c r="GV468" s="138"/>
      <c r="GW468" s="2"/>
      <c r="GX468" s="139"/>
      <c r="GY468" s="3"/>
      <c r="GZ468" s="3"/>
      <c r="HA468" s="3"/>
      <c r="HB468" s="3"/>
      <c r="HC468" s="3"/>
      <c r="HD468" s="3"/>
      <c r="HE468" s="3"/>
      <c r="HF468" s="3"/>
      <c r="HG468" s="3"/>
      <c r="HH468" s="3"/>
      <c r="HI468" s="131"/>
      <c r="HJ468" s="15"/>
      <c r="HK468" s="132"/>
      <c r="HL468" s="133"/>
      <c r="HM468" s="134"/>
      <c r="HN468" s="134"/>
      <c r="HO468" s="135"/>
      <c r="HP468" s="136"/>
      <c r="HQ468" s="137"/>
      <c r="HR468" s="137"/>
      <c r="HS468" s="3"/>
      <c r="HT468" s="138"/>
      <c r="HU468" s="2"/>
      <c r="HV468" s="139"/>
      <c r="HW468" s="3"/>
      <c r="HX468" s="3"/>
      <c r="HY468" s="3"/>
      <c r="HZ468" s="3"/>
      <c r="IA468" s="3"/>
      <c r="IB468" s="3"/>
      <c r="IC468" s="3"/>
      <c r="ID468" s="3"/>
      <c r="IE468" s="3"/>
      <c r="IF468" s="3"/>
      <c r="IG468" s="131"/>
      <c r="IH468" s="15"/>
      <c r="II468" s="132"/>
      <c r="IJ468" s="133"/>
      <c r="IK468" s="134"/>
      <c r="IL468" s="134"/>
      <c r="IM468" s="135"/>
      <c r="IN468" s="136"/>
      <c r="IO468" s="137"/>
      <c r="IP468" s="137"/>
      <c r="IQ468" s="3"/>
      <c r="IR468" s="138"/>
      <c r="IS468" s="2"/>
      <c r="IT468" s="139"/>
      <c r="IU468" s="3"/>
      <c r="IV468" s="3"/>
    </row>
    <row r="469" spans="1:256" s="125" customFormat="1">
      <c r="A469" s="80">
        <v>116</v>
      </c>
      <c r="B469" s="17">
        <v>43087</v>
      </c>
      <c r="C469" s="18"/>
      <c r="D469" s="19" t="s">
        <v>479</v>
      </c>
      <c r="E469" s="20" t="s">
        <v>480</v>
      </c>
      <c r="F469" s="62" t="s">
        <v>651</v>
      </c>
      <c r="G469" s="63">
        <v>1708</v>
      </c>
      <c r="H469" s="121">
        <v>2630000</v>
      </c>
      <c r="I469" s="24"/>
      <c r="J469" s="24">
        <f>SUM(H469)/1.05</f>
        <v>2504761.9047619049</v>
      </c>
      <c r="K469" s="24">
        <f t="shared" si="37"/>
        <v>2504761.9047619049</v>
      </c>
      <c r="L469" s="26">
        <v>1</v>
      </c>
      <c r="M469" s="24">
        <f t="shared" si="38"/>
        <v>2504761.9047619049</v>
      </c>
      <c r="N469" s="129">
        <f t="shared" si="39"/>
        <v>0</v>
      </c>
      <c r="O469" s="107" t="s">
        <v>499</v>
      </c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130"/>
      <c r="AB469" s="130"/>
      <c r="AC469" s="130"/>
      <c r="AD469" s="130"/>
      <c r="AE469" s="130"/>
      <c r="AF469" s="130"/>
      <c r="AG469" s="130"/>
      <c r="AH469" s="130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130"/>
      <c r="AZ469" s="130"/>
      <c r="BA469" s="130"/>
      <c r="BB469" s="130"/>
      <c r="BC469" s="130"/>
      <c r="BD469" s="130"/>
      <c r="BE469" s="130"/>
      <c r="BF469" s="130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130"/>
      <c r="BX469" s="130"/>
      <c r="BY469" s="130"/>
      <c r="BZ469" s="130"/>
      <c r="CA469" s="130"/>
      <c r="CB469" s="130"/>
      <c r="CC469" s="130"/>
      <c r="CD469" s="130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130"/>
      <c r="CV469" s="130"/>
      <c r="CW469" s="130"/>
      <c r="CX469" s="130"/>
      <c r="CY469" s="130"/>
      <c r="CZ469" s="130"/>
      <c r="DA469" s="130"/>
      <c r="DB469" s="130"/>
      <c r="DC469" s="3"/>
      <c r="DD469" s="3"/>
      <c r="DE469" s="3"/>
      <c r="DF469" s="3"/>
      <c r="DG469" s="3"/>
      <c r="DH469" s="3"/>
      <c r="DI469" s="3"/>
      <c r="DJ469" s="3"/>
      <c r="DK469" s="3"/>
      <c r="DL469" s="3"/>
      <c r="DM469" s="3"/>
      <c r="DN469" s="3"/>
      <c r="DO469" s="3"/>
      <c r="DP469" s="3"/>
      <c r="DQ469" s="3"/>
      <c r="DR469" s="3"/>
      <c r="DS469" s="130"/>
      <c r="DT469" s="130"/>
      <c r="DU469" s="130"/>
      <c r="DV469" s="130"/>
      <c r="DW469" s="130"/>
      <c r="DX469" s="130"/>
      <c r="DY469" s="130"/>
      <c r="DZ469" s="130"/>
      <c r="EA469" s="3"/>
      <c r="EB469" s="3"/>
      <c r="EC469" s="3"/>
      <c r="ED469" s="3"/>
      <c r="EE469" s="3"/>
      <c r="EF469" s="3"/>
      <c r="EG469" s="3"/>
      <c r="EH469" s="3"/>
      <c r="EI469" s="3"/>
      <c r="EJ469" s="3"/>
      <c r="EK469" s="3"/>
      <c r="EL469" s="3"/>
      <c r="EM469" s="3"/>
      <c r="EN469" s="3"/>
      <c r="EO469" s="3"/>
      <c r="EP469" s="3"/>
      <c r="EQ469" s="130"/>
      <c r="ER469" s="130"/>
      <c r="ES469" s="130"/>
      <c r="ET469" s="130"/>
      <c r="EU469" s="130"/>
      <c r="EV469" s="130"/>
      <c r="EW469" s="130"/>
      <c r="EX469" s="130"/>
      <c r="EY469" s="3"/>
      <c r="EZ469" s="3"/>
      <c r="FA469" s="3"/>
      <c r="FB469" s="3"/>
      <c r="FC469" s="3"/>
      <c r="FD469" s="3"/>
      <c r="FE469" s="3"/>
      <c r="FF469" s="3"/>
      <c r="FG469" s="3"/>
      <c r="FH469" s="3"/>
      <c r="FI469" s="3"/>
      <c r="FJ469" s="3"/>
      <c r="FK469" s="3"/>
      <c r="FL469" s="3"/>
      <c r="FM469" s="3"/>
      <c r="FN469" s="3"/>
      <c r="FO469" s="130"/>
      <c r="FP469" s="130"/>
      <c r="FQ469" s="130"/>
      <c r="FR469" s="130"/>
      <c r="FS469" s="130"/>
      <c r="FT469" s="130"/>
      <c r="FU469" s="130"/>
      <c r="FV469" s="130"/>
      <c r="FW469" s="3"/>
      <c r="FX469" s="3"/>
      <c r="FY469" s="3"/>
      <c r="FZ469" s="3"/>
      <c r="GA469" s="3"/>
      <c r="GB469" s="3"/>
      <c r="GC469" s="3"/>
      <c r="GD469" s="3"/>
      <c r="GE469" s="3"/>
      <c r="GF469" s="3"/>
      <c r="GG469" s="3"/>
      <c r="GH469" s="3"/>
      <c r="GI469" s="3"/>
      <c r="GJ469" s="3"/>
      <c r="GK469" s="3"/>
      <c r="GL469" s="3"/>
      <c r="GM469" s="130"/>
      <c r="GN469" s="130"/>
      <c r="GO469" s="130"/>
      <c r="GP469" s="130"/>
      <c r="GQ469" s="130"/>
      <c r="GR469" s="130"/>
      <c r="GS469" s="130"/>
      <c r="GT469" s="130"/>
      <c r="GU469" s="3"/>
      <c r="GV469" s="3"/>
      <c r="GW469" s="3"/>
      <c r="GX469" s="3"/>
      <c r="GY469" s="3"/>
      <c r="GZ469" s="3"/>
      <c r="HA469" s="3"/>
      <c r="HB469" s="3"/>
      <c r="HC469" s="3"/>
      <c r="HD469" s="3"/>
      <c r="HE469" s="3"/>
      <c r="HF469" s="3"/>
      <c r="HG469" s="3"/>
      <c r="HH469" s="3"/>
      <c r="HI469" s="3"/>
      <c r="HJ469" s="3"/>
      <c r="HK469" s="130"/>
      <c r="HL469" s="130"/>
      <c r="HM469" s="130"/>
      <c r="HN469" s="130"/>
      <c r="HO469" s="130"/>
      <c r="HP469" s="130"/>
      <c r="HQ469" s="130"/>
      <c r="HR469" s="130"/>
      <c r="HS469" s="3"/>
      <c r="HT469" s="3"/>
      <c r="HU469" s="3"/>
      <c r="HV469" s="3"/>
      <c r="HW469" s="3"/>
      <c r="HX469" s="3"/>
      <c r="HY469" s="3"/>
      <c r="HZ469" s="3"/>
      <c r="IA469" s="3"/>
      <c r="IB469" s="3"/>
      <c r="IC469" s="3"/>
      <c r="ID469" s="3"/>
      <c r="IE469" s="3"/>
      <c r="IF469" s="3"/>
      <c r="IG469" s="3"/>
      <c r="IH469" s="3"/>
      <c r="II469" s="130"/>
      <c r="IJ469" s="130"/>
      <c r="IK469" s="130"/>
      <c r="IL469" s="130"/>
      <c r="IM469" s="130"/>
      <c r="IN469" s="130"/>
      <c r="IO469" s="130"/>
      <c r="IP469" s="130"/>
      <c r="IQ469" s="3"/>
      <c r="IR469" s="3"/>
      <c r="IS469" s="3"/>
      <c r="IT469" s="3"/>
      <c r="IU469" s="3"/>
      <c r="IV469" s="3"/>
    </row>
    <row r="470" spans="1:256" s="125" customFormat="1">
      <c r="A470" s="80">
        <v>117</v>
      </c>
      <c r="B470" s="17">
        <v>43089</v>
      </c>
      <c r="C470" s="18"/>
      <c r="D470" s="19" t="s">
        <v>479</v>
      </c>
      <c r="E470" s="20" t="s">
        <v>480</v>
      </c>
      <c r="F470" s="62" t="s">
        <v>652</v>
      </c>
      <c r="G470" s="63">
        <v>1708</v>
      </c>
      <c r="H470" s="121">
        <v>2630000</v>
      </c>
      <c r="I470" s="24"/>
      <c r="J470" s="24">
        <f>SUM(H470)/1.05</f>
        <v>2504761.9047619049</v>
      </c>
      <c r="K470" s="24">
        <f t="shared" si="37"/>
        <v>2504761.9047619049</v>
      </c>
      <c r="L470" s="123">
        <v>1</v>
      </c>
      <c r="M470" s="24">
        <f t="shared" si="38"/>
        <v>2504761.9047619049</v>
      </c>
      <c r="N470" s="129">
        <f t="shared" si="39"/>
        <v>0</v>
      </c>
      <c r="O470" s="107" t="s">
        <v>499</v>
      </c>
      <c r="P470" s="3"/>
      <c r="Q470" s="140"/>
      <c r="R470" s="3"/>
      <c r="S470" s="3"/>
      <c r="T470" s="3"/>
      <c r="U470" s="3"/>
      <c r="V470" s="3"/>
      <c r="W470" s="3"/>
      <c r="X470" s="3"/>
      <c r="Y470" s="131"/>
      <c r="Z470" s="15"/>
      <c r="AA470" s="99"/>
      <c r="AB470" s="149"/>
      <c r="AC470" s="134"/>
      <c r="AD470" s="134"/>
      <c r="AE470" s="137"/>
      <c r="AF470" s="150"/>
      <c r="AG470" s="137"/>
      <c r="AH470" s="137"/>
      <c r="AI470" s="3"/>
      <c r="AJ470" s="138"/>
      <c r="AK470" s="2"/>
      <c r="AL470" s="139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131"/>
      <c r="AX470" s="15"/>
      <c r="AY470" s="99"/>
      <c r="AZ470" s="149"/>
      <c r="BA470" s="134"/>
      <c r="BB470" s="134"/>
      <c r="BC470" s="137"/>
      <c r="BD470" s="150"/>
      <c r="BE470" s="137"/>
      <c r="BF470" s="137"/>
      <c r="BG470" s="3"/>
      <c r="BH470" s="138"/>
      <c r="BI470" s="2"/>
      <c r="BJ470" s="139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131"/>
      <c r="BV470" s="15"/>
      <c r="BW470" s="99"/>
      <c r="BX470" s="149"/>
      <c r="BY470" s="134"/>
      <c r="BZ470" s="134"/>
      <c r="CA470" s="137"/>
      <c r="CB470" s="150"/>
      <c r="CC470" s="137"/>
      <c r="CD470" s="137"/>
      <c r="CE470" s="3"/>
      <c r="CF470" s="138"/>
      <c r="CG470" s="2"/>
      <c r="CH470" s="139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131"/>
      <c r="CT470" s="15"/>
      <c r="CU470" s="99"/>
      <c r="CV470" s="149"/>
      <c r="CW470" s="134"/>
      <c r="CX470" s="134"/>
      <c r="CY470" s="137"/>
      <c r="CZ470" s="150"/>
      <c r="DA470" s="137"/>
      <c r="DB470" s="137"/>
      <c r="DC470" s="3"/>
      <c r="DD470" s="138"/>
      <c r="DE470" s="2"/>
      <c r="DF470" s="139"/>
      <c r="DG470" s="3"/>
      <c r="DH470" s="3"/>
      <c r="DI470" s="3"/>
      <c r="DJ470" s="3"/>
      <c r="DK470" s="3"/>
      <c r="DL470" s="3"/>
      <c r="DM470" s="3"/>
      <c r="DN470" s="3"/>
      <c r="DO470" s="3"/>
      <c r="DP470" s="3"/>
      <c r="DQ470" s="131"/>
      <c r="DR470" s="15"/>
      <c r="DS470" s="99"/>
      <c r="DT470" s="149"/>
      <c r="DU470" s="134"/>
      <c r="DV470" s="134"/>
      <c r="DW470" s="137"/>
      <c r="DX470" s="150"/>
      <c r="DY470" s="137"/>
      <c r="DZ470" s="137"/>
      <c r="EA470" s="3"/>
      <c r="EB470" s="138"/>
      <c r="EC470" s="2"/>
      <c r="ED470" s="139"/>
      <c r="EE470" s="3"/>
      <c r="EF470" s="3"/>
      <c r="EG470" s="3"/>
      <c r="EH470" s="3"/>
      <c r="EI470" s="3"/>
      <c r="EJ470" s="3"/>
      <c r="EK470" s="3"/>
      <c r="EL470" s="3"/>
      <c r="EM470" s="3"/>
      <c r="EN470" s="3"/>
      <c r="EO470" s="131"/>
      <c r="EP470" s="15"/>
      <c r="EQ470" s="99"/>
      <c r="ER470" s="149"/>
      <c r="ES470" s="134"/>
      <c r="ET470" s="134"/>
      <c r="EU470" s="137"/>
      <c r="EV470" s="150"/>
      <c r="EW470" s="137"/>
      <c r="EX470" s="137"/>
      <c r="EY470" s="3"/>
      <c r="EZ470" s="138"/>
      <c r="FA470" s="2"/>
      <c r="FB470" s="139"/>
      <c r="FC470" s="3"/>
      <c r="FD470" s="3"/>
      <c r="FE470" s="3"/>
      <c r="FF470" s="3"/>
      <c r="FG470" s="3"/>
      <c r="FH470" s="3"/>
      <c r="FI470" s="3"/>
      <c r="FJ470" s="3"/>
      <c r="FK470" s="3"/>
      <c r="FL470" s="3"/>
      <c r="FM470" s="131"/>
      <c r="FN470" s="15"/>
      <c r="FO470" s="99"/>
      <c r="FP470" s="149"/>
      <c r="FQ470" s="134"/>
      <c r="FR470" s="134"/>
      <c r="FS470" s="137"/>
      <c r="FT470" s="150"/>
      <c r="FU470" s="137"/>
      <c r="FV470" s="137"/>
      <c r="FW470" s="3"/>
      <c r="FX470" s="138"/>
      <c r="FY470" s="2"/>
      <c r="FZ470" s="139"/>
      <c r="GA470" s="3"/>
      <c r="GB470" s="3"/>
      <c r="GC470" s="3"/>
      <c r="GD470" s="3"/>
      <c r="GE470" s="3"/>
      <c r="GF470" s="3"/>
      <c r="GG470" s="3"/>
      <c r="GH470" s="3"/>
      <c r="GI470" s="3"/>
      <c r="GJ470" s="3"/>
      <c r="GK470" s="131"/>
      <c r="GL470" s="15"/>
      <c r="GM470" s="99"/>
      <c r="GN470" s="149"/>
      <c r="GO470" s="134"/>
      <c r="GP470" s="134"/>
      <c r="GQ470" s="137"/>
      <c r="GR470" s="150"/>
      <c r="GS470" s="137"/>
      <c r="GT470" s="137"/>
      <c r="GU470" s="3"/>
      <c r="GV470" s="138"/>
      <c r="GW470" s="2"/>
      <c r="GX470" s="139"/>
      <c r="GY470" s="3"/>
      <c r="GZ470" s="3"/>
      <c r="HA470" s="3"/>
      <c r="HB470" s="3"/>
      <c r="HC470" s="3"/>
      <c r="HD470" s="3"/>
      <c r="HE470" s="3"/>
      <c r="HF470" s="3"/>
      <c r="HG470" s="3"/>
      <c r="HH470" s="3"/>
      <c r="HI470" s="131"/>
      <c r="HJ470" s="15"/>
      <c r="HK470" s="99"/>
      <c r="HL470" s="149"/>
      <c r="HM470" s="134"/>
      <c r="HN470" s="134"/>
      <c r="HO470" s="137"/>
      <c r="HP470" s="150"/>
      <c r="HQ470" s="137"/>
      <c r="HR470" s="137"/>
      <c r="HS470" s="3"/>
      <c r="HT470" s="138"/>
      <c r="HU470" s="2"/>
      <c r="HV470" s="139"/>
      <c r="HW470" s="3"/>
      <c r="HX470" s="3"/>
      <c r="HY470" s="3"/>
      <c r="HZ470" s="3"/>
      <c r="IA470" s="3"/>
      <c r="IB470" s="3"/>
      <c r="IC470" s="3"/>
      <c r="ID470" s="3"/>
      <c r="IE470" s="3"/>
      <c r="IF470" s="3"/>
      <c r="IG470" s="131"/>
      <c r="IH470" s="15"/>
      <c r="II470" s="99"/>
      <c r="IJ470" s="149"/>
      <c r="IK470" s="134"/>
      <c r="IL470" s="134"/>
      <c r="IM470" s="137"/>
      <c r="IN470" s="150"/>
      <c r="IO470" s="137"/>
      <c r="IP470" s="137"/>
      <c r="IQ470" s="3"/>
      <c r="IR470" s="138"/>
      <c r="IS470" s="2"/>
      <c r="IT470" s="139"/>
      <c r="IU470" s="3"/>
      <c r="IV470" s="3"/>
    </row>
    <row r="471" spans="1:256" s="125" customFormat="1">
      <c r="A471" s="80">
        <v>118</v>
      </c>
      <c r="B471" s="17">
        <v>43084</v>
      </c>
      <c r="C471" s="18"/>
      <c r="D471" s="19" t="s">
        <v>479</v>
      </c>
      <c r="E471" s="20" t="s">
        <v>480</v>
      </c>
      <c r="F471" s="168" t="s">
        <v>653</v>
      </c>
      <c r="G471" s="63">
        <v>1709</v>
      </c>
      <c r="H471" s="121">
        <v>2630000</v>
      </c>
      <c r="I471" s="24"/>
      <c r="J471" s="24">
        <f>SUM(H471)/1.05</f>
        <v>2504761.9047619049</v>
      </c>
      <c r="K471" s="24">
        <f t="shared" si="37"/>
        <v>2504761.9047619049</v>
      </c>
      <c r="L471" s="123">
        <v>1</v>
      </c>
      <c r="M471" s="24">
        <f t="shared" si="38"/>
        <v>2504761.9047619049</v>
      </c>
      <c r="N471" s="129">
        <f t="shared" si="39"/>
        <v>0</v>
      </c>
      <c r="O471" s="107" t="s">
        <v>499</v>
      </c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130"/>
      <c r="AB471" s="130"/>
      <c r="AC471" s="130"/>
      <c r="AD471" s="130"/>
      <c r="AE471" s="130"/>
      <c r="AF471" s="130"/>
      <c r="AG471" s="130"/>
      <c r="AH471" s="130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130"/>
      <c r="AZ471" s="130"/>
      <c r="BA471" s="130"/>
      <c r="BB471" s="130"/>
      <c r="BC471" s="130"/>
      <c r="BD471" s="130"/>
      <c r="BE471" s="130"/>
      <c r="BF471" s="130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130"/>
      <c r="BX471" s="130"/>
      <c r="BY471" s="130"/>
      <c r="BZ471" s="130"/>
      <c r="CA471" s="130"/>
      <c r="CB471" s="130"/>
      <c r="CC471" s="130"/>
      <c r="CD471" s="130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130"/>
      <c r="CV471" s="130"/>
      <c r="CW471" s="130"/>
      <c r="CX471" s="130"/>
      <c r="CY471" s="130"/>
      <c r="CZ471" s="130"/>
      <c r="DA471" s="130"/>
      <c r="DB471" s="130"/>
      <c r="DC471" s="3"/>
      <c r="DD471" s="3"/>
      <c r="DE471" s="3"/>
      <c r="DF471" s="3"/>
      <c r="DG471" s="3"/>
      <c r="DH471" s="3"/>
      <c r="DI471" s="3"/>
      <c r="DJ471" s="3"/>
      <c r="DK471" s="3"/>
      <c r="DL471" s="3"/>
      <c r="DM471" s="3"/>
      <c r="DN471" s="3"/>
      <c r="DO471" s="3"/>
      <c r="DP471" s="3"/>
      <c r="DQ471" s="3"/>
      <c r="DR471" s="3"/>
      <c r="DS471" s="130"/>
      <c r="DT471" s="130"/>
      <c r="DU471" s="130"/>
      <c r="DV471" s="130"/>
      <c r="DW471" s="130"/>
      <c r="DX471" s="130"/>
      <c r="DY471" s="130"/>
      <c r="DZ471" s="130"/>
      <c r="EA471" s="3"/>
      <c r="EB471" s="3"/>
      <c r="EC471" s="3"/>
      <c r="ED471" s="3"/>
      <c r="EE471" s="3"/>
      <c r="EF471" s="3"/>
      <c r="EG471" s="3"/>
      <c r="EH471" s="3"/>
      <c r="EI471" s="3"/>
      <c r="EJ471" s="3"/>
      <c r="EK471" s="3"/>
      <c r="EL471" s="3"/>
      <c r="EM471" s="3"/>
      <c r="EN471" s="3"/>
      <c r="EO471" s="3"/>
      <c r="EP471" s="3"/>
      <c r="EQ471" s="130"/>
      <c r="ER471" s="130"/>
      <c r="ES471" s="130"/>
      <c r="ET471" s="130"/>
      <c r="EU471" s="130"/>
      <c r="EV471" s="130"/>
      <c r="EW471" s="130"/>
      <c r="EX471" s="130"/>
      <c r="EY471" s="3"/>
      <c r="EZ471" s="3"/>
      <c r="FA471" s="3"/>
      <c r="FB471" s="3"/>
      <c r="FC471" s="3"/>
      <c r="FD471" s="3"/>
      <c r="FE471" s="3"/>
      <c r="FF471" s="3"/>
      <c r="FG471" s="3"/>
      <c r="FH471" s="3"/>
      <c r="FI471" s="3"/>
      <c r="FJ471" s="3"/>
      <c r="FK471" s="3"/>
      <c r="FL471" s="3"/>
      <c r="FM471" s="3"/>
      <c r="FN471" s="3"/>
      <c r="FO471" s="130"/>
      <c r="FP471" s="130"/>
      <c r="FQ471" s="130"/>
      <c r="FR471" s="130"/>
      <c r="FS471" s="130"/>
      <c r="FT471" s="130"/>
      <c r="FU471" s="130"/>
      <c r="FV471" s="130"/>
      <c r="FW471" s="3"/>
      <c r="FX471" s="3"/>
      <c r="FY471" s="3"/>
      <c r="FZ471" s="3"/>
      <c r="GA471" s="3"/>
      <c r="GB471" s="3"/>
      <c r="GC471" s="3"/>
      <c r="GD471" s="3"/>
      <c r="GE471" s="3"/>
      <c r="GF471" s="3"/>
      <c r="GG471" s="3"/>
      <c r="GH471" s="3"/>
      <c r="GI471" s="3"/>
      <c r="GJ471" s="3"/>
      <c r="GK471" s="3"/>
      <c r="GL471" s="3"/>
      <c r="GM471" s="130"/>
      <c r="GN471" s="130"/>
      <c r="GO471" s="130"/>
      <c r="GP471" s="130"/>
      <c r="GQ471" s="130"/>
      <c r="GR471" s="130"/>
      <c r="GS471" s="130"/>
      <c r="GT471" s="130"/>
      <c r="GU471" s="3"/>
      <c r="GV471" s="3"/>
      <c r="GW471" s="3"/>
      <c r="GX471" s="3"/>
      <c r="GY471" s="3"/>
      <c r="GZ471" s="3"/>
      <c r="HA471" s="3"/>
      <c r="HB471" s="3"/>
      <c r="HC471" s="3"/>
      <c r="HD471" s="3"/>
      <c r="HE471" s="3"/>
      <c r="HF471" s="3"/>
      <c r="HG471" s="3"/>
      <c r="HH471" s="3"/>
      <c r="HI471" s="3"/>
      <c r="HJ471" s="3"/>
      <c r="HK471" s="130"/>
      <c r="HL471" s="130"/>
      <c r="HM471" s="130"/>
      <c r="HN471" s="130"/>
      <c r="HO471" s="130"/>
      <c r="HP471" s="130"/>
      <c r="HQ471" s="130"/>
      <c r="HR471" s="130"/>
      <c r="HS471" s="3"/>
      <c r="HT471" s="3"/>
      <c r="HU471" s="3"/>
      <c r="HV471" s="3"/>
      <c r="HW471" s="3"/>
      <c r="HX471" s="3"/>
      <c r="HY471" s="3"/>
      <c r="HZ471" s="3"/>
      <c r="IA471" s="3"/>
      <c r="IB471" s="3"/>
      <c r="IC471" s="3"/>
      <c r="ID471" s="3"/>
      <c r="IE471" s="3"/>
      <c r="IF471" s="3"/>
      <c r="IG471" s="3"/>
      <c r="IH471" s="3"/>
      <c r="II471" s="130"/>
      <c r="IJ471" s="130"/>
      <c r="IK471" s="130"/>
      <c r="IL471" s="130"/>
      <c r="IM471" s="130"/>
      <c r="IN471" s="130"/>
      <c r="IO471" s="130"/>
      <c r="IP471" s="130"/>
      <c r="IQ471" s="3"/>
      <c r="IR471" s="3"/>
      <c r="IS471" s="3"/>
      <c r="IT471" s="3"/>
      <c r="IU471" s="3"/>
      <c r="IV471" s="3"/>
    </row>
    <row r="472" spans="1:256" s="125" customFormat="1">
      <c r="A472" s="80">
        <v>119</v>
      </c>
      <c r="B472" s="17">
        <v>43095</v>
      </c>
      <c r="C472" s="18"/>
      <c r="D472" s="19" t="s">
        <v>479</v>
      </c>
      <c r="E472" s="20" t="s">
        <v>480</v>
      </c>
      <c r="F472" s="168" t="s">
        <v>654</v>
      </c>
      <c r="G472" s="63">
        <v>1709</v>
      </c>
      <c r="H472" s="121">
        <v>2630000</v>
      </c>
      <c r="I472" s="24"/>
      <c r="J472" s="24">
        <f>SUM(H472)/1.05</f>
        <v>2504761.9047619049</v>
      </c>
      <c r="K472" s="24">
        <f t="shared" si="37"/>
        <v>2504761.9047619049</v>
      </c>
      <c r="L472" s="123">
        <v>1</v>
      </c>
      <c r="M472" s="24">
        <f t="shared" si="38"/>
        <v>2504761.9047619049</v>
      </c>
      <c r="N472" s="129">
        <f t="shared" si="39"/>
        <v>0</v>
      </c>
      <c r="O472" s="107" t="s">
        <v>499</v>
      </c>
      <c r="P472" s="3"/>
      <c r="Q472" s="140"/>
      <c r="R472" s="3"/>
      <c r="S472" s="3"/>
      <c r="T472" s="3"/>
      <c r="U472" s="3"/>
      <c r="V472" s="3"/>
      <c r="W472" s="3"/>
      <c r="X472" s="3"/>
      <c r="Y472" s="131"/>
      <c r="Z472" s="15"/>
      <c r="AA472" s="99"/>
      <c r="AB472" s="149"/>
      <c r="AC472" s="134"/>
      <c r="AD472" s="134"/>
      <c r="AE472" s="137"/>
      <c r="AF472" s="150"/>
      <c r="AG472" s="137"/>
      <c r="AH472" s="137"/>
      <c r="AI472" s="3"/>
      <c r="AJ472" s="138"/>
      <c r="AK472" s="2"/>
      <c r="AL472" s="139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131"/>
      <c r="AX472" s="15"/>
      <c r="AY472" s="99"/>
      <c r="AZ472" s="149"/>
      <c r="BA472" s="134"/>
      <c r="BB472" s="134"/>
      <c r="BC472" s="137"/>
      <c r="BD472" s="150"/>
      <c r="BE472" s="137"/>
      <c r="BF472" s="137"/>
      <c r="BG472" s="3"/>
      <c r="BH472" s="138"/>
      <c r="BI472" s="2"/>
      <c r="BJ472" s="139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131"/>
      <c r="BV472" s="15"/>
      <c r="BW472" s="99"/>
      <c r="BX472" s="149"/>
      <c r="BY472" s="134"/>
      <c r="BZ472" s="134"/>
      <c r="CA472" s="137"/>
      <c r="CB472" s="150"/>
      <c r="CC472" s="137"/>
      <c r="CD472" s="137"/>
      <c r="CE472" s="3"/>
      <c r="CF472" s="138"/>
      <c r="CG472" s="2"/>
      <c r="CH472" s="139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131"/>
      <c r="CT472" s="15"/>
      <c r="CU472" s="99"/>
      <c r="CV472" s="149"/>
      <c r="CW472" s="134"/>
      <c r="CX472" s="134"/>
      <c r="CY472" s="137"/>
      <c r="CZ472" s="150"/>
      <c r="DA472" s="137"/>
      <c r="DB472" s="137"/>
      <c r="DC472" s="3"/>
      <c r="DD472" s="138"/>
      <c r="DE472" s="2"/>
      <c r="DF472" s="139"/>
      <c r="DG472" s="3"/>
      <c r="DH472" s="3"/>
      <c r="DI472" s="3"/>
      <c r="DJ472" s="3"/>
      <c r="DK472" s="3"/>
      <c r="DL472" s="3"/>
      <c r="DM472" s="3"/>
      <c r="DN472" s="3"/>
      <c r="DO472" s="3"/>
      <c r="DP472" s="3"/>
      <c r="DQ472" s="131"/>
      <c r="DR472" s="15"/>
      <c r="DS472" s="99"/>
      <c r="DT472" s="149"/>
      <c r="DU472" s="134"/>
      <c r="DV472" s="134"/>
      <c r="DW472" s="137"/>
      <c r="DX472" s="150"/>
      <c r="DY472" s="137"/>
      <c r="DZ472" s="137"/>
      <c r="EA472" s="3"/>
      <c r="EB472" s="138"/>
      <c r="EC472" s="2"/>
      <c r="ED472" s="139"/>
      <c r="EE472" s="3"/>
      <c r="EF472" s="3"/>
      <c r="EG472" s="3"/>
      <c r="EH472" s="3"/>
      <c r="EI472" s="3"/>
      <c r="EJ472" s="3"/>
      <c r="EK472" s="3"/>
      <c r="EL472" s="3"/>
      <c r="EM472" s="3"/>
      <c r="EN472" s="3"/>
      <c r="EO472" s="131"/>
      <c r="EP472" s="15"/>
      <c r="EQ472" s="99"/>
      <c r="ER472" s="149"/>
      <c r="ES472" s="134"/>
      <c r="ET472" s="134"/>
      <c r="EU472" s="137"/>
      <c r="EV472" s="150"/>
      <c r="EW472" s="137"/>
      <c r="EX472" s="137"/>
      <c r="EY472" s="3"/>
      <c r="EZ472" s="138"/>
      <c r="FA472" s="2"/>
      <c r="FB472" s="139"/>
      <c r="FC472" s="3"/>
      <c r="FD472" s="3"/>
      <c r="FE472" s="3"/>
      <c r="FF472" s="3"/>
      <c r="FG472" s="3"/>
      <c r="FH472" s="3"/>
      <c r="FI472" s="3"/>
      <c r="FJ472" s="3"/>
      <c r="FK472" s="3"/>
      <c r="FL472" s="3"/>
      <c r="FM472" s="131"/>
      <c r="FN472" s="15"/>
      <c r="FO472" s="99"/>
      <c r="FP472" s="149"/>
      <c r="FQ472" s="134"/>
      <c r="FR472" s="134"/>
      <c r="FS472" s="137"/>
      <c r="FT472" s="150"/>
      <c r="FU472" s="137"/>
      <c r="FV472" s="137"/>
      <c r="FW472" s="3"/>
      <c r="FX472" s="138"/>
      <c r="FY472" s="2"/>
      <c r="FZ472" s="139"/>
      <c r="GA472" s="3"/>
      <c r="GB472" s="3"/>
      <c r="GC472" s="3"/>
      <c r="GD472" s="3"/>
      <c r="GE472" s="3"/>
      <c r="GF472" s="3"/>
      <c r="GG472" s="3"/>
      <c r="GH472" s="3"/>
      <c r="GI472" s="3"/>
      <c r="GJ472" s="3"/>
      <c r="GK472" s="131"/>
      <c r="GL472" s="15"/>
      <c r="GM472" s="99"/>
      <c r="GN472" s="149"/>
      <c r="GO472" s="134"/>
      <c r="GP472" s="134"/>
      <c r="GQ472" s="137"/>
      <c r="GR472" s="150"/>
      <c r="GS472" s="137"/>
      <c r="GT472" s="137"/>
      <c r="GU472" s="3"/>
      <c r="GV472" s="138"/>
      <c r="GW472" s="2"/>
      <c r="GX472" s="139"/>
      <c r="GY472" s="3"/>
      <c r="GZ472" s="3"/>
      <c r="HA472" s="3"/>
      <c r="HB472" s="3"/>
      <c r="HC472" s="3"/>
      <c r="HD472" s="3"/>
      <c r="HE472" s="3"/>
      <c r="HF472" s="3"/>
      <c r="HG472" s="3"/>
      <c r="HH472" s="3"/>
      <c r="HI472" s="131"/>
      <c r="HJ472" s="15"/>
      <c r="HK472" s="99"/>
      <c r="HL472" s="149"/>
      <c r="HM472" s="134"/>
      <c r="HN472" s="134"/>
      <c r="HO472" s="137"/>
      <c r="HP472" s="150"/>
      <c r="HQ472" s="137"/>
      <c r="HR472" s="137"/>
      <c r="HS472" s="3"/>
      <c r="HT472" s="138"/>
      <c r="HU472" s="2"/>
      <c r="HV472" s="139"/>
      <c r="HW472" s="3"/>
      <c r="HX472" s="3"/>
      <c r="HY472" s="3"/>
      <c r="HZ472" s="3"/>
      <c r="IA472" s="3"/>
      <c r="IB472" s="3"/>
      <c r="IC472" s="3"/>
      <c r="ID472" s="3"/>
      <c r="IE472" s="3"/>
      <c r="IF472" s="3"/>
      <c r="IG472" s="131"/>
      <c r="IH472" s="15"/>
      <c r="II472" s="99"/>
      <c r="IJ472" s="149"/>
      <c r="IK472" s="134"/>
      <c r="IL472" s="134"/>
      <c r="IM472" s="137"/>
      <c r="IN472" s="150"/>
      <c r="IO472" s="137"/>
      <c r="IP472" s="137"/>
      <c r="IQ472" s="3"/>
      <c r="IR472" s="138"/>
      <c r="IS472" s="2"/>
      <c r="IT472" s="139"/>
      <c r="IU472" s="3"/>
      <c r="IV472" s="3"/>
    </row>
    <row r="473" spans="1:256" s="125" customFormat="1">
      <c r="A473" s="80">
        <v>120</v>
      </c>
      <c r="B473" s="29">
        <v>43082</v>
      </c>
      <c r="C473" s="18"/>
      <c r="D473" s="19" t="s">
        <v>479</v>
      </c>
      <c r="E473" s="20" t="s">
        <v>655</v>
      </c>
      <c r="F473" s="82" t="s">
        <v>656</v>
      </c>
      <c r="G473" s="58">
        <v>1708</v>
      </c>
      <c r="H473" s="121">
        <v>2630000</v>
      </c>
      <c r="I473" s="24"/>
      <c r="J473" s="24">
        <f>SUM(H473)/1.05</f>
        <v>2504761.9047619049</v>
      </c>
      <c r="K473" s="24">
        <f t="shared" ref="K473:K536" si="43">I473+J473</f>
        <v>2504761.9047619049</v>
      </c>
      <c r="L473" s="123">
        <v>1</v>
      </c>
      <c r="M473" s="24">
        <f t="shared" ref="M473:M536" si="44">K473*L473</f>
        <v>2504761.9047619049</v>
      </c>
      <c r="N473" s="129">
        <f t="shared" ref="N473:N536" si="45">K473-M473</f>
        <v>0</v>
      </c>
      <c r="O473" s="107" t="s">
        <v>499</v>
      </c>
      <c r="P473" s="3"/>
      <c r="Q473" s="140"/>
      <c r="R473" s="3"/>
      <c r="S473" s="3"/>
      <c r="T473" s="3"/>
      <c r="U473" s="3"/>
      <c r="V473" s="3"/>
      <c r="W473" s="3"/>
      <c r="X473" s="3"/>
      <c r="Y473" s="131"/>
      <c r="Z473" s="15"/>
      <c r="AA473" s="99"/>
      <c r="AB473" s="149"/>
      <c r="AC473" s="134"/>
      <c r="AD473" s="134"/>
      <c r="AE473" s="137"/>
      <c r="AF473" s="193"/>
      <c r="AG473" s="183"/>
      <c r="AH473" s="183"/>
      <c r="AJ473" s="184"/>
      <c r="AK473" s="185"/>
      <c r="AL473" s="186"/>
      <c r="AW473" s="187"/>
      <c r="AX473" s="188"/>
      <c r="AY473" s="194"/>
      <c r="AZ473" s="195"/>
      <c r="BA473" s="191"/>
      <c r="BB473" s="191"/>
      <c r="BC473" s="183"/>
      <c r="BD473" s="193"/>
      <c r="BE473" s="183"/>
      <c r="BF473" s="183"/>
      <c r="BH473" s="184"/>
      <c r="BI473" s="185"/>
      <c r="BJ473" s="186"/>
      <c r="BU473" s="187"/>
      <c r="BV473" s="188"/>
      <c r="BW473" s="194"/>
      <c r="BX473" s="195"/>
      <c r="BY473" s="191"/>
      <c r="BZ473" s="191"/>
      <c r="CA473" s="183"/>
      <c r="CB473" s="193"/>
      <c r="CC473" s="183"/>
      <c r="CD473" s="183"/>
      <c r="CF473" s="184"/>
      <c r="CG473" s="185"/>
      <c r="CH473" s="186"/>
      <c r="CS473" s="187"/>
      <c r="CT473" s="188"/>
      <c r="CU473" s="194"/>
      <c r="CV473" s="195"/>
      <c r="CW473" s="191"/>
      <c r="CX473" s="191"/>
      <c r="CY473" s="183"/>
      <c r="CZ473" s="193"/>
      <c r="DA473" s="183"/>
      <c r="DB473" s="183"/>
      <c r="DD473" s="184"/>
      <c r="DE473" s="185"/>
      <c r="DF473" s="186"/>
      <c r="DQ473" s="187"/>
      <c r="DR473" s="188"/>
      <c r="DS473" s="194"/>
      <c r="DT473" s="195"/>
      <c r="DU473" s="191"/>
      <c r="DV473" s="191"/>
      <c r="DW473" s="183"/>
      <c r="DX473" s="193"/>
      <c r="DY473" s="183"/>
      <c r="DZ473" s="183"/>
      <c r="EB473" s="184"/>
      <c r="EC473" s="185"/>
      <c r="ED473" s="186"/>
      <c r="EO473" s="187"/>
      <c r="EP473" s="188"/>
      <c r="EQ473" s="194"/>
      <c r="ER473" s="195"/>
      <c r="ES473" s="191"/>
      <c r="ET473" s="191"/>
      <c r="EU473" s="183"/>
      <c r="EV473" s="193"/>
      <c r="EW473" s="183"/>
      <c r="EX473" s="183"/>
      <c r="EZ473" s="184"/>
      <c r="FA473" s="185"/>
      <c r="FB473" s="186"/>
      <c r="FM473" s="187"/>
      <c r="FN473" s="188"/>
      <c r="FO473" s="194"/>
      <c r="FP473" s="195"/>
      <c r="FQ473" s="191"/>
      <c r="FR473" s="191"/>
      <c r="FS473" s="183"/>
      <c r="FT473" s="193"/>
      <c r="FU473" s="183"/>
      <c r="FV473" s="183"/>
      <c r="FX473" s="184"/>
      <c r="FY473" s="185"/>
      <c r="FZ473" s="186"/>
      <c r="GK473" s="187"/>
      <c r="GL473" s="188"/>
      <c r="GM473" s="194"/>
      <c r="GN473" s="195"/>
      <c r="GO473" s="191"/>
      <c r="GP473" s="191"/>
      <c r="GQ473" s="183"/>
      <c r="GR473" s="193"/>
      <c r="GS473" s="183"/>
      <c r="GT473" s="183"/>
      <c r="GV473" s="184"/>
      <c r="GW473" s="185"/>
      <c r="GX473" s="186"/>
      <c r="HI473" s="187"/>
      <c r="HJ473" s="188"/>
      <c r="HK473" s="194"/>
      <c r="HL473" s="195"/>
      <c r="HM473" s="191"/>
      <c r="HN473" s="191"/>
      <c r="HO473" s="183"/>
      <c r="HP473" s="193"/>
      <c r="HQ473" s="183"/>
      <c r="HR473" s="183"/>
      <c r="HT473" s="184"/>
      <c r="HU473" s="185"/>
      <c r="HV473" s="186"/>
      <c r="IG473" s="187"/>
      <c r="IH473" s="188"/>
      <c r="II473" s="194"/>
      <c r="IJ473" s="195"/>
      <c r="IK473" s="191"/>
      <c r="IL473" s="191"/>
      <c r="IM473" s="183"/>
      <c r="IN473" s="193"/>
      <c r="IO473" s="183"/>
      <c r="IP473" s="183"/>
      <c r="IR473" s="184"/>
      <c r="IS473" s="185"/>
      <c r="IT473" s="186"/>
    </row>
    <row r="474" spans="1:256" s="125" customFormat="1">
      <c r="A474" s="80">
        <v>121</v>
      </c>
      <c r="B474" s="128">
        <v>43028</v>
      </c>
      <c r="C474" s="18"/>
      <c r="D474" s="19" t="s">
        <v>479</v>
      </c>
      <c r="E474" s="20" t="s">
        <v>489</v>
      </c>
      <c r="F474" s="82" t="s">
        <v>657</v>
      </c>
      <c r="G474" s="58">
        <v>1705</v>
      </c>
      <c r="H474" s="121">
        <v>3294750</v>
      </c>
      <c r="I474" s="24">
        <v>3137857</v>
      </c>
      <c r="J474" s="24"/>
      <c r="K474" s="24">
        <f t="shared" si="43"/>
        <v>3137857</v>
      </c>
      <c r="L474" s="123">
        <v>1</v>
      </c>
      <c r="M474" s="24">
        <f t="shared" si="44"/>
        <v>3137857</v>
      </c>
      <c r="N474" s="129">
        <f t="shared" si="45"/>
        <v>0</v>
      </c>
      <c r="O474" s="107" t="s">
        <v>499</v>
      </c>
      <c r="P474" s="3"/>
      <c r="Q474" s="140"/>
      <c r="R474" s="3"/>
      <c r="S474" s="3"/>
      <c r="T474" s="3"/>
      <c r="U474" s="3"/>
      <c r="V474" s="3"/>
      <c r="W474" s="3"/>
      <c r="X474" s="3"/>
      <c r="Y474" s="131"/>
      <c r="Z474" s="15"/>
      <c r="AA474" s="99"/>
      <c r="AB474" s="149"/>
      <c r="AC474" s="134"/>
      <c r="AD474" s="134"/>
      <c r="AE474" s="137"/>
      <c r="AF474" s="193"/>
      <c r="AG474" s="183"/>
      <c r="AH474" s="183"/>
      <c r="AJ474" s="184"/>
      <c r="AK474" s="185"/>
      <c r="AL474" s="186"/>
      <c r="AW474" s="187"/>
      <c r="AX474" s="188"/>
      <c r="AY474" s="194"/>
      <c r="AZ474" s="195"/>
      <c r="BA474" s="191"/>
      <c r="BB474" s="191"/>
      <c r="BC474" s="183"/>
      <c r="BD474" s="193"/>
      <c r="BE474" s="183"/>
      <c r="BF474" s="183"/>
      <c r="BH474" s="184"/>
      <c r="BI474" s="185"/>
      <c r="BJ474" s="186"/>
      <c r="BU474" s="187"/>
      <c r="BV474" s="188"/>
      <c r="BW474" s="194"/>
      <c r="BX474" s="195"/>
      <c r="BY474" s="191"/>
      <c r="BZ474" s="191"/>
      <c r="CA474" s="183"/>
      <c r="CB474" s="193"/>
      <c r="CC474" s="183"/>
      <c r="CD474" s="183"/>
      <c r="CF474" s="184"/>
      <c r="CG474" s="185"/>
      <c r="CH474" s="186"/>
      <c r="CS474" s="187"/>
      <c r="CT474" s="188"/>
      <c r="CU474" s="194"/>
      <c r="CV474" s="195"/>
      <c r="CW474" s="191"/>
      <c r="CX474" s="191"/>
      <c r="CY474" s="183"/>
      <c r="CZ474" s="193"/>
      <c r="DA474" s="183"/>
      <c r="DB474" s="183"/>
      <c r="DD474" s="184"/>
      <c r="DE474" s="185"/>
      <c r="DF474" s="186"/>
      <c r="DQ474" s="187"/>
      <c r="DR474" s="188"/>
      <c r="DS474" s="194"/>
      <c r="DT474" s="195"/>
      <c r="DU474" s="191"/>
      <c r="DV474" s="191"/>
      <c r="DW474" s="183"/>
      <c r="DX474" s="193"/>
      <c r="DY474" s="183"/>
      <c r="DZ474" s="183"/>
      <c r="EB474" s="184"/>
      <c r="EC474" s="185"/>
      <c r="ED474" s="186"/>
      <c r="EO474" s="187"/>
      <c r="EP474" s="188"/>
      <c r="EQ474" s="194"/>
      <c r="ER474" s="195"/>
      <c r="ES474" s="191"/>
      <c r="ET474" s="191"/>
      <c r="EU474" s="183"/>
      <c r="EV474" s="193"/>
      <c r="EW474" s="183"/>
      <c r="EX474" s="183"/>
      <c r="EZ474" s="184"/>
      <c r="FA474" s="185"/>
      <c r="FB474" s="186"/>
      <c r="FM474" s="187"/>
      <c r="FN474" s="188"/>
      <c r="FO474" s="194"/>
      <c r="FP474" s="195"/>
      <c r="FQ474" s="191"/>
      <c r="FR474" s="191"/>
      <c r="FS474" s="183"/>
      <c r="FT474" s="193"/>
      <c r="FU474" s="183"/>
      <c r="FV474" s="183"/>
      <c r="FX474" s="184"/>
      <c r="FY474" s="185"/>
      <c r="FZ474" s="186"/>
      <c r="GK474" s="187"/>
      <c r="GL474" s="188"/>
      <c r="GM474" s="194"/>
      <c r="GN474" s="195"/>
      <c r="GO474" s="191"/>
      <c r="GP474" s="191"/>
      <c r="GQ474" s="183"/>
      <c r="GR474" s="193"/>
      <c r="GS474" s="183"/>
      <c r="GT474" s="183"/>
      <c r="GV474" s="184"/>
      <c r="GW474" s="185"/>
      <c r="GX474" s="186"/>
      <c r="HI474" s="187"/>
      <c r="HJ474" s="188"/>
      <c r="HK474" s="194"/>
      <c r="HL474" s="195"/>
      <c r="HM474" s="191"/>
      <c r="HN474" s="191"/>
      <c r="HO474" s="183"/>
      <c r="HP474" s="193"/>
      <c r="HQ474" s="183"/>
      <c r="HR474" s="183"/>
      <c r="HT474" s="184"/>
      <c r="HU474" s="185"/>
      <c r="HV474" s="186"/>
      <c r="IG474" s="187"/>
      <c r="IH474" s="188"/>
      <c r="II474" s="194"/>
      <c r="IJ474" s="195"/>
      <c r="IK474" s="191"/>
      <c r="IL474" s="191"/>
      <c r="IM474" s="183"/>
      <c r="IN474" s="193"/>
      <c r="IO474" s="183"/>
      <c r="IP474" s="183"/>
      <c r="IR474" s="184"/>
      <c r="IS474" s="185"/>
      <c r="IT474" s="186"/>
    </row>
    <row r="475" spans="1:256" s="125" customFormat="1">
      <c r="A475" s="80">
        <v>122</v>
      </c>
      <c r="B475" s="29">
        <v>43083</v>
      </c>
      <c r="C475" s="18"/>
      <c r="D475" s="19" t="s">
        <v>479</v>
      </c>
      <c r="E475" s="20" t="s">
        <v>489</v>
      </c>
      <c r="F475" s="62" t="s">
        <v>658</v>
      </c>
      <c r="G475" s="63">
        <v>1708</v>
      </c>
      <c r="H475" s="121">
        <v>3180000</v>
      </c>
      <c r="I475" s="24"/>
      <c r="J475" s="24">
        <f>SUM(H475)/1.05</f>
        <v>3028571.4285714286</v>
      </c>
      <c r="K475" s="24">
        <f t="shared" si="43"/>
        <v>3028571.4285714286</v>
      </c>
      <c r="L475" s="123">
        <v>1</v>
      </c>
      <c r="M475" s="24">
        <f t="shared" si="44"/>
        <v>3028571.4285714286</v>
      </c>
      <c r="N475" s="129">
        <f t="shared" si="45"/>
        <v>0</v>
      </c>
      <c r="O475" s="107" t="s">
        <v>499</v>
      </c>
      <c r="P475" s="3"/>
      <c r="Q475" s="140"/>
      <c r="R475" s="3"/>
      <c r="S475" s="3"/>
      <c r="T475" s="3"/>
      <c r="U475" s="3"/>
      <c r="V475" s="3"/>
      <c r="W475" s="3"/>
      <c r="X475" s="3"/>
      <c r="Y475" s="131"/>
      <c r="Z475" s="15"/>
      <c r="AA475" s="99"/>
      <c r="AB475" s="149"/>
      <c r="AC475" s="134"/>
      <c r="AD475" s="134"/>
      <c r="AE475" s="137"/>
      <c r="AF475" s="193"/>
      <c r="AG475" s="183"/>
      <c r="AH475" s="183"/>
      <c r="AJ475" s="184"/>
      <c r="AK475" s="185"/>
      <c r="AL475" s="186"/>
      <c r="AW475" s="187"/>
      <c r="AX475" s="188"/>
      <c r="AY475" s="194"/>
      <c r="AZ475" s="195"/>
      <c r="BA475" s="191"/>
      <c r="BB475" s="191"/>
      <c r="BC475" s="183"/>
      <c r="BD475" s="193"/>
      <c r="BE475" s="183"/>
      <c r="BF475" s="183"/>
      <c r="BH475" s="184"/>
      <c r="BI475" s="185"/>
      <c r="BJ475" s="186"/>
      <c r="BU475" s="187"/>
      <c r="BV475" s="188"/>
      <c r="BW475" s="194"/>
      <c r="BX475" s="195"/>
      <c r="BY475" s="191"/>
      <c r="BZ475" s="191"/>
      <c r="CA475" s="183"/>
      <c r="CB475" s="193"/>
      <c r="CC475" s="183"/>
      <c r="CD475" s="183"/>
      <c r="CF475" s="184"/>
      <c r="CG475" s="185"/>
      <c r="CH475" s="186"/>
      <c r="CS475" s="187"/>
      <c r="CT475" s="188"/>
      <c r="CU475" s="194"/>
      <c r="CV475" s="195"/>
      <c r="CW475" s="191"/>
      <c r="CX475" s="191"/>
      <c r="CY475" s="183"/>
      <c r="CZ475" s="193"/>
      <c r="DA475" s="183"/>
      <c r="DB475" s="183"/>
      <c r="DD475" s="184"/>
      <c r="DE475" s="185"/>
      <c r="DF475" s="186"/>
      <c r="DQ475" s="187"/>
      <c r="DR475" s="188"/>
      <c r="DS475" s="194"/>
      <c r="DT475" s="195"/>
      <c r="DU475" s="191"/>
      <c r="DV475" s="191"/>
      <c r="DW475" s="183"/>
      <c r="DX475" s="193"/>
      <c r="DY475" s="183"/>
      <c r="DZ475" s="183"/>
      <c r="EB475" s="184"/>
      <c r="EC475" s="185"/>
      <c r="ED475" s="186"/>
      <c r="EO475" s="187"/>
      <c r="EP475" s="188"/>
      <c r="EQ475" s="194"/>
      <c r="ER475" s="195"/>
      <c r="ES475" s="191"/>
      <c r="ET475" s="191"/>
      <c r="EU475" s="183"/>
      <c r="EV475" s="193"/>
      <c r="EW475" s="183"/>
      <c r="EX475" s="183"/>
      <c r="EZ475" s="184"/>
      <c r="FA475" s="185"/>
      <c r="FB475" s="186"/>
      <c r="FM475" s="187"/>
      <c r="FN475" s="188"/>
      <c r="FO475" s="194"/>
      <c r="FP475" s="195"/>
      <c r="FQ475" s="191"/>
      <c r="FR475" s="191"/>
      <c r="FS475" s="183"/>
      <c r="FT475" s="193"/>
      <c r="FU475" s="183"/>
      <c r="FV475" s="183"/>
      <c r="FX475" s="184"/>
      <c r="FY475" s="185"/>
      <c r="FZ475" s="186"/>
      <c r="GK475" s="187"/>
      <c r="GL475" s="188"/>
      <c r="GM475" s="194"/>
      <c r="GN475" s="195"/>
      <c r="GO475" s="191"/>
      <c r="GP475" s="191"/>
      <c r="GQ475" s="183"/>
      <c r="GR475" s="193"/>
      <c r="GS475" s="183"/>
      <c r="GT475" s="183"/>
      <c r="GV475" s="184"/>
      <c r="GW475" s="185"/>
      <c r="GX475" s="186"/>
      <c r="HI475" s="187"/>
      <c r="HJ475" s="188"/>
      <c r="HK475" s="194"/>
      <c r="HL475" s="195"/>
      <c r="HM475" s="191"/>
      <c r="HN475" s="191"/>
      <c r="HO475" s="183"/>
      <c r="HP475" s="193"/>
      <c r="HQ475" s="183"/>
      <c r="HR475" s="183"/>
      <c r="HT475" s="184"/>
      <c r="HU475" s="185"/>
      <c r="HV475" s="186"/>
      <c r="IG475" s="187"/>
      <c r="IH475" s="188"/>
      <c r="II475" s="194"/>
      <c r="IJ475" s="195"/>
      <c r="IK475" s="191"/>
      <c r="IL475" s="191"/>
      <c r="IM475" s="183"/>
      <c r="IN475" s="193"/>
      <c r="IO475" s="183"/>
      <c r="IP475" s="183"/>
      <c r="IR475" s="184"/>
      <c r="IS475" s="185"/>
      <c r="IT475" s="186"/>
    </row>
    <row r="476" spans="1:256" s="125" customFormat="1">
      <c r="A476" s="80">
        <v>123</v>
      </c>
      <c r="B476" s="17">
        <v>43077</v>
      </c>
      <c r="C476" s="18"/>
      <c r="D476" s="19" t="s">
        <v>479</v>
      </c>
      <c r="E476" s="20" t="s">
        <v>489</v>
      </c>
      <c r="F476" s="82" t="s">
        <v>659</v>
      </c>
      <c r="G476" s="63">
        <v>1708</v>
      </c>
      <c r="H476" s="121">
        <v>3180000</v>
      </c>
      <c r="I476" s="24"/>
      <c r="J476" s="24">
        <f>SUM(H476)/1.05</f>
        <v>3028571.4285714286</v>
      </c>
      <c r="K476" s="24">
        <f t="shared" si="43"/>
        <v>3028571.4285714286</v>
      </c>
      <c r="L476" s="26">
        <v>1</v>
      </c>
      <c r="M476" s="24">
        <f t="shared" si="44"/>
        <v>3028571.4285714286</v>
      </c>
      <c r="N476" s="129">
        <f t="shared" si="45"/>
        <v>0</v>
      </c>
      <c r="O476" s="107" t="s">
        <v>499</v>
      </c>
      <c r="P476" s="3"/>
      <c r="Q476" s="140"/>
      <c r="R476" s="3"/>
      <c r="S476" s="3"/>
      <c r="T476" s="3"/>
      <c r="U476" s="3"/>
      <c r="V476" s="3"/>
      <c r="W476" s="3"/>
      <c r="X476" s="3"/>
      <c r="Y476" s="131"/>
      <c r="Z476" s="15"/>
      <c r="AA476" s="99"/>
      <c r="AB476" s="149"/>
      <c r="AC476" s="134"/>
      <c r="AD476" s="134"/>
      <c r="AE476" s="137"/>
      <c r="AF476" s="193"/>
      <c r="AG476" s="183"/>
      <c r="AH476" s="183"/>
      <c r="AJ476" s="184"/>
      <c r="AK476" s="185"/>
      <c r="AL476" s="186"/>
      <c r="AW476" s="187"/>
      <c r="AX476" s="188"/>
      <c r="AY476" s="194"/>
      <c r="AZ476" s="195"/>
      <c r="BA476" s="191"/>
      <c r="BB476" s="191"/>
      <c r="BC476" s="183"/>
      <c r="BD476" s="193"/>
      <c r="BE476" s="183"/>
      <c r="BF476" s="183"/>
      <c r="BH476" s="184"/>
      <c r="BI476" s="185"/>
      <c r="BJ476" s="186"/>
      <c r="BU476" s="187"/>
      <c r="BV476" s="188"/>
      <c r="BW476" s="194"/>
      <c r="BX476" s="195"/>
      <c r="BY476" s="191"/>
      <c r="BZ476" s="191"/>
      <c r="CA476" s="183"/>
      <c r="CB476" s="193"/>
      <c r="CC476" s="183"/>
      <c r="CD476" s="183"/>
      <c r="CF476" s="184"/>
      <c r="CG476" s="185"/>
      <c r="CH476" s="186"/>
      <c r="CS476" s="187"/>
      <c r="CT476" s="188"/>
      <c r="CU476" s="194"/>
      <c r="CV476" s="195"/>
      <c r="CW476" s="191"/>
      <c r="CX476" s="191"/>
      <c r="CY476" s="183"/>
      <c r="CZ476" s="193"/>
      <c r="DA476" s="183"/>
      <c r="DB476" s="183"/>
      <c r="DD476" s="184"/>
      <c r="DE476" s="185"/>
      <c r="DF476" s="186"/>
      <c r="DQ476" s="187"/>
      <c r="DR476" s="188"/>
      <c r="DS476" s="194"/>
      <c r="DT476" s="195"/>
      <c r="DU476" s="191"/>
      <c r="DV476" s="191"/>
      <c r="DW476" s="183"/>
      <c r="DX476" s="193"/>
      <c r="DY476" s="183"/>
      <c r="DZ476" s="183"/>
      <c r="EB476" s="184"/>
      <c r="EC476" s="185"/>
      <c r="ED476" s="186"/>
      <c r="EO476" s="187"/>
      <c r="EP476" s="188"/>
      <c r="EQ476" s="194"/>
      <c r="ER476" s="195"/>
      <c r="ES476" s="191"/>
      <c r="ET476" s="191"/>
      <c r="EU476" s="183"/>
      <c r="EV476" s="193"/>
      <c r="EW476" s="183"/>
      <c r="EX476" s="183"/>
      <c r="EZ476" s="184"/>
      <c r="FA476" s="185"/>
      <c r="FB476" s="186"/>
      <c r="FM476" s="187"/>
      <c r="FN476" s="188"/>
      <c r="FO476" s="194"/>
      <c r="FP476" s="195"/>
      <c r="FQ476" s="191"/>
      <c r="FR476" s="191"/>
      <c r="FS476" s="183"/>
      <c r="FT476" s="193"/>
      <c r="FU476" s="183"/>
      <c r="FV476" s="183"/>
      <c r="FX476" s="184"/>
      <c r="FY476" s="185"/>
      <c r="FZ476" s="186"/>
      <c r="GK476" s="187"/>
      <c r="GL476" s="188"/>
      <c r="GM476" s="194"/>
      <c r="GN476" s="195"/>
      <c r="GO476" s="191"/>
      <c r="GP476" s="191"/>
      <c r="GQ476" s="183"/>
      <c r="GR476" s="193"/>
      <c r="GS476" s="183"/>
      <c r="GT476" s="183"/>
      <c r="GV476" s="184"/>
      <c r="GW476" s="185"/>
      <c r="GX476" s="186"/>
      <c r="HI476" s="187"/>
      <c r="HJ476" s="188"/>
      <c r="HK476" s="194"/>
      <c r="HL476" s="195"/>
      <c r="HM476" s="191"/>
      <c r="HN476" s="191"/>
      <c r="HO476" s="183"/>
      <c r="HP476" s="193"/>
      <c r="HQ476" s="183"/>
      <c r="HR476" s="183"/>
      <c r="HT476" s="184"/>
      <c r="HU476" s="185"/>
      <c r="HV476" s="186"/>
      <c r="IG476" s="187"/>
      <c r="IH476" s="188"/>
      <c r="II476" s="194"/>
      <c r="IJ476" s="195"/>
      <c r="IK476" s="191"/>
      <c r="IL476" s="191"/>
      <c r="IM476" s="183"/>
      <c r="IN476" s="193"/>
      <c r="IO476" s="183"/>
      <c r="IP476" s="183"/>
      <c r="IR476" s="184"/>
      <c r="IS476" s="185"/>
      <c r="IT476" s="186"/>
    </row>
    <row r="477" spans="1:256" s="125" customFormat="1">
      <c r="A477" s="80">
        <v>124</v>
      </c>
      <c r="B477" s="29">
        <v>43089</v>
      </c>
      <c r="C477" s="18"/>
      <c r="D477" s="19" t="s">
        <v>479</v>
      </c>
      <c r="E477" s="20" t="s">
        <v>489</v>
      </c>
      <c r="F477" s="82" t="s">
        <v>660</v>
      </c>
      <c r="G477" s="63">
        <v>1708</v>
      </c>
      <c r="H477" s="121">
        <v>3180000</v>
      </c>
      <c r="I477" s="24"/>
      <c r="J477" s="24">
        <f>SUM(H477)/1.05</f>
        <v>3028571.4285714286</v>
      </c>
      <c r="K477" s="24">
        <f t="shared" si="43"/>
        <v>3028571.4285714286</v>
      </c>
      <c r="L477" s="123">
        <v>1</v>
      </c>
      <c r="M477" s="24">
        <f t="shared" si="44"/>
        <v>3028571.4285714286</v>
      </c>
      <c r="N477" s="129">
        <f t="shared" si="45"/>
        <v>0</v>
      </c>
      <c r="O477" s="107" t="s">
        <v>499</v>
      </c>
      <c r="P477" s="3"/>
      <c r="Q477" s="140"/>
      <c r="R477" s="3"/>
      <c r="S477" s="3"/>
      <c r="T477" s="3"/>
      <c r="U477" s="3"/>
      <c r="V477" s="3"/>
      <c r="W477" s="3"/>
      <c r="X477" s="3"/>
      <c r="Y477" s="3"/>
      <c r="Z477" s="3"/>
      <c r="AA477" s="130"/>
      <c r="AB477" s="130"/>
      <c r="AC477" s="130"/>
      <c r="AD477" s="130"/>
      <c r="AE477" s="130"/>
      <c r="AF477" s="130"/>
      <c r="AG477" s="130"/>
      <c r="AH477" s="130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130"/>
      <c r="AZ477" s="130"/>
      <c r="BA477" s="130"/>
      <c r="BB477" s="130"/>
      <c r="BC477" s="130"/>
      <c r="BD477" s="130"/>
      <c r="BE477" s="130"/>
      <c r="BF477" s="130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130"/>
      <c r="BX477" s="130"/>
      <c r="BY477" s="130"/>
      <c r="BZ477" s="130"/>
      <c r="CA477" s="130"/>
      <c r="CB477" s="130"/>
      <c r="CC477" s="130"/>
      <c r="CD477" s="130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130"/>
      <c r="CV477" s="130"/>
      <c r="CW477" s="130"/>
      <c r="CX477" s="130"/>
      <c r="CY477" s="130"/>
      <c r="CZ477" s="130"/>
      <c r="DA477" s="130"/>
      <c r="DB477" s="130"/>
      <c r="DC477" s="3"/>
      <c r="DD477" s="3"/>
      <c r="DE477" s="3"/>
      <c r="DF477" s="3"/>
      <c r="DG477" s="3"/>
      <c r="DH477" s="3"/>
      <c r="DI477" s="3"/>
      <c r="DJ477" s="3"/>
      <c r="DK477" s="3"/>
      <c r="DL477" s="3"/>
      <c r="DM477" s="3"/>
      <c r="DN477" s="3"/>
      <c r="DO477" s="3"/>
      <c r="DP477" s="3"/>
      <c r="DQ477" s="3"/>
      <c r="DR477" s="3"/>
      <c r="DS477" s="130"/>
      <c r="DT477" s="130"/>
      <c r="DU477" s="130"/>
      <c r="DV477" s="130"/>
      <c r="DW477" s="130"/>
      <c r="DX477" s="130"/>
      <c r="DY477" s="130"/>
      <c r="DZ477" s="130"/>
      <c r="EA477" s="3"/>
      <c r="EB477" s="3"/>
      <c r="EC477" s="3"/>
      <c r="ED477" s="3"/>
      <c r="EE477" s="3"/>
      <c r="EF477" s="3"/>
      <c r="EG477" s="3"/>
      <c r="EH477" s="3"/>
      <c r="EI477" s="3"/>
      <c r="EJ477" s="3"/>
      <c r="EK477" s="3"/>
      <c r="EL477" s="3"/>
      <c r="EM477" s="3"/>
      <c r="EN477" s="3"/>
      <c r="EO477" s="3"/>
      <c r="EP477" s="3"/>
      <c r="EQ477" s="130"/>
      <c r="ER477" s="130"/>
      <c r="ES477" s="130"/>
      <c r="ET477" s="130"/>
      <c r="EU477" s="130"/>
      <c r="EV477" s="130"/>
      <c r="EW477" s="130"/>
      <c r="EX477" s="130"/>
      <c r="EY477" s="3"/>
      <c r="EZ477" s="3"/>
      <c r="FA477" s="3"/>
      <c r="FB477" s="3"/>
      <c r="FC477" s="3"/>
      <c r="FD477" s="3"/>
      <c r="FE477" s="3"/>
      <c r="FF477" s="3"/>
      <c r="FG477" s="3"/>
      <c r="FH477" s="3"/>
      <c r="FI477" s="3"/>
      <c r="FJ477" s="3"/>
      <c r="FK477" s="3"/>
      <c r="FL477" s="3"/>
      <c r="FM477" s="3"/>
      <c r="FN477" s="3"/>
      <c r="FO477" s="130"/>
      <c r="FP477" s="130"/>
      <c r="FQ477" s="130"/>
      <c r="FR477" s="130"/>
      <c r="FS477" s="130"/>
      <c r="FT477" s="130"/>
      <c r="FU477" s="130"/>
      <c r="FV477" s="130"/>
      <c r="FW477" s="3"/>
      <c r="FX477" s="3"/>
      <c r="FY477" s="3"/>
      <c r="FZ477" s="3"/>
      <c r="GA477" s="3"/>
      <c r="GB477" s="3"/>
      <c r="GC477" s="3"/>
      <c r="GD477" s="3"/>
      <c r="GE477" s="3"/>
      <c r="GF477" s="3"/>
      <c r="GG477" s="3"/>
      <c r="GH477" s="3"/>
      <c r="GI477" s="3"/>
      <c r="GJ477" s="3"/>
      <c r="GK477" s="3"/>
      <c r="GL477" s="3"/>
      <c r="GM477" s="130"/>
      <c r="GN477" s="130"/>
      <c r="GO477" s="130"/>
      <c r="GP477" s="130"/>
      <c r="GQ477" s="130"/>
      <c r="GR477" s="130"/>
      <c r="GS477" s="130"/>
      <c r="GT477" s="130"/>
      <c r="GU477" s="3"/>
      <c r="GV477" s="3"/>
      <c r="GW477" s="3"/>
      <c r="GX477" s="3"/>
      <c r="GY477" s="3"/>
      <c r="GZ477" s="3"/>
      <c r="HA477" s="3"/>
      <c r="HB477" s="3"/>
      <c r="HC477" s="3"/>
      <c r="HD477" s="3"/>
      <c r="HE477" s="3"/>
      <c r="HF477" s="3"/>
      <c r="HG477" s="3"/>
      <c r="HH477" s="3"/>
      <c r="HI477" s="3"/>
      <c r="HJ477" s="3"/>
      <c r="HK477" s="130"/>
      <c r="HL477" s="130"/>
      <c r="HM477" s="130"/>
      <c r="HN477" s="130"/>
      <c r="HO477" s="130"/>
      <c r="HP477" s="130"/>
      <c r="HQ477" s="130"/>
      <c r="HR477" s="130"/>
      <c r="HS477" s="3"/>
      <c r="HT477" s="3"/>
      <c r="HU477" s="3"/>
      <c r="HV477" s="3"/>
      <c r="HW477" s="3"/>
      <c r="HX477" s="3"/>
      <c r="HY477" s="3"/>
      <c r="HZ477" s="3"/>
      <c r="IA477" s="3"/>
      <c r="IB477" s="3"/>
      <c r="IC477" s="3"/>
      <c r="ID477" s="3"/>
      <c r="IE477" s="3"/>
      <c r="IF477" s="3"/>
      <c r="IG477" s="3"/>
      <c r="IH477" s="3"/>
      <c r="II477" s="130"/>
      <c r="IJ477" s="130"/>
      <c r="IK477" s="130"/>
      <c r="IL477" s="130"/>
      <c r="IM477" s="130"/>
      <c r="IN477" s="130"/>
      <c r="IO477" s="130"/>
      <c r="IP477" s="130"/>
      <c r="IQ477" s="3"/>
      <c r="IR477" s="3"/>
      <c r="IS477" s="3"/>
      <c r="IT477" s="3"/>
      <c r="IU477" s="3"/>
      <c r="IV477" s="3"/>
    </row>
    <row r="478" spans="1:256" s="125" customFormat="1">
      <c r="A478" s="80">
        <v>125</v>
      </c>
      <c r="B478" s="17">
        <v>43095</v>
      </c>
      <c r="C478" s="18" t="s">
        <v>235</v>
      </c>
      <c r="D478" s="19" t="s">
        <v>479</v>
      </c>
      <c r="E478" s="20" t="s">
        <v>487</v>
      </c>
      <c r="F478" s="168" t="s">
        <v>661</v>
      </c>
      <c r="G478" s="63">
        <v>1709</v>
      </c>
      <c r="H478" s="121">
        <f>3180000+16200</f>
        <v>3196200</v>
      </c>
      <c r="I478" s="24"/>
      <c r="J478" s="24">
        <f>SUM(H478)/1.05</f>
        <v>3044000</v>
      </c>
      <c r="K478" s="24">
        <f t="shared" si="43"/>
        <v>3044000</v>
      </c>
      <c r="L478" s="123">
        <v>1</v>
      </c>
      <c r="M478" s="24">
        <f t="shared" si="44"/>
        <v>3044000</v>
      </c>
      <c r="N478" s="129">
        <f t="shared" si="45"/>
        <v>0</v>
      </c>
      <c r="O478" s="107" t="s">
        <v>499</v>
      </c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130"/>
      <c r="AB478" s="130"/>
      <c r="AC478" s="130"/>
      <c r="AD478" s="130"/>
      <c r="AE478" s="130"/>
      <c r="AF478" s="167"/>
      <c r="AG478" s="167"/>
      <c r="AH478" s="167"/>
      <c r="AY478" s="167"/>
      <c r="AZ478" s="167"/>
      <c r="BA478" s="167"/>
      <c r="BB478" s="167"/>
      <c r="BC478" s="167"/>
      <c r="BD478" s="167"/>
      <c r="BE478" s="167"/>
      <c r="BF478" s="167"/>
      <c r="BW478" s="167"/>
      <c r="BX478" s="167"/>
      <c r="BY478" s="167"/>
      <c r="BZ478" s="167"/>
      <c r="CA478" s="167"/>
      <c r="CB478" s="167"/>
      <c r="CC478" s="167"/>
      <c r="CD478" s="167"/>
      <c r="CU478" s="167"/>
      <c r="CV478" s="167"/>
      <c r="CW478" s="167"/>
      <c r="CX478" s="167"/>
      <c r="CY478" s="167"/>
      <c r="CZ478" s="167"/>
      <c r="DA478" s="167"/>
      <c r="DB478" s="167"/>
      <c r="DS478" s="167"/>
      <c r="DT478" s="167"/>
      <c r="DU478" s="167"/>
      <c r="DV478" s="167"/>
      <c r="DW478" s="167"/>
      <c r="DX478" s="167"/>
      <c r="DY478" s="167"/>
      <c r="DZ478" s="167"/>
      <c r="EQ478" s="167"/>
      <c r="ER478" s="167"/>
      <c r="ES478" s="167"/>
      <c r="ET478" s="167"/>
      <c r="EU478" s="167"/>
      <c r="EV478" s="167"/>
      <c r="EW478" s="167"/>
      <c r="EX478" s="167"/>
      <c r="FO478" s="167"/>
      <c r="FP478" s="167"/>
      <c r="FQ478" s="167"/>
      <c r="FR478" s="167"/>
      <c r="FS478" s="167"/>
      <c r="FT478" s="167"/>
      <c r="FU478" s="167"/>
      <c r="FV478" s="167"/>
      <c r="GM478" s="167"/>
      <c r="GN478" s="167"/>
      <c r="GO478" s="167"/>
      <c r="GP478" s="167"/>
      <c r="GQ478" s="167"/>
      <c r="GR478" s="167"/>
      <c r="GS478" s="167"/>
      <c r="GT478" s="167"/>
      <c r="HK478" s="167"/>
      <c r="HL478" s="167"/>
      <c r="HM478" s="167"/>
      <c r="HN478" s="167"/>
      <c r="HO478" s="167"/>
      <c r="HP478" s="167"/>
      <c r="HQ478" s="167"/>
      <c r="HR478" s="167"/>
      <c r="II478" s="167"/>
      <c r="IJ478" s="167"/>
      <c r="IK478" s="167"/>
      <c r="IL478" s="167"/>
      <c r="IM478" s="167"/>
      <c r="IN478" s="167"/>
      <c r="IO478" s="167"/>
      <c r="IP478" s="167"/>
    </row>
    <row r="479" spans="1:256" s="125" customFormat="1">
      <c r="A479" s="80">
        <v>126</v>
      </c>
      <c r="B479" s="17">
        <v>43087</v>
      </c>
      <c r="C479" s="18" t="s">
        <v>624</v>
      </c>
      <c r="D479" s="19" t="s">
        <v>494</v>
      </c>
      <c r="E479" s="20" t="s">
        <v>662</v>
      </c>
      <c r="F479" s="168" t="s">
        <v>663</v>
      </c>
      <c r="G479" s="63">
        <v>1708</v>
      </c>
      <c r="H479" s="121">
        <f>3320100+17850</f>
        <v>3337950</v>
      </c>
      <c r="I479" s="24"/>
      <c r="J479" s="24">
        <f>SUM(H479)/1.05</f>
        <v>3179000</v>
      </c>
      <c r="K479" s="24">
        <f t="shared" si="43"/>
        <v>3179000</v>
      </c>
      <c r="L479" s="123">
        <v>1</v>
      </c>
      <c r="M479" s="24">
        <f t="shared" si="44"/>
        <v>3179000</v>
      </c>
      <c r="N479" s="129">
        <f t="shared" si="45"/>
        <v>0</v>
      </c>
      <c r="O479" s="107" t="s">
        <v>499</v>
      </c>
      <c r="P479" s="3"/>
      <c r="Q479" s="140"/>
      <c r="R479" s="3"/>
      <c r="S479" s="3"/>
      <c r="T479" s="3"/>
      <c r="U479" s="3"/>
      <c r="V479" s="3"/>
      <c r="W479" s="3"/>
      <c r="X479" s="3"/>
      <c r="Y479" s="131"/>
      <c r="Z479" s="15"/>
      <c r="AA479" s="99"/>
      <c r="AB479" s="149"/>
      <c r="AC479" s="134"/>
      <c r="AD479" s="134"/>
      <c r="AE479" s="137"/>
      <c r="AF479" s="193"/>
      <c r="AG479" s="183"/>
      <c r="AH479" s="183"/>
      <c r="AJ479" s="184"/>
      <c r="AK479" s="185"/>
      <c r="AL479" s="186"/>
      <c r="AW479" s="187"/>
      <c r="AX479" s="188"/>
      <c r="AY479" s="194"/>
      <c r="AZ479" s="195"/>
      <c r="BA479" s="191"/>
      <c r="BB479" s="191"/>
      <c r="BC479" s="183"/>
      <c r="BD479" s="193"/>
      <c r="BE479" s="183"/>
      <c r="BF479" s="183"/>
      <c r="BH479" s="184"/>
      <c r="BI479" s="185"/>
      <c r="BJ479" s="186"/>
      <c r="BU479" s="187"/>
      <c r="BV479" s="188"/>
      <c r="BW479" s="194"/>
      <c r="BX479" s="195"/>
      <c r="BY479" s="191"/>
      <c r="BZ479" s="191"/>
      <c r="CA479" s="183"/>
      <c r="CB479" s="193"/>
      <c r="CC479" s="183"/>
      <c r="CD479" s="183"/>
      <c r="CF479" s="184"/>
      <c r="CG479" s="185"/>
      <c r="CH479" s="186"/>
      <c r="CS479" s="187"/>
      <c r="CT479" s="188"/>
      <c r="CU479" s="194"/>
      <c r="CV479" s="195"/>
      <c r="CW479" s="191"/>
      <c r="CX479" s="191"/>
      <c r="CY479" s="183"/>
      <c r="CZ479" s="193"/>
      <c r="DA479" s="183"/>
      <c r="DB479" s="183"/>
      <c r="DD479" s="184"/>
      <c r="DE479" s="185"/>
      <c r="DF479" s="186"/>
      <c r="DQ479" s="187"/>
      <c r="DR479" s="188"/>
      <c r="DS479" s="194"/>
      <c r="DT479" s="195"/>
      <c r="DU479" s="191"/>
      <c r="DV479" s="191"/>
      <c r="DW479" s="183"/>
      <c r="DX479" s="193"/>
      <c r="DY479" s="183"/>
      <c r="DZ479" s="183"/>
      <c r="EB479" s="184"/>
      <c r="EC479" s="185"/>
      <c r="ED479" s="186"/>
      <c r="EO479" s="187"/>
      <c r="EP479" s="188"/>
      <c r="EQ479" s="194"/>
      <c r="ER479" s="195"/>
      <c r="ES479" s="191"/>
      <c r="ET479" s="191"/>
      <c r="EU479" s="183"/>
      <c r="EV479" s="193"/>
      <c r="EW479" s="183"/>
      <c r="EX479" s="183"/>
      <c r="EZ479" s="184"/>
      <c r="FA479" s="185"/>
      <c r="FB479" s="186"/>
      <c r="FM479" s="187"/>
      <c r="FN479" s="188"/>
      <c r="FO479" s="194"/>
      <c r="FP479" s="195"/>
      <c r="FQ479" s="191"/>
      <c r="FR479" s="191"/>
      <c r="FS479" s="183"/>
      <c r="FT479" s="193"/>
      <c r="FU479" s="183"/>
      <c r="FV479" s="183"/>
      <c r="FX479" s="184"/>
      <c r="FY479" s="185"/>
      <c r="FZ479" s="186"/>
      <c r="GK479" s="187"/>
      <c r="GL479" s="188"/>
      <c r="GM479" s="194"/>
      <c r="GN479" s="195"/>
      <c r="GO479" s="191"/>
      <c r="GP479" s="191"/>
      <c r="GQ479" s="183"/>
      <c r="GR479" s="193"/>
      <c r="GS479" s="183"/>
      <c r="GT479" s="183"/>
      <c r="GV479" s="184"/>
      <c r="GW479" s="185"/>
      <c r="GX479" s="186"/>
      <c r="HI479" s="187"/>
      <c r="HJ479" s="188"/>
      <c r="HK479" s="194"/>
      <c r="HL479" s="195"/>
      <c r="HM479" s="191"/>
      <c r="HN479" s="191"/>
      <c r="HO479" s="183"/>
      <c r="HP479" s="193"/>
      <c r="HQ479" s="183"/>
      <c r="HR479" s="183"/>
      <c r="HT479" s="184"/>
      <c r="HU479" s="185"/>
      <c r="HV479" s="186"/>
      <c r="IG479" s="187"/>
      <c r="IH479" s="188"/>
      <c r="II479" s="194"/>
      <c r="IJ479" s="195"/>
      <c r="IK479" s="191"/>
      <c r="IL479" s="191"/>
      <c r="IM479" s="183"/>
      <c r="IN479" s="193"/>
      <c r="IO479" s="183"/>
      <c r="IP479" s="183"/>
      <c r="IR479" s="184"/>
      <c r="IS479" s="185"/>
      <c r="IT479" s="186"/>
    </row>
    <row r="480" spans="1:256" s="125" customFormat="1">
      <c r="A480" s="84">
        <v>1</v>
      </c>
      <c r="B480" s="17">
        <v>43059</v>
      </c>
      <c r="C480" s="18"/>
      <c r="D480" s="19" t="s">
        <v>284</v>
      </c>
      <c r="E480" s="20" t="s">
        <v>285</v>
      </c>
      <c r="F480" s="57" t="s">
        <v>664</v>
      </c>
      <c r="G480" s="58">
        <v>1707</v>
      </c>
      <c r="H480" s="121">
        <f>1406000-30000</f>
        <v>1376000</v>
      </c>
      <c r="I480" s="24">
        <v>1310476</v>
      </c>
      <c r="J480" s="24"/>
      <c r="K480" s="24">
        <f t="shared" si="43"/>
        <v>1310476</v>
      </c>
      <c r="L480" s="123">
        <v>1</v>
      </c>
      <c r="M480" s="24">
        <f t="shared" si="44"/>
        <v>1310476</v>
      </c>
      <c r="N480" s="129">
        <f t="shared" si="45"/>
        <v>0</v>
      </c>
      <c r="O480" s="85" t="s">
        <v>665</v>
      </c>
      <c r="P480" s="3"/>
      <c r="Q480" s="140"/>
      <c r="R480" s="3"/>
      <c r="S480" s="3"/>
      <c r="T480" s="3"/>
      <c r="U480" s="3"/>
      <c r="V480" s="3"/>
      <c r="W480" s="3"/>
      <c r="X480" s="3"/>
      <c r="Y480" s="131"/>
      <c r="Z480" s="15"/>
      <c r="AA480" s="132"/>
      <c r="AB480" s="133"/>
      <c r="AC480" s="134"/>
      <c r="AD480" s="134"/>
      <c r="AE480" s="135"/>
      <c r="AF480" s="136"/>
      <c r="AG480" s="137"/>
      <c r="AH480" s="137"/>
      <c r="AI480" s="3"/>
      <c r="AJ480" s="138"/>
      <c r="AK480" s="2"/>
      <c r="AL480" s="139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131"/>
      <c r="AX480" s="15"/>
      <c r="AY480" s="132"/>
      <c r="AZ480" s="133"/>
      <c r="BA480" s="134"/>
      <c r="BB480" s="134"/>
      <c r="BC480" s="135"/>
      <c r="BD480" s="136"/>
      <c r="BE480" s="137"/>
      <c r="BF480" s="137"/>
      <c r="BG480" s="3"/>
      <c r="BH480" s="138"/>
      <c r="BI480" s="2"/>
      <c r="BJ480" s="139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131"/>
      <c r="BV480" s="15"/>
      <c r="BW480" s="132"/>
      <c r="BX480" s="133"/>
      <c r="BY480" s="134"/>
      <c r="BZ480" s="134"/>
      <c r="CA480" s="135"/>
      <c r="CB480" s="136"/>
      <c r="CC480" s="137"/>
      <c r="CD480" s="137"/>
      <c r="CE480" s="3"/>
      <c r="CF480" s="138"/>
      <c r="CG480" s="2"/>
      <c r="CH480" s="139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131"/>
      <c r="CT480" s="15"/>
      <c r="CU480" s="132"/>
      <c r="CV480" s="133"/>
      <c r="CW480" s="134"/>
      <c r="CX480" s="134"/>
      <c r="CY480" s="135"/>
      <c r="CZ480" s="136"/>
      <c r="DA480" s="137"/>
      <c r="DB480" s="137"/>
      <c r="DC480" s="3"/>
      <c r="DD480" s="138"/>
      <c r="DE480" s="2"/>
      <c r="DF480" s="139"/>
      <c r="DG480" s="3"/>
      <c r="DH480" s="3"/>
      <c r="DI480" s="3"/>
      <c r="DJ480" s="3"/>
      <c r="DK480" s="3"/>
      <c r="DL480" s="3"/>
      <c r="DM480" s="3"/>
      <c r="DN480" s="3"/>
      <c r="DO480" s="3"/>
      <c r="DP480" s="3"/>
      <c r="DQ480" s="131"/>
      <c r="DR480" s="15"/>
      <c r="DS480" s="132"/>
      <c r="DT480" s="133"/>
      <c r="DU480" s="134"/>
      <c r="DV480" s="134"/>
      <c r="DW480" s="135"/>
      <c r="DX480" s="136"/>
      <c r="DY480" s="137"/>
      <c r="DZ480" s="137"/>
      <c r="EA480" s="3"/>
      <c r="EB480" s="138"/>
      <c r="EC480" s="2"/>
      <c r="ED480" s="139"/>
      <c r="EE480" s="3"/>
      <c r="EF480" s="3"/>
      <c r="EG480" s="3"/>
      <c r="EH480" s="3"/>
      <c r="EI480" s="3"/>
      <c r="EJ480" s="3"/>
      <c r="EK480" s="3"/>
      <c r="EL480" s="3"/>
      <c r="EM480" s="3"/>
      <c r="EN480" s="3"/>
      <c r="EO480" s="131"/>
      <c r="EP480" s="15"/>
      <c r="EQ480" s="132"/>
      <c r="ER480" s="133"/>
      <c r="ES480" s="134"/>
      <c r="ET480" s="134"/>
      <c r="EU480" s="135"/>
      <c r="EV480" s="136"/>
      <c r="EW480" s="137"/>
      <c r="EX480" s="137"/>
      <c r="EY480" s="3"/>
      <c r="EZ480" s="138"/>
      <c r="FA480" s="2"/>
      <c r="FB480" s="139"/>
      <c r="FC480" s="3"/>
      <c r="FD480" s="3"/>
      <c r="FE480" s="3"/>
      <c r="FF480" s="3"/>
      <c r="FG480" s="3"/>
      <c r="FH480" s="3"/>
      <c r="FI480" s="3"/>
      <c r="FJ480" s="3"/>
      <c r="FK480" s="3"/>
      <c r="FL480" s="3"/>
      <c r="FM480" s="131"/>
      <c r="FN480" s="15"/>
      <c r="FO480" s="132"/>
      <c r="FP480" s="133"/>
      <c r="FQ480" s="134"/>
      <c r="FR480" s="134"/>
      <c r="FS480" s="135"/>
      <c r="FT480" s="136"/>
      <c r="FU480" s="137"/>
      <c r="FV480" s="137"/>
      <c r="FW480" s="3"/>
      <c r="FX480" s="138"/>
      <c r="FY480" s="2"/>
      <c r="FZ480" s="139"/>
      <c r="GA480" s="3"/>
      <c r="GB480" s="3"/>
      <c r="GC480" s="3"/>
      <c r="GD480" s="3"/>
      <c r="GE480" s="3"/>
      <c r="GF480" s="3"/>
      <c r="GG480" s="3"/>
      <c r="GH480" s="3"/>
      <c r="GI480" s="3"/>
      <c r="GJ480" s="3"/>
      <c r="GK480" s="131"/>
      <c r="GL480" s="15"/>
      <c r="GM480" s="132"/>
      <c r="GN480" s="133"/>
      <c r="GO480" s="134"/>
      <c r="GP480" s="134"/>
      <c r="GQ480" s="135"/>
      <c r="GR480" s="136"/>
      <c r="GS480" s="137"/>
      <c r="GT480" s="137"/>
      <c r="GU480" s="3"/>
      <c r="GV480" s="138"/>
      <c r="GW480" s="2"/>
      <c r="GX480" s="139"/>
      <c r="GY480" s="3"/>
      <c r="GZ480" s="3"/>
      <c r="HA480" s="3"/>
      <c r="HB480" s="3"/>
      <c r="HC480" s="3"/>
      <c r="HD480" s="3"/>
      <c r="HE480" s="3"/>
      <c r="HF480" s="3"/>
      <c r="HG480" s="3"/>
      <c r="HH480" s="3"/>
      <c r="HI480" s="131"/>
      <c r="HJ480" s="15"/>
      <c r="HK480" s="132"/>
      <c r="HL480" s="133"/>
      <c r="HM480" s="134"/>
      <c r="HN480" s="134"/>
      <c r="HO480" s="135"/>
      <c r="HP480" s="136"/>
      <c r="HQ480" s="137"/>
      <c r="HR480" s="137"/>
      <c r="HS480" s="3"/>
      <c r="HT480" s="138"/>
      <c r="HU480" s="2"/>
      <c r="HV480" s="139"/>
      <c r="HW480" s="3"/>
      <c r="HX480" s="3"/>
      <c r="HY480" s="3"/>
      <c r="HZ480" s="3"/>
      <c r="IA480" s="3"/>
      <c r="IB480" s="3"/>
      <c r="IC480" s="3"/>
      <c r="ID480" s="3"/>
      <c r="IE480" s="3"/>
      <c r="IF480" s="3"/>
      <c r="IG480" s="131"/>
      <c r="IH480" s="15"/>
      <c r="II480" s="132"/>
      <c r="IJ480" s="133"/>
      <c r="IK480" s="134"/>
      <c r="IL480" s="134"/>
      <c r="IM480" s="135"/>
      <c r="IN480" s="136"/>
      <c r="IO480" s="137"/>
      <c r="IP480" s="137"/>
      <c r="IQ480" s="3"/>
      <c r="IR480" s="138"/>
      <c r="IS480" s="2"/>
      <c r="IT480" s="139"/>
      <c r="IU480" s="3"/>
      <c r="IV480" s="3"/>
    </row>
    <row r="481" spans="1:256" s="125" customFormat="1">
      <c r="A481" s="84">
        <v>2</v>
      </c>
      <c r="B481" s="29">
        <v>43073</v>
      </c>
      <c r="C481" s="18"/>
      <c r="D481" s="19" t="s">
        <v>284</v>
      </c>
      <c r="E481" s="20" t="s">
        <v>285</v>
      </c>
      <c r="F481" s="82" t="s">
        <v>666</v>
      </c>
      <c r="G481" s="58">
        <v>1708</v>
      </c>
      <c r="H481" s="121">
        <v>1406000</v>
      </c>
      <c r="I481" s="24"/>
      <c r="J481" s="24">
        <f>SUM(H481)/1.05</f>
        <v>1339047.6190476189</v>
      </c>
      <c r="K481" s="24">
        <f t="shared" si="43"/>
        <v>1339047.6190476189</v>
      </c>
      <c r="L481" s="123">
        <v>1</v>
      </c>
      <c r="M481" s="24">
        <f t="shared" si="44"/>
        <v>1339047.6190476189</v>
      </c>
      <c r="N481" s="129">
        <f t="shared" si="45"/>
        <v>0</v>
      </c>
      <c r="O481" s="85" t="s">
        <v>665</v>
      </c>
      <c r="P481" s="3"/>
      <c r="Q481" s="3"/>
      <c r="R481" s="3"/>
      <c r="S481" s="3"/>
      <c r="T481" s="3"/>
      <c r="U481" s="3"/>
      <c r="V481" s="3"/>
      <c r="W481" s="3"/>
      <c r="X481" s="3"/>
      <c r="Y481" s="131"/>
      <c r="Z481" s="15"/>
      <c r="AA481" s="132"/>
      <c r="AB481" s="133"/>
      <c r="AC481" s="134"/>
      <c r="AD481" s="134"/>
      <c r="AE481" s="135"/>
      <c r="AF481" s="136"/>
      <c r="AG481" s="137"/>
      <c r="AH481" s="137"/>
      <c r="AI481" s="3"/>
      <c r="AJ481" s="138"/>
      <c r="AK481" s="2"/>
      <c r="AL481" s="139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131"/>
      <c r="AX481" s="15"/>
      <c r="AY481" s="132"/>
      <c r="AZ481" s="133"/>
      <c r="BA481" s="134"/>
      <c r="BB481" s="134"/>
      <c r="BC481" s="135"/>
      <c r="BD481" s="136"/>
      <c r="BE481" s="137"/>
      <c r="BF481" s="137"/>
      <c r="BG481" s="3"/>
      <c r="BH481" s="138"/>
      <c r="BI481" s="2"/>
      <c r="BJ481" s="139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131"/>
      <c r="BV481" s="15"/>
      <c r="BW481" s="132"/>
      <c r="BX481" s="133"/>
      <c r="BY481" s="134"/>
      <c r="BZ481" s="134"/>
      <c r="CA481" s="135"/>
      <c r="CB481" s="136"/>
      <c r="CC481" s="137"/>
      <c r="CD481" s="137"/>
      <c r="CE481" s="3"/>
      <c r="CF481" s="138"/>
      <c r="CG481" s="2"/>
      <c r="CH481" s="139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131"/>
      <c r="CT481" s="15"/>
      <c r="CU481" s="132"/>
      <c r="CV481" s="133"/>
      <c r="CW481" s="134"/>
      <c r="CX481" s="134"/>
      <c r="CY481" s="135"/>
      <c r="CZ481" s="136"/>
      <c r="DA481" s="137"/>
      <c r="DB481" s="137"/>
      <c r="DC481" s="3"/>
      <c r="DD481" s="138"/>
      <c r="DE481" s="2"/>
      <c r="DF481" s="139"/>
      <c r="DG481" s="3"/>
      <c r="DH481" s="3"/>
      <c r="DI481" s="3"/>
      <c r="DJ481" s="3"/>
      <c r="DK481" s="3"/>
      <c r="DL481" s="3"/>
      <c r="DM481" s="3"/>
      <c r="DN481" s="3"/>
      <c r="DO481" s="3"/>
      <c r="DP481" s="3"/>
      <c r="DQ481" s="131"/>
      <c r="DR481" s="15"/>
      <c r="DS481" s="132"/>
      <c r="DT481" s="133"/>
      <c r="DU481" s="134"/>
      <c r="DV481" s="134"/>
      <c r="DW481" s="135"/>
      <c r="DX481" s="136"/>
      <c r="DY481" s="137"/>
      <c r="DZ481" s="137"/>
      <c r="EA481" s="3"/>
      <c r="EB481" s="138"/>
      <c r="EC481" s="2"/>
      <c r="ED481" s="139"/>
      <c r="EE481" s="3"/>
      <c r="EF481" s="3"/>
      <c r="EG481" s="3"/>
      <c r="EH481" s="3"/>
      <c r="EI481" s="3"/>
      <c r="EJ481" s="3"/>
      <c r="EK481" s="3"/>
      <c r="EL481" s="3"/>
      <c r="EM481" s="3"/>
      <c r="EN481" s="3"/>
      <c r="EO481" s="131"/>
      <c r="EP481" s="15"/>
      <c r="EQ481" s="132"/>
      <c r="ER481" s="133"/>
      <c r="ES481" s="134"/>
      <c r="ET481" s="134"/>
      <c r="EU481" s="135"/>
      <c r="EV481" s="136"/>
      <c r="EW481" s="137"/>
      <c r="EX481" s="137"/>
      <c r="EY481" s="3"/>
      <c r="EZ481" s="138"/>
      <c r="FA481" s="2"/>
      <c r="FB481" s="139"/>
      <c r="FC481" s="3"/>
      <c r="FD481" s="3"/>
      <c r="FE481" s="3"/>
      <c r="FF481" s="3"/>
      <c r="FG481" s="3"/>
      <c r="FH481" s="3"/>
      <c r="FI481" s="3"/>
      <c r="FJ481" s="3"/>
      <c r="FK481" s="3"/>
      <c r="FL481" s="3"/>
      <c r="FM481" s="131"/>
      <c r="FN481" s="15"/>
      <c r="FO481" s="132"/>
      <c r="FP481" s="133"/>
      <c r="FQ481" s="134"/>
      <c r="FR481" s="134"/>
      <c r="FS481" s="135"/>
      <c r="FT481" s="136"/>
      <c r="FU481" s="137"/>
      <c r="FV481" s="137"/>
      <c r="FW481" s="3"/>
      <c r="FX481" s="138"/>
      <c r="FY481" s="2"/>
      <c r="FZ481" s="139"/>
      <c r="GA481" s="3"/>
      <c r="GB481" s="3"/>
      <c r="GC481" s="3"/>
      <c r="GD481" s="3"/>
      <c r="GE481" s="3"/>
      <c r="GF481" s="3"/>
      <c r="GG481" s="3"/>
      <c r="GH481" s="3"/>
      <c r="GI481" s="3"/>
      <c r="GJ481" s="3"/>
      <c r="GK481" s="131"/>
      <c r="GL481" s="15"/>
      <c r="GM481" s="132"/>
      <c r="GN481" s="133"/>
      <c r="GO481" s="134"/>
      <c r="GP481" s="134"/>
      <c r="GQ481" s="135"/>
      <c r="GR481" s="136"/>
      <c r="GS481" s="137"/>
      <c r="GT481" s="137"/>
      <c r="GU481" s="3"/>
      <c r="GV481" s="138"/>
      <c r="GW481" s="2"/>
      <c r="GX481" s="139"/>
      <c r="GY481" s="3"/>
      <c r="GZ481" s="3"/>
      <c r="HA481" s="3"/>
      <c r="HB481" s="3"/>
      <c r="HC481" s="3"/>
      <c r="HD481" s="3"/>
      <c r="HE481" s="3"/>
      <c r="HF481" s="3"/>
      <c r="HG481" s="3"/>
      <c r="HH481" s="3"/>
      <c r="HI481" s="131"/>
      <c r="HJ481" s="15"/>
      <c r="HK481" s="132"/>
      <c r="HL481" s="133"/>
      <c r="HM481" s="134"/>
      <c r="HN481" s="134"/>
      <c r="HO481" s="135"/>
      <c r="HP481" s="136"/>
      <c r="HQ481" s="137"/>
      <c r="HR481" s="137"/>
      <c r="HS481" s="3"/>
      <c r="HT481" s="138"/>
      <c r="HU481" s="2"/>
      <c r="HV481" s="139"/>
      <c r="HW481" s="3"/>
      <c r="HX481" s="3"/>
      <c r="HY481" s="3"/>
      <c r="HZ481" s="3"/>
      <c r="IA481" s="3"/>
      <c r="IB481" s="3"/>
      <c r="IC481" s="3"/>
      <c r="ID481" s="3"/>
      <c r="IE481" s="3"/>
      <c r="IF481" s="3"/>
      <c r="IG481" s="131"/>
      <c r="IH481" s="15"/>
      <c r="II481" s="132"/>
      <c r="IJ481" s="133"/>
      <c r="IK481" s="134"/>
      <c r="IL481" s="134"/>
      <c r="IM481" s="135"/>
      <c r="IN481" s="136"/>
      <c r="IO481" s="137"/>
      <c r="IP481" s="137"/>
      <c r="IQ481" s="3"/>
      <c r="IR481" s="138"/>
      <c r="IS481" s="2"/>
      <c r="IT481" s="139"/>
      <c r="IU481" s="3"/>
      <c r="IV481" s="3"/>
    </row>
    <row r="482" spans="1:256" s="125" customFormat="1" ht="13.5" customHeight="1">
      <c r="A482" s="84">
        <v>3</v>
      </c>
      <c r="B482" s="17">
        <v>43083</v>
      </c>
      <c r="C482" s="18"/>
      <c r="D482" s="198">
        <v>1</v>
      </c>
      <c r="E482" s="20" t="s">
        <v>285</v>
      </c>
      <c r="F482" s="168" t="s">
        <v>667</v>
      </c>
      <c r="G482" s="63">
        <v>1709</v>
      </c>
      <c r="H482" s="121">
        <v>1406000</v>
      </c>
      <c r="I482" s="24"/>
      <c r="J482" s="24">
        <f>SUM(H482)/1.05</f>
        <v>1339047.6190476189</v>
      </c>
      <c r="K482" s="199">
        <f t="shared" si="43"/>
        <v>1339047.6190476189</v>
      </c>
      <c r="L482" s="123">
        <v>1</v>
      </c>
      <c r="M482" s="24">
        <f t="shared" si="44"/>
        <v>1339047.6190476189</v>
      </c>
      <c r="N482" s="129">
        <f t="shared" si="45"/>
        <v>0</v>
      </c>
      <c r="O482" s="85" t="s">
        <v>665</v>
      </c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130"/>
      <c r="AB482" s="130"/>
      <c r="AC482" s="130"/>
      <c r="AD482" s="130"/>
      <c r="AE482" s="130"/>
      <c r="AF482" s="167"/>
      <c r="AG482" s="167"/>
      <c r="AH482" s="167"/>
      <c r="AY482" s="167"/>
      <c r="AZ482" s="167"/>
      <c r="BA482" s="167"/>
      <c r="BB482" s="167"/>
      <c r="BC482" s="167"/>
      <c r="BD482" s="167"/>
      <c r="BE482" s="167"/>
      <c r="BF482" s="167"/>
      <c r="BW482" s="167"/>
      <c r="BX482" s="167"/>
      <c r="BY482" s="167"/>
      <c r="BZ482" s="167"/>
      <c r="CA482" s="167"/>
      <c r="CB482" s="167"/>
      <c r="CC482" s="167"/>
      <c r="CD482" s="167"/>
      <c r="CU482" s="167"/>
      <c r="CV482" s="167"/>
      <c r="CW482" s="167"/>
      <c r="CX482" s="167"/>
      <c r="CY482" s="167"/>
      <c r="CZ482" s="167"/>
      <c r="DA482" s="167"/>
      <c r="DB482" s="167"/>
      <c r="DS482" s="167"/>
      <c r="DT482" s="167"/>
      <c r="DU482" s="167"/>
      <c r="DV482" s="167"/>
      <c r="DW482" s="167"/>
      <c r="DX482" s="167"/>
      <c r="DY482" s="167"/>
      <c r="DZ482" s="167"/>
      <c r="EQ482" s="167"/>
      <c r="ER482" s="167"/>
      <c r="ES482" s="167"/>
      <c r="ET482" s="167"/>
      <c r="EU482" s="167"/>
      <c r="EV482" s="167"/>
      <c r="EW482" s="167"/>
      <c r="EX482" s="167"/>
      <c r="FO482" s="167"/>
      <c r="FP482" s="167"/>
      <c r="FQ482" s="167"/>
      <c r="FR482" s="167"/>
      <c r="FS482" s="167"/>
      <c r="FT482" s="167"/>
      <c r="FU482" s="167"/>
      <c r="FV482" s="167"/>
      <c r="GM482" s="167"/>
      <c r="GN482" s="167"/>
      <c r="GO482" s="167"/>
      <c r="GP482" s="167"/>
      <c r="GQ482" s="167"/>
      <c r="GR482" s="167"/>
      <c r="GS482" s="167"/>
      <c r="GT482" s="167"/>
      <c r="HK482" s="167"/>
      <c r="HL482" s="167"/>
      <c r="HM482" s="167"/>
      <c r="HN482" s="167"/>
      <c r="HO482" s="167"/>
      <c r="HP482" s="167"/>
      <c r="HQ482" s="167"/>
      <c r="HR482" s="167"/>
      <c r="II482" s="167"/>
      <c r="IJ482" s="167"/>
      <c r="IK482" s="167"/>
      <c r="IL482" s="167"/>
      <c r="IM482" s="167"/>
      <c r="IN482" s="167"/>
      <c r="IO482" s="167"/>
      <c r="IP482" s="167"/>
    </row>
    <row r="483" spans="1:256" s="125" customFormat="1" ht="13.5" customHeight="1">
      <c r="A483" s="84">
        <v>4</v>
      </c>
      <c r="B483" s="29">
        <v>43097</v>
      </c>
      <c r="C483" s="18"/>
      <c r="D483" s="19" t="s">
        <v>284</v>
      </c>
      <c r="E483" s="20" t="s">
        <v>285</v>
      </c>
      <c r="F483" s="62" t="s">
        <v>668</v>
      </c>
      <c r="G483" s="63">
        <v>1711</v>
      </c>
      <c r="H483" s="121">
        <v>1406000</v>
      </c>
      <c r="I483" s="24"/>
      <c r="J483" s="24">
        <f>SUM(H483)/1.05</f>
        <v>1339047.6190476189</v>
      </c>
      <c r="K483" s="24">
        <f t="shared" si="43"/>
        <v>1339047.6190476189</v>
      </c>
      <c r="L483" s="123">
        <v>1</v>
      </c>
      <c r="M483" s="24">
        <f t="shared" si="44"/>
        <v>1339047.6190476189</v>
      </c>
      <c r="N483" s="129">
        <f t="shared" si="45"/>
        <v>0</v>
      </c>
      <c r="O483" s="85" t="s">
        <v>665</v>
      </c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130"/>
      <c r="AB483" s="130"/>
      <c r="AC483" s="130"/>
      <c r="AD483" s="130"/>
      <c r="AE483" s="130"/>
      <c r="AF483" s="130"/>
      <c r="AG483" s="130"/>
      <c r="AH483" s="130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130"/>
      <c r="AZ483" s="130"/>
      <c r="BA483" s="130"/>
      <c r="BB483" s="130"/>
      <c r="BC483" s="130"/>
      <c r="BD483" s="130"/>
      <c r="BE483" s="130"/>
      <c r="BF483" s="130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130"/>
      <c r="BX483" s="130"/>
      <c r="BY483" s="130"/>
      <c r="BZ483" s="130"/>
      <c r="CA483" s="130"/>
      <c r="CB483" s="130"/>
      <c r="CC483" s="130"/>
      <c r="CD483" s="130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130"/>
      <c r="CV483" s="130"/>
      <c r="CW483" s="130"/>
      <c r="CX483" s="130"/>
      <c r="CY483" s="130"/>
      <c r="CZ483" s="130"/>
      <c r="DA483" s="130"/>
      <c r="DB483" s="130"/>
      <c r="DC483" s="3"/>
      <c r="DD483" s="3"/>
      <c r="DE483" s="3"/>
      <c r="DF483" s="3"/>
      <c r="DG483" s="3"/>
      <c r="DH483" s="3"/>
      <c r="DI483" s="3"/>
      <c r="DJ483" s="3"/>
      <c r="DK483" s="3"/>
      <c r="DL483" s="3"/>
      <c r="DM483" s="3"/>
      <c r="DN483" s="3"/>
      <c r="DO483" s="3"/>
      <c r="DP483" s="3"/>
      <c r="DQ483" s="3"/>
      <c r="DR483" s="3"/>
      <c r="DS483" s="130"/>
      <c r="DT483" s="130"/>
      <c r="DU483" s="130"/>
      <c r="DV483" s="130"/>
      <c r="DW483" s="130"/>
      <c r="DX483" s="130"/>
      <c r="DY483" s="130"/>
      <c r="DZ483" s="130"/>
      <c r="EA483" s="3"/>
      <c r="EB483" s="3"/>
      <c r="EC483" s="3"/>
      <c r="ED483" s="3"/>
      <c r="EE483" s="3"/>
      <c r="EF483" s="3"/>
      <c r="EG483" s="3"/>
      <c r="EH483" s="3"/>
      <c r="EI483" s="3"/>
      <c r="EJ483" s="3"/>
      <c r="EK483" s="3"/>
      <c r="EL483" s="3"/>
      <c r="EM483" s="3"/>
      <c r="EN483" s="3"/>
      <c r="EO483" s="3"/>
      <c r="EP483" s="3"/>
      <c r="EQ483" s="130"/>
      <c r="ER483" s="130"/>
      <c r="ES483" s="130"/>
      <c r="ET483" s="130"/>
      <c r="EU483" s="130"/>
      <c r="EV483" s="130"/>
      <c r="EW483" s="130"/>
      <c r="EX483" s="130"/>
      <c r="EY483" s="3"/>
      <c r="EZ483" s="3"/>
      <c r="FA483" s="3"/>
      <c r="FB483" s="3"/>
      <c r="FC483" s="3"/>
      <c r="FD483" s="3"/>
      <c r="FE483" s="3"/>
      <c r="FF483" s="3"/>
      <c r="FG483" s="3"/>
      <c r="FH483" s="3"/>
      <c r="FI483" s="3"/>
      <c r="FJ483" s="3"/>
      <c r="FK483" s="3"/>
      <c r="FL483" s="3"/>
      <c r="FM483" s="3"/>
      <c r="FN483" s="3"/>
      <c r="FO483" s="130"/>
      <c r="FP483" s="130"/>
      <c r="FQ483" s="130"/>
      <c r="FR483" s="130"/>
      <c r="FS483" s="130"/>
      <c r="FT483" s="130"/>
      <c r="FU483" s="130"/>
      <c r="FV483" s="130"/>
      <c r="FW483" s="3"/>
      <c r="FX483" s="3"/>
      <c r="FY483" s="3"/>
      <c r="FZ483" s="3"/>
      <c r="GA483" s="3"/>
      <c r="GB483" s="3"/>
      <c r="GC483" s="3"/>
      <c r="GD483" s="3"/>
      <c r="GE483" s="3"/>
      <c r="GF483" s="3"/>
      <c r="GG483" s="3"/>
      <c r="GH483" s="3"/>
      <c r="GI483" s="3"/>
      <c r="GJ483" s="3"/>
      <c r="GK483" s="3"/>
      <c r="GL483" s="3"/>
      <c r="GM483" s="130"/>
      <c r="GN483" s="130"/>
      <c r="GO483" s="130"/>
      <c r="GP483" s="130"/>
      <c r="GQ483" s="130"/>
      <c r="GR483" s="130"/>
      <c r="GS483" s="130"/>
      <c r="GT483" s="130"/>
      <c r="GU483" s="3"/>
      <c r="GV483" s="3"/>
      <c r="GW483" s="3"/>
      <c r="GX483" s="3"/>
      <c r="GY483" s="3"/>
      <c r="GZ483" s="3"/>
      <c r="HA483" s="3"/>
      <c r="HB483" s="3"/>
      <c r="HC483" s="3"/>
      <c r="HD483" s="3"/>
      <c r="HE483" s="3"/>
      <c r="HF483" s="3"/>
      <c r="HG483" s="3"/>
      <c r="HH483" s="3"/>
      <c r="HI483" s="3"/>
      <c r="HJ483" s="3"/>
      <c r="HK483" s="130"/>
      <c r="HL483" s="130"/>
      <c r="HM483" s="130"/>
      <c r="HN483" s="130"/>
      <c r="HO483" s="130"/>
      <c r="HP483" s="130"/>
      <c r="HQ483" s="130"/>
      <c r="HR483" s="130"/>
      <c r="HS483" s="3"/>
      <c r="HT483" s="3"/>
      <c r="HU483" s="3"/>
      <c r="HV483" s="3"/>
      <c r="HW483" s="3"/>
      <c r="HX483" s="3"/>
      <c r="HY483" s="3"/>
      <c r="HZ483" s="3"/>
      <c r="IA483" s="3"/>
      <c r="IB483" s="3"/>
      <c r="IC483" s="3"/>
      <c r="ID483" s="3"/>
      <c r="IE483" s="3"/>
      <c r="IF483" s="3"/>
      <c r="IG483" s="3"/>
      <c r="IH483" s="3"/>
      <c r="II483" s="130"/>
      <c r="IJ483" s="130"/>
      <c r="IK483" s="130"/>
      <c r="IL483" s="130"/>
      <c r="IM483" s="130"/>
      <c r="IN483" s="130"/>
      <c r="IO483" s="130"/>
      <c r="IP483" s="130"/>
      <c r="IQ483" s="3"/>
      <c r="IR483" s="3"/>
      <c r="IS483" s="3"/>
      <c r="IT483" s="3"/>
      <c r="IU483" s="3"/>
      <c r="IV483" s="3"/>
    </row>
    <row r="484" spans="1:256" s="125" customFormat="1" ht="13.5" customHeight="1">
      <c r="A484" s="84">
        <v>5</v>
      </c>
      <c r="B484" s="17">
        <v>43084</v>
      </c>
      <c r="C484" s="18"/>
      <c r="D484" s="19" t="s">
        <v>284</v>
      </c>
      <c r="E484" s="20" t="s">
        <v>291</v>
      </c>
      <c r="F484" s="62" t="s">
        <v>669</v>
      </c>
      <c r="G484" s="63">
        <v>1709</v>
      </c>
      <c r="H484" s="121">
        <v>1212600</v>
      </c>
      <c r="I484" s="24"/>
      <c r="J484" s="24">
        <f>SUM(H484)/1.05</f>
        <v>1154857.1428571427</v>
      </c>
      <c r="K484" s="24">
        <f t="shared" si="43"/>
        <v>1154857.1428571427</v>
      </c>
      <c r="L484" s="123">
        <v>1</v>
      </c>
      <c r="M484" s="24">
        <f t="shared" si="44"/>
        <v>1154857.1428571427</v>
      </c>
      <c r="N484" s="129">
        <f t="shared" si="45"/>
        <v>0</v>
      </c>
      <c r="O484" s="85" t="s">
        <v>665</v>
      </c>
      <c r="P484" s="3"/>
      <c r="Q484" s="140"/>
      <c r="R484" s="3"/>
      <c r="S484" s="3"/>
      <c r="T484" s="3"/>
      <c r="U484" s="3"/>
      <c r="V484" s="3"/>
      <c r="W484" s="3"/>
      <c r="X484" s="3"/>
      <c r="Y484" s="3"/>
      <c r="Z484" s="3"/>
      <c r="AA484" s="130"/>
      <c r="AB484" s="130"/>
      <c r="AC484" s="130"/>
      <c r="AD484" s="130"/>
      <c r="AE484" s="130"/>
      <c r="AF484" s="167"/>
      <c r="AG484" s="167"/>
      <c r="AH484" s="167"/>
      <c r="AY484" s="167"/>
      <c r="AZ484" s="167"/>
      <c r="BA484" s="167"/>
      <c r="BB484" s="167"/>
      <c r="BC484" s="167"/>
      <c r="BD484" s="167"/>
      <c r="BE484" s="167"/>
      <c r="BF484" s="167"/>
      <c r="BW484" s="167"/>
      <c r="BX484" s="167"/>
      <c r="BY484" s="167"/>
      <c r="BZ484" s="167"/>
      <c r="CA484" s="167"/>
      <c r="CB484" s="167"/>
      <c r="CC484" s="167"/>
      <c r="CD484" s="167"/>
      <c r="CU484" s="167"/>
      <c r="CV484" s="167"/>
      <c r="CW484" s="167"/>
      <c r="CX484" s="167"/>
      <c r="CY484" s="167"/>
      <c r="CZ484" s="167"/>
      <c r="DA484" s="167"/>
      <c r="DB484" s="167"/>
      <c r="DS484" s="167"/>
      <c r="DT484" s="167"/>
      <c r="DU484" s="167"/>
      <c r="DV484" s="167"/>
      <c r="DW484" s="167"/>
      <c r="DX484" s="167"/>
      <c r="DY484" s="167"/>
      <c r="DZ484" s="167"/>
      <c r="EQ484" s="167"/>
      <c r="ER484" s="167"/>
      <c r="ES484" s="167"/>
      <c r="ET484" s="167"/>
      <c r="EU484" s="167"/>
      <c r="EV484" s="167"/>
      <c r="EW484" s="167"/>
      <c r="EX484" s="167"/>
      <c r="FO484" s="167"/>
      <c r="FP484" s="167"/>
      <c r="FQ484" s="167"/>
      <c r="FR484" s="167"/>
      <c r="FS484" s="167"/>
      <c r="FT484" s="167"/>
      <c r="FU484" s="167"/>
      <c r="FV484" s="167"/>
      <c r="GM484" s="167"/>
      <c r="GN484" s="167"/>
      <c r="GO484" s="167"/>
      <c r="GP484" s="167"/>
      <c r="GQ484" s="167"/>
      <c r="GR484" s="167"/>
      <c r="GS484" s="167"/>
      <c r="GT484" s="167"/>
      <c r="HK484" s="167"/>
      <c r="HL484" s="167"/>
      <c r="HM484" s="167"/>
      <c r="HN484" s="167"/>
      <c r="HO484" s="167"/>
      <c r="HP484" s="167"/>
      <c r="HQ484" s="167"/>
      <c r="HR484" s="167"/>
      <c r="II484" s="167"/>
      <c r="IJ484" s="167"/>
      <c r="IK484" s="167"/>
      <c r="IL484" s="167"/>
      <c r="IM484" s="167"/>
      <c r="IN484" s="167"/>
      <c r="IO484" s="167"/>
      <c r="IP484" s="167"/>
    </row>
    <row r="485" spans="1:256" s="125" customFormat="1" ht="13.5" customHeight="1">
      <c r="A485" s="84">
        <v>9</v>
      </c>
      <c r="B485" s="128">
        <v>43087</v>
      </c>
      <c r="C485" s="18"/>
      <c r="D485" s="19" t="s">
        <v>284</v>
      </c>
      <c r="E485" s="20" t="s">
        <v>291</v>
      </c>
      <c r="F485" s="82" t="s">
        <v>670</v>
      </c>
      <c r="G485" s="58">
        <v>1709</v>
      </c>
      <c r="H485" s="121">
        <v>1212600</v>
      </c>
      <c r="I485" s="24"/>
      <c r="J485" s="24">
        <f>SUM(H485)/1.05</f>
        <v>1154857.1428571427</v>
      </c>
      <c r="K485" s="24">
        <f t="shared" si="43"/>
        <v>1154857.1428571427</v>
      </c>
      <c r="L485" s="123">
        <v>1</v>
      </c>
      <c r="M485" s="24">
        <f t="shared" si="44"/>
        <v>1154857.1428571427</v>
      </c>
      <c r="N485" s="129">
        <f t="shared" si="45"/>
        <v>0</v>
      </c>
      <c r="O485" s="85" t="s">
        <v>665</v>
      </c>
      <c r="P485" s="3"/>
      <c r="Q485" s="140"/>
      <c r="R485" s="3"/>
      <c r="S485" s="3"/>
      <c r="T485" s="3"/>
      <c r="U485" s="3"/>
      <c r="V485" s="3"/>
      <c r="W485" s="3"/>
      <c r="X485" s="3"/>
      <c r="Y485" s="131"/>
      <c r="Z485" s="15"/>
      <c r="AA485" s="99"/>
      <c r="AB485" s="149"/>
      <c r="AC485" s="134"/>
      <c r="AD485" s="134"/>
      <c r="AE485" s="137"/>
      <c r="AF485" s="150"/>
      <c r="AG485" s="137"/>
      <c r="AH485" s="137"/>
      <c r="AI485" s="3"/>
      <c r="AJ485" s="138"/>
      <c r="AK485" s="2"/>
      <c r="AL485" s="139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131"/>
      <c r="AX485" s="15"/>
      <c r="AY485" s="99"/>
      <c r="AZ485" s="149"/>
      <c r="BA485" s="134"/>
      <c r="BB485" s="134"/>
      <c r="BC485" s="137"/>
      <c r="BD485" s="150"/>
      <c r="BE485" s="137"/>
      <c r="BF485" s="137"/>
      <c r="BG485" s="3"/>
      <c r="BH485" s="138"/>
      <c r="BI485" s="2"/>
      <c r="BJ485" s="139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131"/>
      <c r="BV485" s="15"/>
      <c r="BW485" s="99"/>
      <c r="BX485" s="149"/>
      <c r="BY485" s="134"/>
      <c r="BZ485" s="134"/>
      <c r="CA485" s="137"/>
      <c r="CB485" s="150"/>
      <c r="CC485" s="137"/>
      <c r="CD485" s="137"/>
      <c r="CE485" s="3"/>
      <c r="CF485" s="138"/>
      <c r="CG485" s="2"/>
      <c r="CH485" s="139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131"/>
      <c r="CT485" s="15"/>
      <c r="CU485" s="99"/>
      <c r="CV485" s="149"/>
      <c r="CW485" s="134"/>
      <c r="CX485" s="134"/>
      <c r="CY485" s="137"/>
      <c r="CZ485" s="150"/>
      <c r="DA485" s="137"/>
      <c r="DB485" s="137"/>
      <c r="DC485" s="3"/>
      <c r="DD485" s="138"/>
      <c r="DE485" s="2"/>
      <c r="DF485" s="139"/>
      <c r="DG485" s="3"/>
      <c r="DH485" s="3"/>
      <c r="DI485" s="3"/>
      <c r="DJ485" s="3"/>
      <c r="DK485" s="3"/>
      <c r="DL485" s="3"/>
      <c r="DM485" s="3"/>
      <c r="DN485" s="3"/>
      <c r="DO485" s="3"/>
      <c r="DP485" s="3"/>
      <c r="DQ485" s="131"/>
      <c r="DR485" s="15"/>
      <c r="DS485" s="99"/>
      <c r="DT485" s="149"/>
      <c r="DU485" s="134"/>
      <c r="DV485" s="134"/>
      <c r="DW485" s="137"/>
      <c r="DX485" s="150"/>
      <c r="DY485" s="137"/>
      <c r="DZ485" s="137"/>
      <c r="EA485" s="3"/>
      <c r="EB485" s="138"/>
      <c r="EC485" s="2"/>
      <c r="ED485" s="139"/>
      <c r="EE485" s="3"/>
      <c r="EF485" s="3"/>
      <c r="EG485" s="3"/>
      <c r="EH485" s="3"/>
      <c r="EI485" s="3"/>
      <c r="EJ485" s="3"/>
      <c r="EK485" s="3"/>
      <c r="EL485" s="3"/>
      <c r="EM485" s="3"/>
      <c r="EN485" s="3"/>
      <c r="EO485" s="131"/>
      <c r="EP485" s="15"/>
      <c r="EQ485" s="99"/>
      <c r="ER485" s="149"/>
      <c r="ES485" s="134"/>
      <c r="ET485" s="134"/>
      <c r="EU485" s="137"/>
      <c r="EV485" s="150"/>
      <c r="EW485" s="137"/>
      <c r="EX485" s="137"/>
      <c r="EY485" s="3"/>
      <c r="EZ485" s="138"/>
      <c r="FA485" s="2"/>
      <c r="FB485" s="139"/>
      <c r="FC485" s="3"/>
      <c r="FD485" s="3"/>
      <c r="FE485" s="3"/>
      <c r="FF485" s="3"/>
      <c r="FG485" s="3"/>
      <c r="FH485" s="3"/>
      <c r="FI485" s="3"/>
      <c r="FJ485" s="3"/>
      <c r="FK485" s="3"/>
      <c r="FL485" s="3"/>
      <c r="FM485" s="131"/>
      <c r="FN485" s="15"/>
      <c r="FO485" s="99"/>
      <c r="FP485" s="149"/>
      <c r="FQ485" s="134"/>
      <c r="FR485" s="134"/>
      <c r="FS485" s="137"/>
      <c r="FT485" s="150"/>
      <c r="FU485" s="137"/>
      <c r="FV485" s="137"/>
      <c r="FW485" s="3"/>
      <c r="FX485" s="138"/>
      <c r="FY485" s="2"/>
      <c r="FZ485" s="139"/>
      <c r="GA485" s="3"/>
      <c r="GB485" s="3"/>
      <c r="GC485" s="3"/>
      <c r="GD485" s="3"/>
      <c r="GE485" s="3"/>
      <c r="GF485" s="3"/>
      <c r="GG485" s="3"/>
      <c r="GH485" s="3"/>
      <c r="GI485" s="3"/>
      <c r="GJ485" s="3"/>
      <c r="GK485" s="131"/>
      <c r="GL485" s="15"/>
      <c r="GM485" s="99"/>
      <c r="GN485" s="149"/>
      <c r="GO485" s="134"/>
      <c r="GP485" s="134"/>
      <c r="GQ485" s="137"/>
      <c r="GR485" s="150"/>
      <c r="GS485" s="137"/>
      <c r="GT485" s="137"/>
      <c r="GU485" s="3"/>
      <c r="GV485" s="138"/>
      <c r="GW485" s="2"/>
      <c r="GX485" s="139"/>
      <c r="GY485" s="3"/>
      <c r="GZ485" s="3"/>
      <c r="HA485" s="3"/>
      <c r="HB485" s="3"/>
      <c r="HC485" s="3"/>
      <c r="HD485" s="3"/>
      <c r="HE485" s="3"/>
      <c r="HF485" s="3"/>
      <c r="HG485" s="3"/>
      <c r="HH485" s="3"/>
      <c r="HI485" s="131"/>
      <c r="HJ485" s="15"/>
      <c r="HK485" s="99"/>
      <c r="HL485" s="149"/>
      <c r="HM485" s="134"/>
      <c r="HN485" s="134"/>
      <c r="HO485" s="137"/>
      <c r="HP485" s="150"/>
      <c r="HQ485" s="137"/>
      <c r="HR485" s="137"/>
      <c r="HS485" s="3"/>
      <c r="HT485" s="138"/>
      <c r="HU485" s="2"/>
      <c r="HV485" s="139"/>
      <c r="HW485" s="3"/>
      <c r="HX485" s="3"/>
      <c r="HY485" s="3"/>
      <c r="HZ485" s="3"/>
      <c r="IA485" s="3"/>
      <c r="IB485" s="3"/>
      <c r="IC485" s="3"/>
      <c r="ID485" s="3"/>
      <c r="IE485" s="3"/>
      <c r="IF485" s="3"/>
      <c r="IG485" s="131"/>
      <c r="IH485" s="15"/>
      <c r="II485" s="99"/>
      <c r="IJ485" s="149"/>
      <c r="IK485" s="134"/>
      <c r="IL485" s="134"/>
      <c r="IM485" s="137"/>
      <c r="IN485" s="150"/>
      <c r="IO485" s="137"/>
      <c r="IP485" s="137"/>
      <c r="IQ485" s="3"/>
      <c r="IR485" s="138"/>
      <c r="IS485" s="2"/>
      <c r="IT485" s="139"/>
      <c r="IU485" s="3"/>
      <c r="IV485" s="3"/>
    </row>
    <row r="486" spans="1:256" s="125" customFormat="1" ht="13.5" customHeight="1">
      <c r="A486" s="84">
        <v>7</v>
      </c>
      <c r="B486" s="17">
        <v>43066</v>
      </c>
      <c r="C486" s="18"/>
      <c r="D486" s="19" t="s">
        <v>284</v>
      </c>
      <c r="E486" s="20" t="s">
        <v>291</v>
      </c>
      <c r="F486" s="82" t="s">
        <v>671</v>
      </c>
      <c r="G486" s="58">
        <v>1709</v>
      </c>
      <c r="H486" s="121">
        <v>1212600</v>
      </c>
      <c r="I486" s="24">
        <v>1154857</v>
      </c>
      <c r="J486" s="24"/>
      <c r="K486" s="24">
        <f t="shared" si="43"/>
        <v>1154857</v>
      </c>
      <c r="L486" s="123">
        <v>1</v>
      </c>
      <c r="M486" s="24">
        <f t="shared" si="44"/>
        <v>1154857</v>
      </c>
      <c r="N486" s="129">
        <f t="shared" si="45"/>
        <v>0</v>
      </c>
      <c r="O486" s="85" t="s">
        <v>665</v>
      </c>
      <c r="P486" s="3"/>
      <c r="Q486" s="140"/>
      <c r="R486" s="3"/>
      <c r="S486" s="3"/>
      <c r="T486" s="3"/>
      <c r="U486" s="3"/>
      <c r="V486" s="3"/>
      <c r="W486" s="3"/>
      <c r="X486" s="3"/>
      <c r="Y486" s="131"/>
      <c r="Z486" s="15"/>
      <c r="AA486" s="99"/>
      <c r="AB486" s="149"/>
      <c r="AC486" s="134"/>
      <c r="AD486" s="134"/>
      <c r="AE486" s="137"/>
      <c r="AF486" s="150"/>
      <c r="AG486" s="137"/>
      <c r="AH486" s="137"/>
      <c r="AI486" s="3"/>
      <c r="AJ486" s="138"/>
      <c r="AK486" s="2"/>
      <c r="AL486" s="139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131"/>
      <c r="AX486" s="15"/>
      <c r="AY486" s="99"/>
      <c r="AZ486" s="149"/>
      <c r="BA486" s="134"/>
      <c r="BB486" s="134"/>
      <c r="BC486" s="137"/>
      <c r="BD486" s="150"/>
      <c r="BE486" s="137"/>
      <c r="BF486" s="137"/>
      <c r="BG486" s="3"/>
      <c r="BH486" s="138"/>
      <c r="BI486" s="2"/>
      <c r="BJ486" s="139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131"/>
      <c r="BV486" s="15"/>
      <c r="BW486" s="99"/>
      <c r="BX486" s="149"/>
      <c r="BY486" s="134"/>
      <c r="BZ486" s="134"/>
      <c r="CA486" s="137"/>
      <c r="CB486" s="150"/>
      <c r="CC486" s="137"/>
      <c r="CD486" s="137"/>
      <c r="CE486" s="3"/>
      <c r="CF486" s="138"/>
      <c r="CG486" s="2"/>
      <c r="CH486" s="139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131"/>
      <c r="CT486" s="15"/>
      <c r="CU486" s="99"/>
      <c r="CV486" s="149"/>
      <c r="CW486" s="134"/>
      <c r="CX486" s="134"/>
      <c r="CY486" s="137"/>
      <c r="CZ486" s="150"/>
      <c r="DA486" s="137"/>
      <c r="DB486" s="137"/>
      <c r="DC486" s="3"/>
      <c r="DD486" s="138"/>
      <c r="DE486" s="2"/>
      <c r="DF486" s="139"/>
      <c r="DG486" s="3"/>
      <c r="DH486" s="3"/>
      <c r="DI486" s="3"/>
      <c r="DJ486" s="3"/>
      <c r="DK486" s="3"/>
      <c r="DL486" s="3"/>
      <c r="DM486" s="3"/>
      <c r="DN486" s="3"/>
      <c r="DO486" s="3"/>
      <c r="DP486" s="3"/>
      <c r="DQ486" s="131"/>
      <c r="DR486" s="15"/>
      <c r="DS486" s="99"/>
      <c r="DT486" s="149"/>
      <c r="DU486" s="134"/>
      <c r="DV486" s="134"/>
      <c r="DW486" s="137"/>
      <c r="DX486" s="150"/>
      <c r="DY486" s="137"/>
      <c r="DZ486" s="137"/>
      <c r="EA486" s="3"/>
      <c r="EB486" s="138"/>
      <c r="EC486" s="2"/>
      <c r="ED486" s="139"/>
      <c r="EE486" s="3"/>
      <c r="EF486" s="3"/>
      <c r="EG486" s="3"/>
      <c r="EH486" s="3"/>
      <c r="EI486" s="3"/>
      <c r="EJ486" s="3"/>
      <c r="EK486" s="3"/>
      <c r="EL486" s="3"/>
      <c r="EM486" s="3"/>
      <c r="EN486" s="3"/>
      <c r="EO486" s="131"/>
      <c r="EP486" s="15"/>
      <c r="EQ486" s="99"/>
      <c r="ER486" s="149"/>
      <c r="ES486" s="134"/>
      <c r="ET486" s="134"/>
      <c r="EU486" s="137"/>
      <c r="EV486" s="150"/>
      <c r="EW486" s="137"/>
      <c r="EX486" s="137"/>
      <c r="EY486" s="3"/>
      <c r="EZ486" s="138"/>
      <c r="FA486" s="2"/>
      <c r="FB486" s="139"/>
      <c r="FC486" s="3"/>
      <c r="FD486" s="3"/>
      <c r="FE486" s="3"/>
      <c r="FF486" s="3"/>
      <c r="FG486" s="3"/>
      <c r="FH486" s="3"/>
      <c r="FI486" s="3"/>
      <c r="FJ486" s="3"/>
      <c r="FK486" s="3"/>
      <c r="FL486" s="3"/>
      <c r="FM486" s="131"/>
      <c r="FN486" s="15"/>
      <c r="FO486" s="99"/>
      <c r="FP486" s="149"/>
      <c r="FQ486" s="134"/>
      <c r="FR486" s="134"/>
      <c r="FS486" s="137"/>
      <c r="FT486" s="150"/>
      <c r="FU486" s="137"/>
      <c r="FV486" s="137"/>
      <c r="FW486" s="3"/>
      <c r="FX486" s="138"/>
      <c r="FY486" s="2"/>
      <c r="FZ486" s="139"/>
      <c r="GA486" s="3"/>
      <c r="GB486" s="3"/>
      <c r="GC486" s="3"/>
      <c r="GD486" s="3"/>
      <c r="GE486" s="3"/>
      <c r="GF486" s="3"/>
      <c r="GG486" s="3"/>
      <c r="GH486" s="3"/>
      <c r="GI486" s="3"/>
      <c r="GJ486" s="3"/>
      <c r="GK486" s="131"/>
      <c r="GL486" s="15"/>
      <c r="GM486" s="99"/>
      <c r="GN486" s="149"/>
      <c r="GO486" s="134"/>
      <c r="GP486" s="134"/>
      <c r="GQ486" s="137"/>
      <c r="GR486" s="150"/>
      <c r="GS486" s="137"/>
      <c r="GT486" s="137"/>
      <c r="GU486" s="3"/>
      <c r="GV486" s="138"/>
      <c r="GW486" s="2"/>
      <c r="GX486" s="139"/>
      <c r="GY486" s="3"/>
      <c r="GZ486" s="3"/>
      <c r="HA486" s="3"/>
      <c r="HB486" s="3"/>
      <c r="HC486" s="3"/>
      <c r="HD486" s="3"/>
      <c r="HE486" s="3"/>
      <c r="HF486" s="3"/>
      <c r="HG486" s="3"/>
      <c r="HH486" s="3"/>
      <c r="HI486" s="131"/>
      <c r="HJ486" s="15"/>
      <c r="HK486" s="99"/>
      <c r="HL486" s="149"/>
      <c r="HM486" s="134"/>
      <c r="HN486" s="134"/>
      <c r="HO486" s="137"/>
      <c r="HP486" s="150"/>
      <c r="HQ486" s="137"/>
      <c r="HR486" s="137"/>
      <c r="HS486" s="3"/>
      <c r="HT486" s="138"/>
      <c r="HU486" s="2"/>
      <c r="HV486" s="139"/>
      <c r="HW486" s="3"/>
      <c r="HX486" s="3"/>
      <c r="HY486" s="3"/>
      <c r="HZ486" s="3"/>
      <c r="IA486" s="3"/>
      <c r="IB486" s="3"/>
      <c r="IC486" s="3"/>
      <c r="ID486" s="3"/>
      <c r="IE486" s="3"/>
      <c r="IF486" s="3"/>
      <c r="IG486" s="131"/>
      <c r="IH486" s="15"/>
      <c r="II486" s="99"/>
      <c r="IJ486" s="149"/>
      <c r="IK486" s="134"/>
      <c r="IL486" s="134"/>
      <c r="IM486" s="137"/>
      <c r="IN486" s="150"/>
      <c r="IO486" s="137"/>
      <c r="IP486" s="137"/>
      <c r="IQ486" s="3"/>
      <c r="IR486" s="138"/>
      <c r="IS486" s="2"/>
      <c r="IT486" s="139"/>
      <c r="IU486" s="3"/>
      <c r="IV486" s="3"/>
    </row>
    <row r="487" spans="1:256" s="125" customFormat="1" ht="13.5" customHeight="1">
      <c r="A487" s="84">
        <v>8</v>
      </c>
      <c r="B487" s="29">
        <v>43041</v>
      </c>
      <c r="C487" s="18"/>
      <c r="D487" s="19" t="s">
        <v>284</v>
      </c>
      <c r="E487" s="20" t="s">
        <v>291</v>
      </c>
      <c r="F487" s="82" t="s">
        <v>672</v>
      </c>
      <c r="G487" s="63">
        <v>1708</v>
      </c>
      <c r="H487" s="121">
        <v>1212600</v>
      </c>
      <c r="I487" s="24">
        <v>1154857</v>
      </c>
      <c r="J487" s="24"/>
      <c r="K487" s="24">
        <f t="shared" si="43"/>
        <v>1154857</v>
      </c>
      <c r="L487" s="123">
        <v>1</v>
      </c>
      <c r="M487" s="24">
        <f t="shared" si="44"/>
        <v>1154857</v>
      </c>
      <c r="N487" s="129">
        <f t="shared" si="45"/>
        <v>0</v>
      </c>
      <c r="O487" s="85" t="s">
        <v>665</v>
      </c>
      <c r="P487" s="3"/>
      <c r="Q487" s="140"/>
      <c r="R487" s="3"/>
      <c r="S487" s="3"/>
      <c r="T487" s="3"/>
      <c r="U487" s="3"/>
      <c r="V487" s="3"/>
      <c r="W487" s="3"/>
      <c r="X487" s="3"/>
      <c r="Y487" s="131"/>
      <c r="Z487" s="15"/>
      <c r="AA487" s="99"/>
      <c r="AB487" s="149"/>
      <c r="AC487" s="134"/>
      <c r="AD487" s="134"/>
      <c r="AE487" s="137"/>
      <c r="AF487" s="150"/>
      <c r="AG487" s="137"/>
      <c r="AH487" s="137"/>
      <c r="AI487" s="3"/>
      <c r="AJ487" s="138"/>
      <c r="AK487" s="2"/>
      <c r="AL487" s="139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131"/>
      <c r="AX487" s="15"/>
      <c r="AY487" s="99"/>
      <c r="AZ487" s="149"/>
      <c r="BA487" s="134"/>
      <c r="BB487" s="134"/>
      <c r="BC487" s="137"/>
      <c r="BD487" s="150"/>
      <c r="BE487" s="137"/>
      <c r="BF487" s="137"/>
      <c r="BG487" s="3"/>
      <c r="BH487" s="138"/>
      <c r="BI487" s="2"/>
      <c r="BJ487" s="139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131"/>
      <c r="BV487" s="15"/>
      <c r="BW487" s="99"/>
      <c r="BX487" s="149"/>
      <c r="BY487" s="134"/>
      <c r="BZ487" s="134"/>
      <c r="CA487" s="137"/>
      <c r="CB487" s="150"/>
      <c r="CC487" s="137"/>
      <c r="CD487" s="137"/>
      <c r="CE487" s="3"/>
      <c r="CF487" s="138"/>
      <c r="CG487" s="2"/>
      <c r="CH487" s="139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131"/>
      <c r="CT487" s="15"/>
      <c r="CU487" s="99"/>
      <c r="CV487" s="149"/>
      <c r="CW487" s="134"/>
      <c r="CX487" s="134"/>
      <c r="CY487" s="137"/>
      <c r="CZ487" s="150"/>
      <c r="DA487" s="137"/>
      <c r="DB487" s="137"/>
      <c r="DC487" s="3"/>
      <c r="DD487" s="138"/>
      <c r="DE487" s="2"/>
      <c r="DF487" s="139"/>
      <c r="DG487" s="3"/>
      <c r="DH487" s="3"/>
      <c r="DI487" s="3"/>
      <c r="DJ487" s="3"/>
      <c r="DK487" s="3"/>
      <c r="DL487" s="3"/>
      <c r="DM487" s="3"/>
      <c r="DN487" s="3"/>
      <c r="DO487" s="3"/>
      <c r="DP487" s="3"/>
      <c r="DQ487" s="131"/>
      <c r="DR487" s="15"/>
      <c r="DS487" s="99"/>
      <c r="DT487" s="149"/>
      <c r="DU487" s="134"/>
      <c r="DV487" s="134"/>
      <c r="DW487" s="137"/>
      <c r="DX487" s="150"/>
      <c r="DY487" s="137"/>
      <c r="DZ487" s="137"/>
      <c r="EA487" s="3"/>
      <c r="EB487" s="138"/>
      <c r="EC487" s="2"/>
      <c r="ED487" s="139"/>
      <c r="EE487" s="3"/>
      <c r="EF487" s="3"/>
      <c r="EG487" s="3"/>
      <c r="EH487" s="3"/>
      <c r="EI487" s="3"/>
      <c r="EJ487" s="3"/>
      <c r="EK487" s="3"/>
      <c r="EL487" s="3"/>
      <c r="EM487" s="3"/>
      <c r="EN487" s="3"/>
      <c r="EO487" s="131"/>
      <c r="EP487" s="15"/>
      <c r="EQ487" s="99"/>
      <c r="ER487" s="149"/>
      <c r="ES487" s="134"/>
      <c r="ET487" s="134"/>
      <c r="EU487" s="137"/>
      <c r="EV487" s="150"/>
      <c r="EW487" s="137"/>
      <c r="EX487" s="137"/>
      <c r="EY487" s="3"/>
      <c r="EZ487" s="138"/>
      <c r="FA487" s="2"/>
      <c r="FB487" s="139"/>
      <c r="FC487" s="3"/>
      <c r="FD487" s="3"/>
      <c r="FE487" s="3"/>
      <c r="FF487" s="3"/>
      <c r="FG487" s="3"/>
      <c r="FH487" s="3"/>
      <c r="FI487" s="3"/>
      <c r="FJ487" s="3"/>
      <c r="FK487" s="3"/>
      <c r="FL487" s="3"/>
      <c r="FM487" s="131"/>
      <c r="FN487" s="15"/>
      <c r="FO487" s="99"/>
      <c r="FP487" s="149"/>
      <c r="FQ487" s="134"/>
      <c r="FR487" s="134"/>
      <c r="FS487" s="137"/>
      <c r="FT487" s="150"/>
      <c r="FU487" s="137"/>
      <c r="FV487" s="137"/>
      <c r="FW487" s="3"/>
      <c r="FX487" s="138"/>
      <c r="FY487" s="2"/>
      <c r="FZ487" s="139"/>
      <c r="GA487" s="3"/>
      <c r="GB487" s="3"/>
      <c r="GC487" s="3"/>
      <c r="GD487" s="3"/>
      <c r="GE487" s="3"/>
      <c r="GF487" s="3"/>
      <c r="GG487" s="3"/>
      <c r="GH487" s="3"/>
      <c r="GI487" s="3"/>
      <c r="GJ487" s="3"/>
      <c r="GK487" s="131"/>
      <c r="GL487" s="15"/>
      <c r="GM487" s="99"/>
      <c r="GN487" s="149"/>
      <c r="GO487" s="134"/>
      <c r="GP487" s="134"/>
      <c r="GQ487" s="137"/>
      <c r="GR487" s="150"/>
      <c r="GS487" s="137"/>
      <c r="GT487" s="137"/>
      <c r="GU487" s="3"/>
      <c r="GV487" s="138"/>
      <c r="GW487" s="2"/>
      <c r="GX487" s="139"/>
      <c r="GY487" s="3"/>
      <c r="GZ487" s="3"/>
      <c r="HA487" s="3"/>
      <c r="HB487" s="3"/>
      <c r="HC487" s="3"/>
      <c r="HD487" s="3"/>
      <c r="HE487" s="3"/>
      <c r="HF487" s="3"/>
      <c r="HG487" s="3"/>
      <c r="HH487" s="3"/>
      <c r="HI487" s="131"/>
      <c r="HJ487" s="15"/>
      <c r="HK487" s="99"/>
      <c r="HL487" s="149"/>
      <c r="HM487" s="134"/>
      <c r="HN487" s="134"/>
      <c r="HO487" s="137"/>
      <c r="HP487" s="150"/>
      <c r="HQ487" s="137"/>
      <c r="HR487" s="137"/>
      <c r="HS487" s="3"/>
      <c r="HT487" s="138"/>
      <c r="HU487" s="2"/>
      <c r="HV487" s="139"/>
      <c r="HW487" s="3"/>
      <c r="HX487" s="3"/>
      <c r="HY487" s="3"/>
      <c r="HZ487" s="3"/>
      <c r="IA487" s="3"/>
      <c r="IB487" s="3"/>
      <c r="IC487" s="3"/>
      <c r="ID487" s="3"/>
      <c r="IE487" s="3"/>
      <c r="IF487" s="3"/>
      <c r="IG487" s="131"/>
      <c r="IH487" s="15"/>
      <c r="II487" s="99"/>
      <c r="IJ487" s="149"/>
      <c r="IK487" s="134"/>
      <c r="IL487" s="134"/>
      <c r="IM487" s="137"/>
      <c r="IN487" s="150"/>
      <c r="IO487" s="137"/>
      <c r="IP487" s="137"/>
      <c r="IQ487" s="3"/>
      <c r="IR487" s="138"/>
      <c r="IS487" s="2"/>
      <c r="IT487" s="139"/>
      <c r="IU487" s="3"/>
      <c r="IV487" s="3"/>
    </row>
    <row r="488" spans="1:256" s="125" customFormat="1" ht="13.5" customHeight="1">
      <c r="A488" s="84">
        <v>9</v>
      </c>
      <c r="B488" s="29">
        <v>43062</v>
      </c>
      <c r="C488" s="18"/>
      <c r="D488" s="19" t="s">
        <v>284</v>
      </c>
      <c r="E488" s="20" t="s">
        <v>295</v>
      </c>
      <c r="F488" s="82" t="s">
        <v>673</v>
      </c>
      <c r="G488" s="63">
        <v>1709</v>
      </c>
      <c r="H488" s="121">
        <f>50000+1567500</f>
        <v>1617500</v>
      </c>
      <c r="I488" s="24">
        <v>1540476</v>
      </c>
      <c r="J488" s="24"/>
      <c r="K488" s="24">
        <f t="shared" si="43"/>
        <v>1540476</v>
      </c>
      <c r="L488" s="123">
        <v>1</v>
      </c>
      <c r="M488" s="24">
        <f t="shared" si="44"/>
        <v>1540476</v>
      </c>
      <c r="N488" s="129">
        <f t="shared" si="45"/>
        <v>0</v>
      </c>
      <c r="O488" s="85" t="s">
        <v>665</v>
      </c>
      <c r="P488" s="3"/>
      <c r="Q488" s="140"/>
      <c r="R488" s="3"/>
      <c r="S488" s="3"/>
      <c r="T488" s="3"/>
      <c r="U488" s="3"/>
      <c r="V488" s="3"/>
      <c r="W488" s="3"/>
      <c r="X488" s="3"/>
      <c r="Y488" s="131"/>
      <c r="Z488" s="15"/>
      <c r="AA488" s="99"/>
      <c r="AB488" s="149"/>
      <c r="AC488" s="134"/>
      <c r="AD488" s="134"/>
      <c r="AE488" s="137"/>
      <c r="AF488" s="150"/>
      <c r="AG488" s="137"/>
      <c r="AH488" s="137"/>
      <c r="AI488" s="3"/>
      <c r="AJ488" s="138"/>
      <c r="AK488" s="2"/>
      <c r="AL488" s="139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131"/>
      <c r="AX488" s="15"/>
      <c r="AY488" s="99"/>
      <c r="AZ488" s="149"/>
      <c r="BA488" s="134"/>
      <c r="BB488" s="134"/>
      <c r="BC488" s="137"/>
      <c r="BD488" s="150"/>
      <c r="BE488" s="137"/>
      <c r="BF488" s="137"/>
      <c r="BG488" s="3"/>
      <c r="BH488" s="138"/>
      <c r="BI488" s="2"/>
      <c r="BJ488" s="139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131"/>
      <c r="BV488" s="15"/>
      <c r="BW488" s="99"/>
      <c r="BX488" s="149"/>
      <c r="BY488" s="134"/>
      <c r="BZ488" s="134"/>
      <c r="CA488" s="137"/>
      <c r="CB488" s="150"/>
      <c r="CC488" s="137"/>
      <c r="CD488" s="137"/>
      <c r="CE488" s="3"/>
      <c r="CF488" s="138"/>
      <c r="CG488" s="2"/>
      <c r="CH488" s="139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131"/>
      <c r="CT488" s="15"/>
      <c r="CU488" s="99"/>
      <c r="CV488" s="149"/>
      <c r="CW488" s="134"/>
      <c r="CX488" s="134"/>
      <c r="CY488" s="137"/>
      <c r="CZ488" s="150"/>
      <c r="DA488" s="137"/>
      <c r="DB488" s="137"/>
      <c r="DC488" s="3"/>
      <c r="DD488" s="138"/>
      <c r="DE488" s="2"/>
      <c r="DF488" s="139"/>
      <c r="DG488" s="3"/>
      <c r="DH488" s="3"/>
      <c r="DI488" s="3"/>
      <c r="DJ488" s="3"/>
      <c r="DK488" s="3"/>
      <c r="DL488" s="3"/>
      <c r="DM488" s="3"/>
      <c r="DN488" s="3"/>
      <c r="DO488" s="3"/>
      <c r="DP488" s="3"/>
      <c r="DQ488" s="131"/>
      <c r="DR488" s="15"/>
      <c r="DS488" s="99"/>
      <c r="DT488" s="149"/>
      <c r="DU488" s="134"/>
      <c r="DV488" s="134"/>
      <c r="DW488" s="137"/>
      <c r="DX488" s="150"/>
      <c r="DY488" s="137"/>
      <c r="DZ488" s="137"/>
      <c r="EA488" s="3"/>
      <c r="EB488" s="138"/>
      <c r="EC488" s="2"/>
      <c r="ED488" s="139"/>
      <c r="EE488" s="3"/>
      <c r="EF488" s="3"/>
      <c r="EG488" s="3"/>
      <c r="EH488" s="3"/>
      <c r="EI488" s="3"/>
      <c r="EJ488" s="3"/>
      <c r="EK488" s="3"/>
      <c r="EL488" s="3"/>
      <c r="EM488" s="3"/>
      <c r="EN488" s="3"/>
      <c r="EO488" s="131"/>
      <c r="EP488" s="15"/>
      <c r="EQ488" s="99"/>
      <c r="ER488" s="149"/>
      <c r="ES488" s="134"/>
      <c r="ET488" s="134"/>
      <c r="EU488" s="137"/>
      <c r="EV488" s="150"/>
      <c r="EW488" s="137"/>
      <c r="EX488" s="137"/>
      <c r="EY488" s="3"/>
      <c r="EZ488" s="138"/>
      <c r="FA488" s="2"/>
      <c r="FB488" s="139"/>
      <c r="FC488" s="3"/>
      <c r="FD488" s="3"/>
      <c r="FE488" s="3"/>
      <c r="FF488" s="3"/>
      <c r="FG488" s="3"/>
      <c r="FH488" s="3"/>
      <c r="FI488" s="3"/>
      <c r="FJ488" s="3"/>
      <c r="FK488" s="3"/>
      <c r="FL488" s="3"/>
      <c r="FM488" s="131"/>
      <c r="FN488" s="15"/>
      <c r="FO488" s="99"/>
      <c r="FP488" s="149"/>
      <c r="FQ488" s="134"/>
      <c r="FR488" s="134"/>
      <c r="FS488" s="137"/>
      <c r="FT488" s="150"/>
      <c r="FU488" s="137"/>
      <c r="FV488" s="137"/>
      <c r="FW488" s="3"/>
      <c r="FX488" s="138"/>
      <c r="FY488" s="2"/>
      <c r="FZ488" s="139"/>
      <c r="GA488" s="3"/>
      <c r="GB488" s="3"/>
      <c r="GC488" s="3"/>
      <c r="GD488" s="3"/>
      <c r="GE488" s="3"/>
      <c r="GF488" s="3"/>
      <c r="GG488" s="3"/>
      <c r="GH488" s="3"/>
      <c r="GI488" s="3"/>
      <c r="GJ488" s="3"/>
      <c r="GK488" s="131"/>
      <c r="GL488" s="15"/>
      <c r="GM488" s="99"/>
      <c r="GN488" s="149"/>
      <c r="GO488" s="134"/>
      <c r="GP488" s="134"/>
      <c r="GQ488" s="137"/>
      <c r="GR488" s="150"/>
      <c r="GS488" s="137"/>
      <c r="GT488" s="137"/>
      <c r="GU488" s="3"/>
      <c r="GV488" s="138"/>
      <c r="GW488" s="2"/>
      <c r="GX488" s="139"/>
      <c r="GY488" s="3"/>
      <c r="GZ488" s="3"/>
      <c r="HA488" s="3"/>
      <c r="HB488" s="3"/>
      <c r="HC488" s="3"/>
      <c r="HD488" s="3"/>
      <c r="HE488" s="3"/>
      <c r="HF488" s="3"/>
      <c r="HG488" s="3"/>
      <c r="HH488" s="3"/>
      <c r="HI488" s="131"/>
      <c r="HJ488" s="15"/>
      <c r="HK488" s="99"/>
      <c r="HL488" s="149"/>
      <c r="HM488" s="134"/>
      <c r="HN488" s="134"/>
      <c r="HO488" s="137"/>
      <c r="HP488" s="150"/>
      <c r="HQ488" s="137"/>
      <c r="HR488" s="137"/>
      <c r="HS488" s="3"/>
      <c r="HT488" s="138"/>
      <c r="HU488" s="2"/>
      <c r="HV488" s="139"/>
      <c r="HW488" s="3"/>
      <c r="HX488" s="3"/>
      <c r="HY488" s="3"/>
      <c r="HZ488" s="3"/>
      <c r="IA488" s="3"/>
      <c r="IB488" s="3"/>
      <c r="IC488" s="3"/>
      <c r="ID488" s="3"/>
      <c r="IE488" s="3"/>
      <c r="IF488" s="3"/>
      <c r="IG488" s="131"/>
      <c r="IH488" s="15"/>
      <c r="II488" s="99"/>
      <c r="IJ488" s="149"/>
      <c r="IK488" s="134"/>
      <c r="IL488" s="134"/>
      <c r="IM488" s="137"/>
      <c r="IN488" s="150"/>
      <c r="IO488" s="137"/>
      <c r="IP488" s="137"/>
      <c r="IQ488" s="3"/>
      <c r="IR488" s="138"/>
      <c r="IS488" s="2"/>
      <c r="IT488" s="139"/>
      <c r="IU488" s="3"/>
      <c r="IV488" s="3"/>
    </row>
    <row r="489" spans="1:256" s="125" customFormat="1" ht="13.5" customHeight="1">
      <c r="A489" s="84">
        <v>10</v>
      </c>
      <c r="B489" s="17">
        <v>42978</v>
      </c>
      <c r="C489" s="18"/>
      <c r="D489" s="19">
        <v>1</v>
      </c>
      <c r="E489" s="20" t="s">
        <v>674</v>
      </c>
      <c r="F489" s="62" t="s">
        <v>675</v>
      </c>
      <c r="G489" s="63">
        <v>1707</v>
      </c>
      <c r="H489" s="121">
        <f>50000-30000</f>
        <v>20000</v>
      </c>
      <c r="I489" s="24">
        <v>1489333</v>
      </c>
      <c r="J489" s="24"/>
      <c r="K489" s="24">
        <f t="shared" si="43"/>
        <v>1489333</v>
      </c>
      <c r="L489" s="26">
        <v>1</v>
      </c>
      <c r="M489" s="24">
        <f t="shared" si="44"/>
        <v>1489333</v>
      </c>
      <c r="N489" s="129">
        <f t="shared" si="45"/>
        <v>0</v>
      </c>
      <c r="O489" s="85" t="s">
        <v>665</v>
      </c>
      <c r="P489" s="3"/>
      <c r="Q489" s="140"/>
      <c r="R489" s="3"/>
      <c r="S489" s="3"/>
      <c r="T489" s="3"/>
      <c r="U489" s="3"/>
      <c r="V489" s="3"/>
      <c r="W489" s="3"/>
      <c r="X489" s="3"/>
      <c r="Y489" s="131"/>
      <c r="Z489" s="15"/>
      <c r="AA489" s="99"/>
      <c r="AB489" s="149"/>
      <c r="AC489" s="134"/>
      <c r="AD489" s="134"/>
      <c r="AE489" s="137"/>
      <c r="AF489" s="150"/>
      <c r="AG489" s="137"/>
      <c r="AH489" s="137"/>
      <c r="AI489" s="3"/>
      <c r="AJ489" s="138"/>
      <c r="AK489" s="2"/>
      <c r="AL489" s="139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131"/>
      <c r="AX489" s="15"/>
      <c r="AY489" s="99"/>
      <c r="AZ489" s="149"/>
      <c r="BA489" s="134"/>
      <c r="BB489" s="134"/>
      <c r="BC489" s="137"/>
      <c r="BD489" s="150"/>
      <c r="BE489" s="137"/>
      <c r="BF489" s="137"/>
      <c r="BG489" s="3"/>
      <c r="BH489" s="138"/>
      <c r="BI489" s="2"/>
      <c r="BJ489" s="139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131"/>
      <c r="BV489" s="15"/>
      <c r="BW489" s="99"/>
      <c r="BX489" s="149"/>
      <c r="BY489" s="134"/>
      <c r="BZ489" s="134"/>
      <c r="CA489" s="137"/>
      <c r="CB489" s="150"/>
      <c r="CC489" s="137"/>
      <c r="CD489" s="137"/>
      <c r="CE489" s="3"/>
      <c r="CF489" s="138"/>
      <c r="CG489" s="2"/>
      <c r="CH489" s="139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131"/>
      <c r="CT489" s="15"/>
      <c r="CU489" s="99"/>
      <c r="CV489" s="149"/>
      <c r="CW489" s="134"/>
      <c r="CX489" s="134"/>
      <c r="CY489" s="137"/>
      <c r="CZ489" s="150"/>
      <c r="DA489" s="137"/>
      <c r="DB489" s="137"/>
      <c r="DC489" s="3"/>
      <c r="DD489" s="138"/>
      <c r="DE489" s="2"/>
      <c r="DF489" s="139"/>
      <c r="DG489" s="3"/>
      <c r="DH489" s="3"/>
      <c r="DI489" s="3"/>
      <c r="DJ489" s="3"/>
      <c r="DK489" s="3"/>
      <c r="DL489" s="3"/>
      <c r="DM489" s="3"/>
      <c r="DN489" s="3"/>
      <c r="DO489" s="3"/>
      <c r="DP489" s="3"/>
      <c r="DQ489" s="131"/>
      <c r="DR489" s="15"/>
      <c r="DS489" s="99"/>
      <c r="DT489" s="149"/>
      <c r="DU489" s="134"/>
      <c r="DV489" s="134"/>
      <c r="DW489" s="137"/>
      <c r="DX489" s="150"/>
      <c r="DY489" s="137"/>
      <c r="DZ489" s="137"/>
      <c r="EA489" s="3"/>
      <c r="EB489" s="138"/>
      <c r="EC489" s="2"/>
      <c r="ED489" s="139"/>
      <c r="EE489" s="3"/>
      <c r="EF489" s="3"/>
      <c r="EG489" s="3"/>
      <c r="EH489" s="3"/>
      <c r="EI489" s="3"/>
      <c r="EJ489" s="3"/>
      <c r="EK489" s="3"/>
      <c r="EL489" s="3"/>
      <c r="EM489" s="3"/>
      <c r="EN489" s="3"/>
      <c r="EO489" s="131"/>
      <c r="EP489" s="15"/>
      <c r="EQ489" s="99"/>
      <c r="ER489" s="149"/>
      <c r="ES489" s="134"/>
      <c r="ET489" s="134"/>
      <c r="EU489" s="137"/>
      <c r="EV489" s="150"/>
      <c r="EW489" s="137"/>
      <c r="EX489" s="137"/>
      <c r="EY489" s="3"/>
      <c r="EZ489" s="138"/>
      <c r="FA489" s="2"/>
      <c r="FB489" s="139"/>
      <c r="FC489" s="3"/>
      <c r="FD489" s="3"/>
      <c r="FE489" s="3"/>
      <c r="FF489" s="3"/>
      <c r="FG489" s="3"/>
      <c r="FH489" s="3"/>
      <c r="FI489" s="3"/>
      <c r="FJ489" s="3"/>
      <c r="FK489" s="3"/>
      <c r="FL489" s="3"/>
      <c r="FM489" s="131"/>
      <c r="FN489" s="15"/>
      <c r="FO489" s="99"/>
      <c r="FP489" s="149"/>
      <c r="FQ489" s="134"/>
      <c r="FR489" s="134"/>
      <c r="FS489" s="137"/>
      <c r="FT489" s="150"/>
      <c r="FU489" s="137"/>
      <c r="FV489" s="137"/>
      <c r="FW489" s="3"/>
      <c r="FX489" s="138"/>
      <c r="FY489" s="2"/>
      <c r="FZ489" s="139"/>
      <c r="GA489" s="3"/>
      <c r="GB489" s="3"/>
      <c r="GC489" s="3"/>
      <c r="GD489" s="3"/>
      <c r="GE489" s="3"/>
      <c r="GF489" s="3"/>
      <c r="GG489" s="3"/>
      <c r="GH489" s="3"/>
      <c r="GI489" s="3"/>
      <c r="GJ489" s="3"/>
      <c r="GK489" s="131"/>
      <c r="GL489" s="15"/>
      <c r="GM489" s="99"/>
      <c r="GN489" s="149"/>
      <c r="GO489" s="134"/>
      <c r="GP489" s="134"/>
      <c r="GQ489" s="137"/>
      <c r="GR489" s="150"/>
      <c r="GS489" s="137"/>
      <c r="GT489" s="137"/>
      <c r="GU489" s="3"/>
      <c r="GV489" s="138"/>
      <c r="GW489" s="2"/>
      <c r="GX489" s="139"/>
      <c r="GY489" s="3"/>
      <c r="GZ489" s="3"/>
      <c r="HA489" s="3"/>
      <c r="HB489" s="3"/>
      <c r="HC489" s="3"/>
      <c r="HD489" s="3"/>
      <c r="HE489" s="3"/>
      <c r="HF489" s="3"/>
      <c r="HG489" s="3"/>
      <c r="HH489" s="3"/>
      <c r="HI489" s="131"/>
      <c r="HJ489" s="15"/>
      <c r="HK489" s="99"/>
      <c r="HL489" s="149"/>
      <c r="HM489" s="134"/>
      <c r="HN489" s="134"/>
      <c r="HO489" s="137"/>
      <c r="HP489" s="150"/>
      <c r="HQ489" s="137"/>
      <c r="HR489" s="137"/>
      <c r="HS489" s="3"/>
      <c r="HT489" s="138"/>
      <c r="HU489" s="2"/>
      <c r="HV489" s="139"/>
      <c r="HW489" s="3"/>
      <c r="HX489" s="3"/>
      <c r="HY489" s="3"/>
      <c r="HZ489" s="3"/>
      <c r="IA489" s="3"/>
      <c r="IB489" s="3"/>
      <c r="IC489" s="3"/>
      <c r="ID489" s="3"/>
      <c r="IE489" s="3"/>
      <c r="IF489" s="3"/>
      <c r="IG489" s="131"/>
      <c r="IH489" s="15"/>
      <c r="II489" s="99"/>
      <c r="IJ489" s="149"/>
      <c r="IK489" s="134"/>
      <c r="IL489" s="134"/>
      <c r="IM489" s="137"/>
      <c r="IN489" s="150"/>
      <c r="IO489" s="137"/>
      <c r="IP489" s="137"/>
      <c r="IQ489" s="3"/>
      <c r="IR489" s="138"/>
      <c r="IS489" s="2"/>
      <c r="IT489" s="139"/>
      <c r="IU489" s="3"/>
      <c r="IV489" s="3"/>
    </row>
    <row r="490" spans="1:256" s="125" customFormat="1" ht="13.5" customHeight="1">
      <c r="A490" s="84">
        <v>11</v>
      </c>
      <c r="B490" s="17">
        <v>43087</v>
      </c>
      <c r="C490" s="18"/>
      <c r="D490" s="19" t="s">
        <v>379</v>
      </c>
      <c r="E490" s="20" t="s">
        <v>383</v>
      </c>
      <c r="F490" s="62" t="s">
        <v>676</v>
      </c>
      <c r="G490" s="63">
        <v>1707</v>
      </c>
      <c r="H490" s="121">
        <f>1410000-30000</f>
        <v>1380000</v>
      </c>
      <c r="I490" s="24"/>
      <c r="J490" s="24">
        <f>SUM(H490)/1.05</f>
        <v>1314285.7142857143</v>
      </c>
      <c r="K490" s="24">
        <f t="shared" si="43"/>
        <v>1314285.7142857143</v>
      </c>
      <c r="L490" s="123">
        <v>1</v>
      </c>
      <c r="M490" s="24">
        <f t="shared" si="44"/>
        <v>1314285.7142857143</v>
      </c>
      <c r="N490" s="129">
        <f t="shared" si="45"/>
        <v>0</v>
      </c>
      <c r="O490" s="85" t="s">
        <v>665</v>
      </c>
      <c r="P490" s="3"/>
      <c r="Q490" s="140"/>
      <c r="R490" s="3"/>
      <c r="S490" s="3"/>
      <c r="T490" s="3"/>
      <c r="U490" s="3"/>
      <c r="V490" s="3"/>
      <c r="W490" s="3"/>
      <c r="X490" s="3"/>
      <c r="Y490" s="131"/>
      <c r="Z490" s="15"/>
      <c r="AA490" s="99"/>
      <c r="AB490" s="149"/>
      <c r="AC490" s="134"/>
      <c r="AD490" s="134"/>
      <c r="AE490" s="137"/>
      <c r="AF490" s="150"/>
      <c r="AG490" s="137"/>
      <c r="AH490" s="137"/>
      <c r="AI490" s="3"/>
      <c r="AJ490" s="138"/>
      <c r="AK490" s="2"/>
      <c r="AL490" s="139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131"/>
      <c r="AX490" s="15"/>
      <c r="AY490" s="99"/>
      <c r="AZ490" s="149"/>
      <c r="BA490" s="134"/>
      <c r="BB490" s="134"/>
      <c r="BC490" s="137"/>
      <c r="BD490" s="150"/>
      <c r="BE490" s="137"/>
      <c r="BF490" s="137"/>
      <c r="BG490" s="3"/>
      <c r="BH490" s="138"/>
      <c r="BI490" s="2"/>
      <c r="BJ490" s="139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131"/>
      <c r="BV490" s="15"/>
      <c r="BW490" s="99"/>
      <c r="BX490" s="149"/>
      <c r="BY490" s="134"/>
      <c r="BZ490" s="134"/>
      <c r="CA490" s="137"/>
      <c r="CB490" s="150"/>
      <c r="CC490" s="137"/>
      <c r="CD490" s="137"/>
      <c r="CE490" s="3"/>
      <c r="CF490" s="138"/>
      <c r="CG490" s="2"/>
      <c r="CH490" s="139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131"/>
      <c r="CT490" s="15"/>
      <c r="CU490" s="99"/>
      <c r="CV490" s="149"/>
      <c r="CW490" s="134"/>
      <c r="CX490" s="134"/>
      <c r="CY490" s="137"/>
      <c r="CZ490" s="150"/>
      <c r="DA490" s="137"/>
      <c r="DB490" s="137"/>
      <c r="DC490" s="3"/>
      <c r="DD490" s="138"/>
      <c r="DE490" s="2"/>
      <c r="DF490" s="139"/>
      <c r="DG490" s="3"/>
      <c r="DH490" s="3"/>
      <c r="DI490" s="3"/>
      <c r="DJ490" s="3"/>
      <c r="DK490" s="3"/>
      <c r="DL490" s="3"/>
      <c r="DM490" s="3"/>
      <c r="DN490" s="3"/>
      <c r="DO490" s="3"/>
      <c r="DP490" s="3"/>
      <c r="DQ490" s="131"/>
      <c r="DR490" s="15"/>
      <c r="DS490" s="99"/>
      <c r="DT490" s="149"/>
      <c r="DU490" s="134"/>
      <c r="DV490" s="134"/>
      <c r="DW490" s="137"/>
      <c r="DX490" s="150"/>
      <c r="DY490" s="137"/>
      <c r="DZ490" s="137"/>
      <c r="EA490" s="3"/>
      <c r="EB490" s="138"/>
      <c r="EC490" s="2"/>
      <c r="ED490" s="139"/>
      <c r="EE490" s="3"/>
      <c r="EF490" s="3"/>
      <c r="EG490" s="3"/>
      <c r="EH490" s="3"/>
      <c r="EI490" s="3"/>
      <c r="EJ490" s="3"/>
      <c r="EK490" s="3"/>
      <c r="EL490" s="3"/>
      <c r="EM490" s="3"/>
      <c r="EN490" s="3"/>
      <c r="EO490" s="131"/>
      <c r="EP490" s="15"/>
      <c r="EQ490" s="99"/>
      <c r="ER490" s="149"/>
      <c r="ES490" s="134"/>
      <c r="ET490" s="134"/>
      <c r="EU490" s="137"/>
      <c r="EV490" s="150"/>
      <c r="EW490" s="137"/>
      <c r="EX490" s="137"/>
      <c r="EY490" s="3"/>
      <c r="EZ490" s="138"/>
      <c r="FA490" s="2"/>
      <c r="FB490" s="139"/>
      <c r="FC490" s="3"/>
      <c r="FD490" s="3"/>
      <c r="FE490" s="3"/>
      <c r="FF490" s="3"/>
      <c r="FG490" s="3"/>
      <c r="FH490" s="3"/>
      <c r="FI490" s="3"/>
      <c r="FJ490" s="3"/>
      <c r="FK490" s="3"/>
      <c r="FL490" s="3"/>
      <c r="FM490" s="131"/>
      <c r="FN490" s="15"/>
      <c r="FO490" s="99"/>
      <c r="FP490" s="149"/>
      <c r="FQ490" s="134"/>
      <c r="FR490" s="134"/>
      <c r="FS490" s="137"/>
      <c r="FT490" s="150"/>
      <c r="FU490" s="137"/>
      <c r="FV490" s="137"/>
      <c r="FW490" s="3"/>
      <c r="FX490" s="138"/>
      <c r="FY490" s="2"/>
      <c r="FZ490" s="139"/>
      <c r="GA490" s="3"/>
      <c r="GB490" s="3"/>
      <c r="GC490" s="3"/>
      <c r="GD490" s="3"/>
      <c r="GE490" s="3"/>
      <c r="GF490" s="3"/>
      <c r="GG490" s="3"/>
      <c r="GH490" s="3"/>
      <c r="GI490" s="3"/>
      <c r="GJ490" s="3"/>
      <c r="GK490" s="131"/>
      <c r="GL490" s="15"/>
      <c r="GM490" s="99"/>
      <c r="GN490" s="149"/>
      <c r="GO490" s="134"/>
      <c r="GP490" s="134"/>
      <c r="GQ490" s="137"/>
      <c r="GR490" s="150"/>
      <c r="GS490" s="137"/>
      <c r="GT490" s="137"/>
      <c r="GU490" s="3"/>
      <c r="GV490" s="138"/>
      <c r="GW490" s="2"/>
      <c r="GX490" s="139"/>
      <c r="GY490" s="3"/>
      <c r="GZ490" s="3"/>
      <c r="HA490" s="3"/>
      <c r="HB490" s="3"/>
      <c r="HC490" s="3"/>
      <c r="HD490" s="3"/>
      <c r="HE490" s="3"/>
      <c r="HF490" s="3"/>
      <c r="HG490" s="3"/>
      <c r="HH490" s="3"/>
      <c r="HI490" s="131"/>
      <c r="HJ490" s="15"/>
      <c r="HK490" s="99"/>
      <c r="HL490" s="149"/>
      <c r="HM490" s="134"/>
      <c r="HN490" s="134"/>
      <c r="HO490" s="137"/>
      <c r="HP490" s="150"/>
      <c r="HQ490" s="137"/>
      <c r="HR490" s="137"/>
      <c r="HS490" s="3"/>
      <c r="HT490" s="138"/>
      <c r="HU490" s="2"/>
      <c r="HV490" s="139"/>
      <c r="HW490" s="3"/>
      <c r="HX490" s="3"/>
      <c r="HY490" s="3"/>
      <c r="HZ490" s="3"/>
      <c r="IA490" s="3"/>
      <c r="IB490" s="3"/>
      <c r="IC490" s="3"/>
      <c r="ID490" s="3"/>
      <c r="IE490" s="3"/>
      <c r="IF490" s="3"/>
      <c r="IG490" s="131"/>
      <c r="IH490" s="15"/>
      <c r="II490" s="99"/>
      <c r="IJ490" s="149"/>
      <c r="IK490" s="134"/>
      <c r="IL490" s="134"/>
      <c r="IM490" s="137"/>
      <c r="IN490" s="150"/>
      <c r="IO490" s="137"/>
      <c r="IP490" s="137"/>
      <c r="IQ490" s="3"/>
      <c r="IR490" s="138"/>
      <c r="IS490" s="2"/>
      <c r="IT490" s="139"/>
      <c r="IU490" s="3"/>
      <c r="IV490" s="3"/>
    </row>
    <row r="491" spans="1:256" s="125" customFormat="1" ht="13.5" customHeight="1">
      <c r="A491" s="84">
        <v>12</v>
      </c>
      <c r="B491" s="29">
        <v>43068</v>
      </c>
      <c r="C491" s="18"/>
      <c r="D491" s="19" t="s">
        <v>379</v>
      </c>
      <c r="E491" s="20" t="s">
        <v>383</v>
      </c>
      <c r="F491" s="82" t="s">
        <v>677</v>
      </c>
      <c r="G491" s="63">
        <v>1708</v>
      </c>
      <c r="H491" s="121">
        <v>1410000</v>
      </c>
      <c r="I491" s="24">
        <v>1342857</v>
      </c>
      <c r="J491" s="24"/>
      <c r="K491" s="24">
        <f t="shared" si="43"/>
        <v>1342857</v>
      </c>
      <c r="L491" s="123">
        <v>1</v>
      </c>
      <c r="M491" s="24">
        <f t="shared" si="44"/>
        <v>1342857</v>
      </c>
      <c r="N491" s="129">
        <f t="shared" si="45"/>
        <v>0</v>
      </c>
      <c r="O491" s="85" t="s">
        <v>665</v>
      </c>
      <c r="P491" s="3"/>
      <c r="Q491" s="140"/>
      <c r="R491" s="3"/>
      <c r="S491" s="3"/>
      <c r="T491" s="3"/>
      <c r="U491" s="3"/>
      <c r="V491" s="3"/>
      <c r="W491" s="3"/>
      <c r="X491" s="3"/>
      <c r="Y491" s="131"/>
      <c r="Z491" s="15"/>
      <c r="AA491" s="99"/>
      <c r="AB491" s="149"/>
      <c r="AC491" s="134"/>
      <c r="AD491" s="134"/>
      <c r="AE491" s="137"/>
      <c r="AF491" s="150"/>
      <c r="AG491" s="137"/>
      <c r="AH491" s="137"/>
      <c r="AI491" s="3"/>
      <c r="AJ491" s="138"/>
      <c r="AK491" s="2"/>
      <c r="AL491" s="139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131"/>
      <c r="AX491" s="15"/>
      <c r="AY491" s="99"/>
      <c r="AZ491" s="149"/>
      <c r="BA491" s="134"/>
      <c r="BB491" s="134"/>
      <c r="BC491" s="137"/>
      <c r="BD491" s="150"/>
      <c r="BE491" s="137"/>
      <c r="BF491" s="137"/>
      <c r="BG491" s="3"/>
      <c r="BH491" s="138"/>
      <c r="BI491" s="2"/>
      <c r="BJ491" s="139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131"/>
      <c r="BV491" s="15"/>
      <c r="BW491" s="99"/>
      <c r="BX491" s="149"/>
      <c r="BY491" s="134"/>
      <c r="BZ491" s="134"/>
      <c r="CA491" s="137"/>
      <c r="CB491" s="150"/>
      <c r="CC491" s="137"/>
      <c r="CD491" s="137"/>
      <c r="CE491" s="3"/>
      <c r="CF491" s="138"/>
      <c r="CG491" s="2"/>
      <c r="CH491" s="139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131"/>
      <c r="CT491" s="15"/>
      <c r="CU491" s="99"/>
      <c r="CV491" s="149"/>
      <c r="CW491" s="134"/>
      <c r="CX491" s="134"/>
      <c r="CY491" s="137"/>
      <c r="CZ491" s="150"/>
      <c r="DA491" s="137"/>
      <c r="DB491" s="137"/>
      <c r="DC491" s="3"/>
      <c r="DD491" s="138"/>
      <c r="DE491" s="2"/>
      <c r="DF491" s="139"/>
      <c r="DG491" s="3"/>
      <c r="DH491" s="3"/>
      <c r="DI491" s="3"/>
      <c r="DJ491" s="3"/>
      <c r="DK491" s="3"/>
      <c r="DL491" s="3"/>
      <c r="DM491" s="3"/>
      <c r="DN491" s="3"/>
      <c r="DO491" s="3"/>
      <c r="DP491" s="3"/>
      <c r="DQ491" s="131"/>
      <c r="DR491" s="15"/>
      <c r="DS491" s="99"/>
      <c r="DT491" s="149"/>
      <c r="DU491" s="134"/>
      <c r="DV491" s="134"/>
      <c r="DW491" s="137"/>
      <c r="DX491" s="150"/>
      <c r="DY491" s="137"/>
      <c r="DZ491" s="137"/>
      <c r="EA491" s="3"/>
      <c r="EB491" s="138"/>
      <c r="EC491" s="2"/>
      <c r="ED491" s="139"/>
      <c r="EE491" s="3"/>
      <c r="EF491" s="3"/>
      <c r="EG491" s="3"/>
      <c r="EH491" s="3"/>
      <c r="EI491" s="3"/>
      <c r="EJ491" s="3"/>
      <c r="EK491" s="3"/>
      <c r="EL491" s="3"/>
      <c r="EM491" s="3"/>
      <c r="EN491" s="3"/>
      <c r="EO491" s="131"/>
      <c r="EP491" s="15"/>
      <c r="EQ491" s="99"/>
      <c r="ER491" s="149"/>
      <c r="ES491" s="134"/>
      <c r="ET491" s="134"/>
      <c r="EU491" s="137"/>
      <c r="EV491" s="150"/>
      <c r="EW491" s="137"/>
      <c r="EX491" s="137"/>
      <c r="EY491" s="3"/>
      <c r="EZ491" s="138"/>
      <c r="FA491" s="2"/>
      <c r="FB491" s="139"/>
      <c r="FC491" s="3"/>
      <c r="FD491" s="3"/>
      <c r="FE491" s="3"/>
      <c r="FF491" s="3"/>
      <c r="FG491" s="3"/>
      <c r="FH491" s="3"/>
      <c r="FI491" s="3"/>
      <c r="FJ491" s="3"/>
      <c r="FK491" s="3"/>
      <c r="FL491" s="3"/>
      <c r="FM491" s="131"/>
      <c r="FN491" s="15"/>
      <c r="FO491" s="99"/>
      <c r="FP491" s="149"/>
      <c r="FQ491" s="134"/>
      <c r="FR491" s="134"/>
      <c r="FS491" s="137"/>
      <c r="FT491" s="150"/>
      <c r="FU491" s="137"/>
      <c r="FV491" s="137"/>
      <c r="FW491" s="3"/>
      <c r="FX491" s="138"/>
      <c r="FY491" s="2"/>
      <c r="FZ491" s="139"/>
      <c r="GA491" s="3"/>
      <c r="GB491" s="3"/>
      <c r="GC491" s="3"/>
      <c r="GD491" s="3"/>
      <c r="GE491" s="3"/>
      <c r="GF491" s="3"/>
      <c r="GG491" s="3"/>
      <c r="GH491" s="3"/>
      <c r="GI491" s="3"/>
      <c r="GJ491" s="3"/>
      <c r="GK491" s="131"/>
      <c r="GL491" s="15"/>
      <c r="GM491" s="99"/>
      <c r="GN491" s="149"/>
      <c r="GO491" s="134"/>
      <c r="GP491" s="134"/>
      <c r="GQ491" s="137"/>
      <c r="GR491" s="150"/>
      <c r="GS491" s="137"/>
      <c r="GT491" s="137"/>
      <c r="GU491" s="3"/>
      <c r="GV491" s="138"/>
      <c r="GW491" s="2"/>
      <c r="GX491" s="139"/>
      <c r="GY491" s="3"/>
      <c r="GZ491" s="3"/>
      <c r="HA491" s="3"/>
      <c r="HB491" s="3"/>
      <c r="HC491" s="3"/>
      <c r="HD491" s="3"/>
      <c r="HE491" s="3"/>
      <c r="HF491" s="3"/>
      <c r="HG491" s="3"/>
      <c r="HH491" s="3"/>
      <c r="HI491" s="131"/>
      <c r="HJ491" s="15"/>
      <c r="HK491" s="99"/>
      <c r="HL491" s="149"/>
      <c r="HM491" s="134"/>
      <c r="HN491" s="134"/>
      <c r="HO491" s="137"/>
      <c r="HP491" s="150"/>
      <c r="HQ491" s="137"/>
      <c r="HR491" s="137"/>
      <c r="HS491" s="3"/>
      <c r="HT491" s="138"/>
      <c r="HU491" s="2"/>
      <c r="HV491" s="139"/>
      <c r="HW491" s="3"/>
      <c r="HX491" s="3"/>
      <c r="HY491" s="3"/>
      <c r="HZ491" s="3"/>
      <c r="IA491" s="3"/>
      <c r="IB491" s="3"/>
      <c r="IC491" s="3"/>
      <c r="ID491" s="3"/>
      <c r="IE491" s="3"/>
      <c r="IF491" s="3"/>
      <c r="IG491" s="131"/>
      <c r="IH491" s="15"/>
      <c r="II491" s="99"/>
      <c r="IJ491" s="149"/>
      <c r="IK491" s="134"/>
      <c r="IL491" s="134"/>
      <c r="IM491" s="137"/>
      <c r="IN491" s="150"/>
      <c r="IO491" s="137"/>
      <c r="IP491" s="137"/>
      <c r="IQ491" s="3"/>
      <c r="IR491" s="138"/>
      <c r="IS491" s="2"/>
      <c r="IT491" s="139"/>
      <c r="IU491" s="3"/>
      <c r="IV491" s="3"/>
    </row>
    <row r="492" spans="1:256" s="125" customFormat="1" ht="13.5" customHeight="1">
      <c r="A492" s="84">
        <v>13</v>
      </c>
      <c r="B492" s="17">
        <v>43069</v>
      </c>
      <c r="C492" s="18"/>
      <c r="D492" s="19" t="s">
        <v>379</v>
      </c>
      <c r="E492" s="20" t="s">
        <v>383</v>
      </c>
      <c r="F492" s="120" t="s">
        <v>678</v>
      </c>
      <c r="G492" s="58">
        <v>1708</v>
      </c>
      <c r="H492" s="121">
        <v>1410000</v>
      </c>
      <c r="I492" s="24">
        <v>1342857</v>
      </c>
      <c r="J492" s="24"/>
      <c r="K492" s="24">
        <f t="shared" si="43"/>
        <v>1342857</v>
      </c>
      <c r="L492" s="123">
        <v>1</v>
      </c>
      <c r="M492" s="24">
        <f t="shared" si="44"/>
        <v>1342857</v>
      </c>
      <c r="N492" s="129">
        <f t="shared" si="45"/>
        <v>0</v>
      </c>
      <c r="O492" s="85" t="s">
        <v>665</v>
      </c>
      <c r="P492" s="3"/>
      <c r="Q492" s="140"/>
      <c r="R492" s="3"/>
      <c r="S492" s="3"/>
      <c r="T492" s="3"/>
      <c r="U492" s="3"/>
      <c r="V492" s="3"/>
      <c r="W492" s="3"/>
      <c r="X492" s="3"/>
      <c r="Y492" s="131"/>
      <c r="Z492" s="15"/>
      <c r="AA492" s="99"/>
      <c r="AB492" s="149"/>
      <c r="AC492" s="134"/>
      <c r="AD492" s="134"/>
      <c r="AE492" s="137"/>
      <c r="AF492" s="150"/>
      <c r="AG492" s="137"/>
      <c r="AH492" s="137"/>
      <c r="AI492" s="3"/>
      <c r="AJ492" s="138"/>
      <c r="AK492" s="2"/>
      <c r="AL492" s="139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131"/>
      <c r="AX492" s="15"/>
      <c r="AY492" s="99"/>
      <c r="AZ492" s="149"/>
      <c r="BA492" s="134"/>
      <c r="BB492" s="134"/>
      <c r="BC492" s="137"/>
      <c r="BD492" s="150"/>
      <c r="BE492" s="137"/>
      <c r="BF492" s="137"/>
      <c r="BG492" s="3"/>
      <c r="BH492" s="138"/>
      <c r="BI492" s="2"/>
      <c r="BJ492" s="139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131"/>
      <c r="BV492" s="15"/>
      <c r="BW492" s="99"/>
      <c r="BX492" s="149"/>
      <c r="BY492" s="134"/>
      <c r="BZ492" s="134"/>
      <c r="CA492" s="137"/>
      <c r="CB492" s="150"/>
      <c r="CC492" s="137"/>
      <c r="CD492" s="137"/>
      <c r="CE492" s="3"/>
      <c r="CF492" s="138"/>
      <c r="CG492" s="2"/>
      <c r="CH492" s="139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131"/>
      <c r="CT492" s="15"/>
      <c r="CU492" s="99"/>
      <c r="CV492" s="149"/>
      <c r="CW492" s="134"/>
      <c r="CX492" s="134"/>
      <c r="CY492" s="137"/>
      <c r="CZ492" s="150"/>
      <c r="DA492" s="137"/>
      <c r="DB492" s="137"/>
      <c r="DC492" s="3"/>
      <c r="DD492" s="138"/>
      <c r="DE492" s="2"/>
      <c r="DF492" s="139"/>
      <c r="DG492" s="3"/>
      <c r="DH492" s="3"/>
      <c r="DI492" s="3"/>
      <c r="DJ492" s="3"/>
      <c r="DK492" s="3"/>
      <c r="DL492" s="3"/>
      <c r="DM492" s="3"/>
      <c r="DN492" s="3"/>
      <c r="DO492" s="3"/>
      <c r="DP492" s="3"/>
      <c r="DQ492" s="131"/>
      <c r="DR492" s="15"/>
      <c r="DS492" s="99"/>
      <c r="DT492" s="149"/>
      <c r="DU492" s="134"/>
      <c r="DV492" s="134"/>
      <c r="DW492" s="137"/>
      <c r="DX492" s="150"/>
      <c r="DY492" s="137"/>
      <c r="DZ492" s="137"/>
      <c r="EA492" s="3"/>
      <c r="EB492" s="138"/>
      <c r="EC492" s="2"/>
      <c r="ED492" s="139"/>
      <c r="EE492" s="3"/>
      <c r="EF492" s="3"/>
      <c r="EG492" s="3"/>
      <c r="EH492" s="3"/>
      <c r="EI492" s="3"/>
      <c r="EJ492" s="3"/>
      <c r="EK492" s="3"/>
      <c r="EL492" s="3"/>
      <c r="EM492" s="3"/>
      <c r="EN492" s="3"/>
      <c r="EO492" s="131"/>
      <c r="EP492" s="15"/>
      <c r="EQ492" s="99"/>
      <c r="ER492" s="149"/>
      <c r="ES492" s="134"/>
      <c r="ET492" s="134"/>
      <c r="EU492" s="137"/>
      <c r="EV492" s="150"/>
      <c r="EW492" s="137"/>
      <c r="EX492" s="137"/>
      <c r="EY492" s="3"/>
      <c r="EZ492" s="138"/>
      <c r="FA492" s="2"/>
      <c r="FB492" s="139"/>
      <c r="FC492" s="3"/>
      <c r="FD492" s="3"/>
      <c r="FE492" s="3"/>
      <c r="FF492" s="3"/>
      <c r="FG492" s="3"/>
      <c r="FH492" s="3"/>
      <c r="FI492" s="3"/>
      <c r="FJ492" s="3"/>
      <c r="FK492" s="3"/>
      <c r="FL492" s="3"/>
      <c r="FM492" s="131"/>
      <c r="FN492" s="15"/>
      <c r="FO492" s="99"/>
      <c r="FP492" s="149"/>
      <c r="FQ492" s="134"/>
      <c r="FR492" s="134"/>
      <c r="FS492" s="137"/>
      <c r="FT492" s="150"/>
      <c r="FU492" s="137"/>
      <c r="FV492" s="137"/>
      <c r="FW492" s="3"/>
      <c r="FX492" s="138"/>
      <c r="FY492" s="2"/>
      <c r="FZ492" s="139"/>
      <c r="GA492" s="3"/>
      <c r="GB492" s="3"/>
      <c r="GC492" s="3"/>
      <c r="GD492" s="3"/>
      <c r="GE492" s="3"/>
      <c r="GF492" s="3"/>
      <c r="GG492" s="3"/>
      <c r="GH492" s="3"/>
      <c r="GI492" s="3"/>
      <c r="GJ492" s="3"/>
      <c r="GK492" s="131"/>
      <c r="GL492" s="15"/>
      <c r="GM492" s="99"/>
      <c r="GN492" s="149"/>
      <c r="GO492" s="134"/>
      <c r="GP492" s="134"/>
      <c r="GQ492" s="137"/>
      <c r="GR492" s="150"/>
      <c r="GS492" s="137"/>
      <c r="GT492" s="137"/>
      <c r="GU492" s="3"/>
      <c r="GV492" s="138"/>
      <c r="GW492" s="2"/>
      <c r="GX492" s="139"/>
      <c r="GY492" s="3"/>
      <c r="GZ492" s="3"/>
      <c r="HA492" s="3"/>
      <c r="HB492" s="3"/>
      <c r="HC492" s="3"/>
      <c r="HD492" s="3"/>
      <c r="HE492" s="3"/>
      <c r="HF492" s="3"/>
      <c r="HG492" s="3"/>
      <c r="HH492" s="3"/>
      <c r="HI492" s="131"/>
      <c r="HJ492" s="15"/>
      <c r="HK492" s="99"/>
      <c r="HL492" s="149"/>
      <c r="HM492" s="134"/>
      <c r="HN492" s="134"/>
      <c r="HO492" s="137"/>
      <c r="HP492" s="150"/>
      <c r="HQ492" s="137"/>
      <c r="HR492" s="137"/>
      <c r="HS492" s="3"/>
      <c r="HT492" s="138"/>
      <c r="HU492" s="2"/>
      <c r="HV492" s="139"/>
      <c r="HW492" s="3"/>
      <c r="HX492" s="3"/>
      <c r="HY492" s="3"/>
      <c r="HZ492" s="3"/>
      <c r="IA492" s="3"/>
      <c r="IB492" s="3"/>
      <c r="IC492" s="3"/>
      <c r="ID492" s="3"/>
      <c r="IE492" s="3"/>
      <c r="IF492" s="3"/>
      <c r="IG492" s="131"/>
      <c r="IH492" s="15"/>
      <c r="II492" s="99"/>
      <c r="IJ492" s="149"/>
      <c r="IK492" s="134"/>
      <c r="IL492" s="134"/>
      <c r="IM492" s="137"/>
      <c r="IN492" s="150"/>
      <c r="IO492" s="137"/>
      <c r="IP492" s="137"/>
      <c r="IQ492" s="3"/>
      <c r="IR492" s="138"/>
      <c r="IS492" s="2"/>
      <c r="IT492" s="139"/>
      <c r="IU492" s="3"/>
      <c r="IV492" s="3"/>
    </row>
    <row r="493" spans="1:256" s="125" customFormat="1" ht="13.5" customHeight="1">
      <c r="A493" s="84">
        <v>14</v>
      </c>
      <c r="B493" s="17">
        <v>43074</v>
      </c>
      <c r="C493" s="18"/>
      <c r="D493" s="19" t="s">
        <v>379</v>
      </c>
      <c r="E493" s="20" t="s">
        <v>383</v>
      </c>
      <c r="F493" s="62" t="s">
        <v>679</v>
      </c>
      <c r="G493" s="63">
        <v>1708</v>
      </c>
      <c r="H493" s="121">
        <v>1410000</v>
      </c>
      <c r="I493" s="24"/>
      <c r="J493" s="24">
        <f>SUM(H493)/1.05</f>
        <v>1342857.1428571427</v>
      </c>
      <c r="K493" s="24">
        <f t="shared" si="43"/>
        <v>1342857.1428571427</v>
      </c>
      <c r="L493" s="123">
        <v>1</v>
      </c>
      <c r="M493" s="24">
        <f t="shared" si="44"/>
        <v>1342857.1428571427</v>
      </c>
      <c r="N493" s="129">
        <f t="shared" si="45"/>
        <v>0</v>
      </c>
      <c r="O493" s="85" t="s">
        <v>665</v>
      </c>
      <c r="P493" s="3"/>
      <c r="Q493" s="140"/>
      <c r="R493" s="3"/>
      <c r="S493" s="3"/>
      <c r="T493" s="3"/>
      <c r="U493" s="3"/>
      <c r="V493" s="3"/>
      <c r="W493" s="3"/>
      <c r="X493" s="3"/>
      <c r="Y493" s="131"/>
      <c r="Z493" s="15"/>
      <c r="AA493" s="99"/>
      <c r="AB493" s="149"/>
      <c r="AC493" s="134"/>
      <c r="AD493" s="134"/>
      <c r="AE493" s="137"/>
      <c r="AF493" s="150"/>
      <c r="AG493" s="137"/>
      <c r="AH493" s="137"/>
      <c r="AI493" s="3"/>
      <c r="AJ493" s="138"/>
      <c r="AK493" s="2"/>
      <c r="AL493" s="139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131"/>
      <c r="AX493" s="15"/>
      <c r="AY493" s="99"/>
      <c r="AZ493" s="149"/>
      <c r="BA493" s="134"/>
      <c r="BB493" s="134"/>
      <c r="BC493" s="137"/>
      <c r="BD493" s="150"/>
      <c r="BE493" s="137"/>
      <c r="BF493" s="137"/>
      <c r="BG493" s="3"/>
      <c r="BH493" s="138"/>
      <c r="BI493" s="2"/>
      <c r="BJ493" s="139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131"/>
      <c r="BV493" s="15"/>
      <c r="BW493" s="99"/>
      <c r="BX493" s="149"/>
      <c r="BY493" s="134"/>
      <c r="BZ493" s="134"/>
      <c r="CA493" s="137"/>
      <c r="CB493" s="150"/>
      <c r="CC493" s="137"/>
      <c r="CD493" s="137"/>
      <c r="CE493" s="3"/>
      <c r="CF493" s="138"/>
      <c r="CG493" s="2"/>
      <c r="CH493" s="139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131"/>
      <c r="CT493" s="15"/>
      <c r="CU493" s="99"/>
      <c r="CV493" s="149"/>
      <c r="CW493" s="134"/>
      <c r="CX493" s="134"/>
      <c r="CY493" s="137"/>
      <c r="CZ493" s="150"/>
      <c r="DA493" s="137"/>
      <c r="DB493" s="137"/>
      <c r="DC493" s="3"/>
      <c r="DD493" s="138"/>
      <c r="DE493" s="2"/>
      <c r="DF493" s="139"/>
      <c r="DG493" s="3"/>
      <c r="DH493" s="3"/>
      <c r="DI493" s="3"/>
      <c r="DJ493" s="3"/>
      <c r="DK493" s="3"/>
      <c r="DL493" s="3"/>
      <c r="DM493" s="3"/>
      <c r="DN493" s="3"/>
      <c r="DO493" s="3"/>
      <c r="DP493" s="3"/>
      <c r="DQ493" s="131"/>
      <c r="DR493" s="15"/>
      <c r="DS493" s="99"/>
      <c r="DT493" s="149"/>
      <c r="DU493" s="134"/>
      <c r="DV493" s="134"/>
      <c r="DW493" s="137"/>
      <c r="DX493" s="150"/>
      <c r="DY493" s="137"/>
      <c r="DZ493" s="137"/>
      <c r="EA493" s="3"/>
      <c r="EB493" s="138"/>
      <c r="EC493" s="2"/>
      <c r="ED493" s="139"/>
      <c r="EE493" s="3"/>
      <c r="EF493" s="3"/>
      <c r="EG493" s="3"/>
      <c r="EH493" s="3"/>
      <c r="EI493" s="3"/>
      <c r="EJ493" s="3"/>
      <c r="EK493" s="3"/>
      <c r="EL493" s="3"/>
      <c r="EM493" s="3"/>
      <c r="EN493" s="3"/>
      <c r="EO493" s="131"/>
      <c r="EP493" s="15"/>
      <c r="EQ493" s="99"/>
      <c r="ER493" s="149"/>
      <c r="ES493" s="134"/>
      <c r="ET493" s="134"/>
      <c r="EU493" s="137"/>
      <c r="EV493" s="150"/>
      <c r="EW493" s="137"/>
      <c r="EX493" s="137"/>
      <c r="EY493" s="3"/>
      <c r="EZ493" s="138"/>
      <c r="FA493" s="2"/>
      <c r="FB493" s="139"/>
      <c r="FC493" s="3"/>
      <c r="FD493" s="3"/>
      <c r="FE493" s="3"/>
      <c r="FF493" s="3"/>
      <c r="FG493" s="3"/>
      <c r="FH493" s="3"/>
      <c r="FI493" s="3"/>
      <c r="FJ493" s="3"/>
      <c r="FK493" s="3"/>
      <c r="FL493" s="3"/>
      <c r="FM493" s="131"/>
      <c r="FN493" s="15"/>
      <c r="FO493" s="99"/>
      <c r="FP493" s="149"/>
      <c r="FQ493" s="134"/>
      <c r="FR493" s="134"/>
      <c r="FS493" s="137"/>
      <c r="FT493" s="150"/>
      <c r="FU493" s="137"/>
      <c r="FV493" s="137"/>
      <c r="FW493" s="3"/>
      <c r="FX493" s="138"/>
      <c r="FY493" s="2"/>
      <c r="FZ493" s="139"/>
      <c r="GA493" s="3"/>
      <c r="GB493" s="3"/>
      <c r="GC493" s="3"/>
      <c r="GD493" s="3"/>
      <c r="GE493" s="3"/>
      <c r="GF493" s="3"/>
      <c r="GG493" s="3"/>
      <c r="GH493" s="3"/>
      <c r="GI493" s="3"/>
      <c r="GJ493" s="3"/>
      <c r="GK493" s="131"/>
      <c r="GL493" s="15"/>
      <c r="GM493" s="99"/>
      <c r="GN493" s="149"/>
      <c r="GO493" s="134"/>
      <c r="GP493" s="134"/>
      <c r="GQ493" s="137"/>
      <c r="GR493" s="150"/>
      <c r="GS493" s="137"/>
      <c r="GT493" s="137"/>
      <c r="GU493" s="3"/>
      <c r="GV493" s="138"/>
      <c r="GW493" s="2"/>
      <c r="GX493" s="139"/>
      <c r="GY493" s="3"/>
      <c r="GZ493" s="3"/>
      <c r="HA493" s="3"/>
      <c r="HB493" s="3"/>
      <c r="HC493" s="3"/>
      <c r="HD493" s="3"/>
      <c r="HE493" s="3"/>
      <c r="HF493" s="3"/>
      <c r="HG493" s="3"/>
      <c r="HH493" s="3"/>
      <c r="HI493" s="131"/>
      <c r="HJ493" s="15"/>
      <c r="HK493" s="99"/>
      <c r="HL493" s="149"/>
      <c r="HM493" s="134"/>
      <c r="HN493" s="134"/>
      <c r="HO493" s="137"/>
      <c r="HP493" s="150"/>
      <c r="HQ493" s="137"/>
      <c r="HR493" s="137"/>
      <c r="HS493" s="3"/>
      <c r="HT493" s="138"/>
      <c r="HU493" s="2"/>
      <c r="HV493" s="139"/>
      <c r="HW493" s="3"/>
      <c r="HX493" s="3"/>
      <c r="HY493" s="3"/>
      <c r="HZ493" s="3"/>
      <c r="IA493" s="3"/>
      <c r="IB493" s="3"/>
      <c r="IC493" s="3"/>
      <c r="ID493" s="3"/>
      <c r="IE493" s="3"/>
      <c r="IF493" s="3"/>
      <c r="IG493" s="131"/>
      <c r="IH493" s="15"/>
      <c r="II493" s="99"/>
      <c r="IJ493" s="149"/>
      <c r="IK493" s="134"/>
      <c r="IL493" s="134"/>
      <c r="IM493" s="137"/>
      <c r="IN493" s="150"/>
      <c r="IO493" s="137"/>
      <c r="IP493" s="137"/>
      <c r="IQ493" s="3"/>
      <c r="IR493" s="138"/>
      <c r="IS493" s="2"/>
      <c r="IT493" s="139"/>
      <c r="IU493" s="3"/>
      <c r="IV493" s="3"/>
    </row>
    <row r="494" spans="1:256" s="125" customFormat="1" ht="13.5" customHeight="1">
      <c r="A494" s="84">
        <v>15</v>
      </c>
      <c r="B494" s="29">
        <v>43088</v>
      </c>
      <c r="C494" s="18"/>
      <c r="D494" s="19" t="s">
        <v>379</v>
      </c>
      <c r="E494" s="20" t="s">
        <v>383</v>
      </c>
      <c r="F494" s="62" t="s">
        <v>680</v>
      </c>
      <c r="G494" s="63">
        <v>1708</v>
      </c>
      <c r="H494" s="121">
        <v>1410000</v>
      </c>
      <c r="I494" s="24"/>
      <c r="J494" s="24">
        <f>SUM(H494)/1.05</f>
        <v>1342857.1428571427</v>
      </c>
      <c r="K494" s="24">
        <f t="shared" si="43"/>
        <v>1342857.1428571427</v>
      </c>
      <c r="L494" s="123">
        <v>1</v>
      </c>
      <c r="M494" s="24">
        <f t="shared" si="44"/>
        <v>1342857.1428571427</v>
      </c>
      <c r="N494" s="129">
        <f t="shared" si="45"/>
        <v>0</v>
      </c>
      <c r="O494" s="85" t="s">
        <v>665</v>
      </c>
      <c r="P494" s="3"/>
      <c r="Q494" s="140"/>
      <c r="R494" s="3"/>
      <c r="S494" s="3"/>
      <c r="T494" s="3"/>
      <c r="U494" s="3"/>
      <c r="V494" s="3"/>
      <c r="W494" s="3"/>
      <c r="X494" s="3"/>
      <c r="Y494" s="131"/>
      <c r="Z494" s="15"/>
      <c r="AA494" s="99"/>
      <c r="AB494" s="149"/>
      <c r="AC494" s="134"/>
      <c r="AD494" s="134"/>
      <c r="AE494" s="137"/>
      <c r="AF494" s="150"/>
      <c r="AG494" s="137"/>
      <c r="AH494" s="137"/>
      <c r="AI494" s="3"/>
      <c r="AJ494" s="138"/>
      <c r="AK494" s="2"/>
      <c r="AL494" s="139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131"/>
      <c r="AX494" s="15"/>
      <c r="AY494" s="99"/>
      <c r="AZ494" s="149"/>
      <c r="BA494" s="134"/>
      <c r="BB494" s="134"/>
      <c r="BC494" s="137"/>
      <c r="BD494" s="150"/>
      <c r="BE494" s="137"/>
      <c r="BF494" s="137"/>
      <c r="BG494" s="3"/>
      <c r="BH494" s="138"/>
      <c r="BI494" s="2"/>
      <c r="BJ494" s="139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131"/>
      <c r="BV494" s="15"/>
      <c r="BW494" s="99"/>
      <c r="BX494" s="149"/>
      <c r="BY494" s="134"/>
      <c r="BZ494" s="134"/>
      <c r="CA494" s="137"/>
      <c r="CB494" s="150"/>
      <c r="CC494" s="137"/>
      <c r="CD494" s="137"/>
      <c r="CE494" s="3"/>
      <c r="CF494" s="138"/>
      <c r="CG494" s="2"/>
      <c r="CH494" s="139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131"/>
      <c r="CT494" s="15"/>
      <c r="CU494" s="99"/>
      <c r="CV494" s="149"/>
      <c r="CW494" s="134"/>
      <c r="CX494" s="134"/>
      <c r="CY494" s="137"/>
      <c r="CZ494" s="150"/>
      <c r="DA494" s="137"/>
      <c r="DB494" s="137"/>
      <c r="DC494" s="3"/>
      <c r="DD494" s="138"/>
      <c r="DE494" s="2"/>
      <c r="DF494" s="139"/>
      <c r="DG494" s="3"/>
      <c r="DH494" s="3"/>
      <c r="DI494" s="3"/>
      <c r="DJ494" s="3"/>
      <c r="DK494" s="3"/>
      <c r="DL494" s="3"/>
      <c r="DM494" s="3"/>
      <c r="DN494" s="3"/>
      <c r="DO494" s="3"/>
      <c r="DP494" s="3"/>
      <c r="DQ494" s="131"/>
      <c r="DR494" s="15"/>
      <c r="DS494" s="99"/>
      <c r="DT494" s="149"/>
      <c r="DU494" s="134"/>
      <c r="DV494" s="134"/>
      <c r="DW494" s="137"/>
      <c r="DX494" s="150"/>
      <c r="DY494" s="137"/>
      <c r="DZ494" s="137"/>
      <c r="EA494" s="3"/>
      <c r="EB494" s="138"/>
      <c r="EC494" s="2"/>
      <c r="ED494" s="139"/>
      <c r="EE494" s="3"/>
      <c r="EF494" s="3"/>
      <c r="EG494" s="3"/>
      <c r="EH494" s="3"/>
      <c r="EI494" s="3"/>
      <c r="EJ494" s="3"/>
      <c r="EK494" s="3"/>
      <c r="EL494" s="3"/>
      <c r="EM494" s="3"/>
      <c r="EN494" s="3"/>
      <c r="EO494" s="131"/>
      <c r="EP494" s="15"/>
      <c r="EQ494" s="99"/>
      <c r="ER494" s="149"/>
      <c r="ES494" s="134"/>
      <c r="ET494" s="134"/>
      <c r="EU494" s="137"/>
      <c r="EV494" s="150"/>
      <c r="EW494" s="137"/>
      <c r="EX494" s="137"/>
      <c r="EY494" s="3"/>
      <c r="EZ494" s="138"/>
      <c r="FA494" s="2"/>
      <c r="FB494" s="139"/>
      <c r="FC494" s="3"/>
      <c r="FD494" s="3"/>
      <c r="FE494" s="3"/>
      <c r="FF494" s="3"/>
      <c r="FG494" s="3"/>
      <c r="FH494" s="3"/>
      <c r="FI494" s="3"/>
      <c r="FJ494" s="3"/>
      <c r="FK494" s="3"/>
      <c r="FL494" s="3"/>
      <c r="FM494" s="131"/>
      <c r="FN494" s="15"/>
      <c r="FO494" s="99"/>
      <c r="FP494" s="149"/>
      <c r="FQ494" s="134"/>
      <c r="FR494" s="134"/>
      <c r="FS494" s="137"/>
      <c r="FT494" s="150"/>
      <c r="FU494" s="137"/>
      <c r="FV494" s="137"/>
      <c r="FW494" s="3"/>
      <c r="FX494" s="138"/>
      <c r="FY494" s="2"/>
      <c r="FZ494" s="139"/>
      <c r="GA494" s="3"/>
      <c r="GB494" s="3"/>
      <c r="GC494" s="3"/>
      <c r="GD494" s="3"/>
      <c r="GE494" s="3"/>
      <c r="GF494" s="3"/>
      <c r="GG494" s="3"/>
      <c r="GH494" s="3"/>
      <c r="GI494" s="3"/>
      <c r="GJ494" s="3"/>
      <c r="GK494" s="131"/>
      <c r="GL494" s="15"/>
      <c r="GM494" s="99"/>
      <c r="GN494" s="149"/>
      <c r="GO494" s="134"/>
      <c r="GP494" s="134"/>
      <c r="GQ494" s="137"/>
      <c r="GR494" s="150"/>
      <c r="GS494" s="137"/>
      <c r="GT494" s="137"/>
      <c r="GU494" s="3"/>
      <c r="GV494" s="138"/>
      <c r="GW494" s="2"/>
      <c r="GX494" s="139"/>
      <c r="GY494" s="3"/>
      <c r="GZ494" s="3"/>
      <c r="HA494" s="3"/>
      <c r="HB494" s="3"/>
      <c r="HC494" s="3"/>
      <c r="HD494" s="3"/>
      <c r="HE494" s="3"/>
      <c r="HF494" s="3"/>
      <c r="HG494" s="3"/>
      <c r="HH494" s="3"/>
      <c r="HI494" s="131"/>
      <c r="HJ494" s="15"/>
      <c r="HK494" s="99"/>
      <c r="HL494" s="149"/>
      <c r="HM494" s="134"/>
      <c r="HN494" s="134"/>
      <c r="HO494" s="137"/>
      <c r="HP494" s="150"/>
      <c r="HQ494" s="137"/>
      <c r="HR494" s="137"/>
      <c r="HS494" s="3"/>
      <c r="HT494" s="138"/>
      <c r="HU494" s="2"/>
      <c r="HV494" s="139"/>
      <c r="HW494" s="3"/>
      <c r="HX494" s="3"/>
      <c r="HY494" s="3"/>
      <c r="HZ494" s="3"/>
      <c r="IA494" s="3"/>
      <c r="IB494" s="3"/>
      <c r="IC494" s="3"/>
      <c r="ID494" s="3"/>
      <c r="IE494" s="3"/>
      <c r="IF494" s="3"/>
      <c r="IG494" s="131"/>
      <c r="IH494" s="15"/>
      <c r="II494" s="99"/>
      <c r="IJ494" s="149"/>
      <c r="IK494" s="134"/>
      <c r="IL494" s="134"/>
      <c r="IM494" s="137"/>
      <c r="IN494" s="150"/>
      <c r="IO494" s="137"/>
      <c r="IP494" s="137"/>
      <c r="IQ494" s="3"/>
      <c r="IR494" s="138"/>
      <c r="IS494" s="2"/>
      <c r="IT494" s="139"/>
      <c r="IU494" s="3"/>
      <c r="IV494" s="3"/>
    </row>
    <row r="495" spans="1:256" s="125" customFormat="1" ht="13.5" customHeight="1">
      <c r="A495" s="84">
        <v>16</v>
      </c>
      <c r="B495" s="17">
        <v>43095</v>
      </c>
      <c r="C495" s="18"/>
      <c r="D495" s="19" t="s">
        <v>379</v>
      </c>
      <c r="E495" s="20" t="s">
        <v>383</v>
      </c>
      <c r="F495" s="168" t="s">
        <v>681</v>
      </c>
      <c r="G495" s="63">
        <v>1709</v>
      </c>
      <c r="H495" s="121">
        <v>1410000</v>
      </c>
      <c r="I495" s="24"/>
      <c r="J495" s="24">
        <f>SUM(H495)/1.05</f>
        <v>1342857.1428571427</v>
      </c>
      <c r="K495" s="24">
        <f t="shared" si="43"/>
        <v>1342857.1428571427</v>
      </c>
      <c r="L495" s="123">
        <v>1</v>
      </c>
      <c r="M495" s="24">
        <f t="shared" si="44"/>
        <v>1342857.1428571427</v>
      </c>
      <c r="N495" s="129">
        <f t="shared" si="45"/>
        <v>0</v>
      </c>
      <c r="O495" s="85" t="s">
        <v>665</v>
      </c>
      <c r="P495" s="3"/>
      <c r="Q495" s="140"/>
      <c r="R495" s="3"/>
      <c r="S495" s="3"/>
      <c r="T495" s="3"/>
      <c r="U495" s="3"/>
      <c r="V495" s="3"/>
      <c r="W495" s="3"/>
      <c r="X495" s="3"/>
      <c r="Y495" s="131"/>
      <c r="Z495" s="15"/>
      <c r="AA495" s="99"/>
      <c r="AB495" s="149"/>
      <c r="AC495" s="134"/>
      <c r="AD495" s="134"/>
      <c r="AE495" s="137"/>
      <c r="AF495" s="150"/>
      <c r="AG495" s="137"/>
      <c r="AH495" s="137"/>
      <c r="AI495" s="3"/>
      <c r="AJ495" s="138"/>
      <c r="AK495" s="2"/>
      <c r="AL495" s="139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131"/>
      <c r="AX495" s="15"/>
      <c r="AY495" s="99"/>
      <c r="AZ495" s="149"/>
      <c r="BA495" s="134"/>
      <c r="BB495" s="134"/>
      <c r="BC495" s="137"/>
      <c r="BD495" s="150"/>
      <c r="BE495" s="137"/>
      <c r="BF495" s="137"/>
      <c r="BG495" s="3"/>
      <c r="BH495" s="138"/>
      <c r="BI495" s="2"/>
      <c r="BJ495" s="139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131"/>
      <c r="BV495" s="15"/>
      <c r="BW495" s="99"/>
      <c r="BX495" s="149"/>
      <c r="BY495" s="134"/>
      <c r="BZ495" s="134"/>
      <c r="CA495" s="137"/>
      <c r="CB495" s="150"/>
      <c r="CC495" s="137"/>
      <c r="CD495" s="137"/>
      <c r="CE495" s="3"/>
      <c r="CF495" s="138"/>
      <c r="CG495" s="2"/>
      <c r="CH495" s="139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131"/>
      <c r="CT495" s="15"/>
      <c r="CU495" s="99"/>
      <c r="CV495" s="149"/>
      <c r="CW495" s="134"/>
      <c r="CX495" s="134"/>
      <c r="CY495" s="137"/>
      <c r="CZ495" s="150"/>
      <c r="DA495" s="137"/>
      <c r="DB495" s="137"/>
      <c r="DC495" s="3"/>
      <c r="DD495" s="138"/>
      <c r="DE495" s="2"/>
      <c r="DF495" s="139"/>
      <c r="DG495" s="3"/>
      <c r="DH495" s="3"/>
      <c r="DI495" s="3"/>
      <c r="DJ495" s="3"/>
      <c r="DK495" s="3"/>
      <c r="DL495" s="3"/>
      <c r="DM495" s="3"/>
      <c r="DN495" s="3"/>
      <c r="DO495" s="3"/>
      <c r="DP495" s="3"/>
      <c r="DQ495" s="131"/>
      <c r="DR495" s="15"/>
      <c r="DS495" s="99"/>
      <c r="DT495" s="149"/>
      <c r="DU495" s="134"/>
      <c r="DV495" s="134"/>
      <c r="DW495" s="137"/>
      <c r="DX495" s="150"/>
      <c r="DY495" s="137"/>
      <c r="DZ495" s="137"/>
      <c r="EA495" s="3"/>
      <c r="EB495" s="138"/>
      <c r="EC495" s="2"/>
      <c r="ED495" s="139"/>
      <c r="EE495" s="3"/>
      <c r="EF495" s="3"/>
      <c r="EG495" s="3"/>
      <c r="EH495" s="3"/>
      <c r="EI495" s="3"/>
      <c r="EJ495" s="3"/>
      <c r="EK495" s="3"/>
      <c r="EL495" s="3"/>
      <c r="EM495" s="3"/>
      <c r="EN495" s="3"/>
      <c r="EO495" s="131"/>
      <c r="EP495" s="15"/>
      <c r="EQ495" s="99"/>
      <c r="ER495" s="149"/>
      <c r="ES495" s="134"/>
      <c r="ET495" s="134"/>
      <c r="EU495" s="137"/>
      <c r="EV495" s="150"/>
      <c r="EW495" s="137"/>
      <c r="EX495" s="137"/>
      <c r="EY495" s="3"/>
      <c r="EZ495" s="138"/>
      <c r="FA495" s="2"/>
      <c r="FB495" s="139"/>
      <c r="FC495" s="3"/>
      <c r="FD495" s="3"/>
      <c r="FE495" s="3"/>
      <c r="FF495" s="3"/>
      <c r="FG495" s="3"/>
      <c r="FH495" s="3"/>
      <c r="FI495" s="3"/>
      <c r="FJ495" s="3"/>
      <c r="FK495" s="3"/>
      <c r="FL495" s="3"/>
      <c r="FM495" s="131"/>
      <c r="FN495" s="15"/>
      <c r="FO495" s="99"/>
      <c r="FP495" s="149"/>
      <c r="FQ495" s="134"/>
      <c r="FR495" s="134"/>
      <c r="FS495" s="137"/>
      <c r="FT495" s="150"/>
      <c r="FU495" s="137"/>
      <c r="FV495" s="137"/>
      <c r="FW495" s="3"/>
      <c r="FX495" s="138"/>
      <c r="FY495" s="2"/>
      <c r="FZ495" s="139"/>
      <c r="GA495" s="3"/>
      <c r="GB495" s="3"/>
      <c r="GC495" s="3"/>
      <c r="GD495" s="3"/>
      <c r="GE495" s="3"/>
      <c r="GF495" s="3"/>
      <c r="GG495" s="3"/>
      <c r="GH495" s="3"/>
      <c r="GI495" s="3"/>
      <c r="GJ495" s="3"/>
      <c r="GK495" s="131"/>
      <c r="GL495" s="15"/>
      <c r="GM495" s="99"/>
      <c r="GN495" s="149"/>
      <c r="GO495" s="134"/>
      <c r="GP495" s="134"/>
      <c r="GQ495" s="137"/>
      <c r="GR495" s="150"/>
      <c r="GS495" s="137"/>
      <c r="GT495" s="137"/>
      <c r="GU495" s="3"/>
      <c r="GV495" s="138"/>
      <c r="GW495" s="2"/>
      <c r="GX495" s="139"/>
      <c r="GY495" s="3"/>
      <c r="GZ495" s="3"/>
      <c r="HA495" s="3"/>
      <c r="HB495" s="3"/>
      <c r="HC495" s="3"/>
      <c r="HD495" s="3"/>
      <c r="HE495" s="3"/>
      <c r="HF495" s="3"/>
      <c r="HG495" s="3"/>
      <c r="HH495" s="3"/>
      <c r="HI495" s="131"/>
      <c r="HJ495" s="15"/>
      <c r="HK495" s="99"/>
      <c r="HL495" s="149"/>
      <c r="HM495" s="134"/>
      <c r="HN495" s="134"/>
      <c r="HO495" s="137"/>
      <c r="HP495" s="150"/>
      <c r="HQ495" s="137"/>
      <c r="HR495" s="137"/>
      <c r="HS495" s="3"/>
      <c r="HT495" s="138"/>
      <c r="HU495" s="2"/>
      <c r="HV495" s="139"/>
      <c r="HW495" s="3"/>
      <c r="HX495" s="3"/>
      <c r="HY495" s="3"/>
      <c r="HZ495" s="3"/>
      <c r="IA495" s="3"/>
      <c r="IB495" s="3"/>
      <c r="IC495" s="3"/>
      <c r="ID495" s="3"/>
      <c r="IE495" s="3"/>
      <c r="IF495" s="3"/>
      <c r="IG495" s="131"/>
      <c r="IH495" s="15"/>
      <c r="II495" s="99"/>
      <c r="IJ495" s="149"/>
      <c r="IK495" s="134"/>
      <c r="IL495" s="134"/>
      <c r="IM495" s="137"/>
      <c r="IN495" s="150"/>
      <c r="IO495" s="137"/>
      <c r="IP495" s="137"/>
      <c r="IQ495" s="3"/>
      <c r="IR495" s="138"/>
      <c r="IS495" s="2"/>
      <c r="IT495" s="139"/>
      <c r="IU495" s="3"/>
      <c r="IV495" s="3"/>
    </row>
    <row r="496" spans="1:256" s="125" customFormat="1" ht="13.5" customHeight="1">
      <c r="A496" s="84">
        <v>17</v>
      </c>
      <c r="B496" s="29">
        <v>43056</v>
      </c>
      <c r="C496" s="18"/>
      <c r="D496" s="19" t="s">
        <v>305</v>
      </c>
      <c r="E496" s="20" t="s">
        <v>536</v>
      </c>
      <c r="F496" s="82" t="s">
        <v>682</v>
      </c>
      <c r="G496" s="63">
        <v>1709</v>
      </c>
      <c r="H496" s="121">
        <v>1840000</v>
      </c>
      <c r="I496" s="24">
        <v>1752381</v>
      </c>
      <c r="J496" s="24"/>
      <c r="K496" s="24">
        <f t="shared" si="43"/>
        <v>1752381</v>
      </c>
      <c r="L496" s="123">
        <v>1</v>
      </c>
      <c r="M496" s="24">
        <f t="shared" si="44"/>
        <v>1752381</v>
      </c>
      <c r="N496" s="129">
        <f t="shared" si="45"/>
        <v>0</v>
      </c>
      <c r="O496" s="85" t="s">
        <v>665</v>
      </c>
      <c r="P496" s="3"/>
      <c r="Q496" s="140"/>
      <c r="R496" s="3"/>
      <c r="S496" s="3"/>
      <c r="T496" s="3"/>
      <c r="U496" s="3"/>
      <c r="V496" s="3"/>
      <c r="W496" s="3"/>
      <c r="X496" s="3"/>
      <c r="Y496" s="131"/>
      <c r="Z496" s="15"/>
      <c r="AA496" s="99"/>
      <c r="AB496" s="149"/>
      <c r="AC496" s="134"/>
      <c r="AD496" s="134"/>
      <c r="AE496" s="137"/>
      <c r="AF496" s="150"/>
      <c r="AG496" s="137"/>
      <c r="AH496" s="137"/>
      <c r="AI496" s="3"/>
      <c r="AJ496" s="138"/>
      <c r="AK496" s="2"/>
      <c r="AL496" s="139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131"/>
      <c r="AX496" s="15"/>
      <c r="AY496" s="99"/>
      <c r="AZ496" s="149"/>
      <c r="BA496" s="134"/>
      <c r="BB496" s="134"/>
      <c r="BC496" s="137"/>
      <c r="BD496" s="150"/>
      <c r="BE496" s="137"/>
      <c r="BF496" s="137"/>
      <c r="BG496" s="3"/>
      <c r="BH496" s="138"/>
      <c r="BI496" s="2"/>
      <c r="BJ496" s="139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131"/>
      <c r="BV496" s="15"/>
      <c r="BW496" s="99"/>
      <c r="BX496" s="149"/>
      <c r="BY496" s="134"/>
      <c r="BZ496" s="134"/>
      <c r="CA496" s="137"/>
      <c r="CB496" s="150"/>
      <c r="CC496" s="137"/>
      <c r="CD496" s="137"/>
      <c r="CE496" s="3"/>
      <c r="CF496" s="138"/>
      <c r="CG496" s="2"/>
      <c r="CH496" s="139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131"/>
      <c r="CT496" s="15"/>
      <c r="CU496" s="99"/>
      <c r="CV496" s="149"/>
      <c r="CW496" s="134"/>
      <c r="CX496" s="134"/>
      <c r="CY496" s="137"/>
      <c r="CZ496" s="150"/>
      <c r="DA496" s="137"/>
      <c r="DB496" s="137"/>
      <c r="DC496" s="3"/>
      <c r="DD496" s="138"/>
      <c r="DE496" s="2"/>
      <c r="DF496" s="139"/>
      <c r="DG496" s="3"/>
      <c r="DH496" s="3"/>
      <c r="DI496" s="3"/>
      <c r="DJ496" s="3"/>
      <c r="DK496" s="3"/>
      <c r="DL496" s="3"/>
      <c r="DM496" s="3"/>
      <c r="DN496" s="3"/>
      <c r="DO496" s="3"/>
      <c r="DP496" s="3"/>
      <c r="DQ496" s="131"/>
      <c r="DR496" s="15"/>
      <c r="DS496" s="99"/>
      <c r="DT496" s="149"/>
      <c r="DU496" s="134"/>
      <c r="DV496" s="134"/>
      <c r="DW496" s="137"/>
      <c r="DX496" s="150"/>
      <c r="DY496" s="137"/>
      <c r="DZ496" s="137"/>
      <c r="EA496" s="3"/>
      <c r="EB496" s="138"/>
      <c r="EC496" s="2"/>
      <c r="ED496" s="139"/>
      <c r="EE496" s="3"/>
      <c r="EF496" s="3"/>
      <c r="EG496" s="3"/>
      <c r="EH496" s="3"/>
      <c r="EI496" s="3"/>
      <c r="EJ496" s="3"/>
      <c r="EK496" s="3"/>
      <c r="EL496" s="3"/>
      <c r="EM496" s="3"/>
      <c r="EN496" s="3"/>
      <c r="EO496" s="131"/>
      <c r="EP496" s="15"/>
      <c r="EQ496" s="99"/>
      <c r="ER496" s="149"/>
      <c r="ES496" s="134"/>
      <c r="ET496" s="134"/>
      <c r="EU496" s="137"/>
      <c r="EV496" s="150"/>
      <c r="EW496" s="137"/>
      <c r="EX496" s="137"/>
      <c r="EY496" s="3"/>
      <c r="EZ496" s="138"/>
      <c r="FA496" s="2"/>
      <c r="FB496" s="139"/>
      <c r="FC496" s="3"/>
      <c r="FD496" s="3"/>
      <c r="FE496" s="3"/>
      <c r="FF496" s="3"/>
      <c r="FG496" s="3"/>
      <c r="FH496" s="3"/>
      <c r="FI496" s="3"/>
      <c r="FJ496" s="3"/>
      <c r="FK496" s="3"/>
      <c r="FL496" s="3"/>
      <c r="FM496" s="131"/>
      <c r="FN496" s="15"/>
      <c r="FO496" s="99"/>
      <c r="FP496" s="149"/>
      <c r="FQ496" s="134"/>
      <c r="FR496" s="134"/>
      <c r="FS496" s="137"/>
      <c r="FT496" s="150"/>
      <c r="FU496" s="137"/>
      <c r="FV496" s="137"/>
      <c r="FW496" s="3"/>
      <c r="FX496" s="138"/>
      <c r="FY496" s="2"/>
      <c r="FZ496" s="139"/>
      <c r="GA496" s="3"/>
      <c r="GB496" s="3"/>
      <c r="GC496" s="3"/>
      <c r="GD496" s="3"/>
      <c r="GE496" s="3"/>
      <c r="GF496" s="3"/>
      <c r="GG496" s="3"/>
      <c r="GH496" s="3"/>
      <c r="GI496" s="3"/>
      <c r="GJ496" s="3"/>
      <c r="GK496" s="131"/>
      <c r="GL496" s="15"/>
      <c r="GM496" s="99"/>
      <c r="GN496" s="149"/>
      <c r="GO496" s="134"/>
      <c r="GP496" s="134"/>
      <c r="GQ496" s="137"/>
      <c r="GR496" s="150"/>
      <c r="GS496" s="137"/>
      <c r="GT496" s="137"/>
      <c r="GU496" s="3"/>
      <c r="GV496" s="138"/>
      <c r="GW496" s="2"/>
      <c r="GX496" s="139"/>
      <c r="GY496" s="3"/>
      <c r="GZ496" s="3"/>
      <c r="HA496" s="3"/>
      <c r="HB496" s="3"/>
      <c r="HC496" s="3"/>
      <c r="HD496" s="3"/>
      <c r="HE496" s="3"/>
      <c r="HF496" s="3"/>
      <c r="HG496" s="3"/>
      <c r="HH496" s="3"/>
      <c r="HI496" s="131"/>
      <c r="HJ496" s="15"/>
      <c r="HK496" s="99"/>
      <c r="HL496" s="149"/>
      <c r="HM496" s="134"/>
      <c r="HN496" s="134"/>
      <c r="HO496" s="137"/>
      <c r="HP496" s="150"/>
      <c r="HQ496" s="137"/>
      <c r="HR496" s="137"/>
      <c r="HS496" s="3"/>
      <c r="HT496" s="138"/>
      <c r="HU496" s="2"/>
      <c r="HV496" s="139"/>
      <c r="HW496" s="3"/>
      <c r="HX496" s="3"/>
      <c r="HY496" s="3"/>
      <c r="HZ496" s="3"/>
      <c r="IA496" s="3"/>
      <c r="IB496" s="3"/>
      <c r="IC496" s="3"/>
      <c r="ID496" s="3"/>
      <c r="IE496" s="3"/>
      <c r="IF496" s="3"/>
      <c r="IG496" s="131"/>
      <c r="IH496" s="15"/>
      <c r="II496" s="99"/>
      <c r="IJ496" s="149"/>
      <c r="IK496" s="134"/>
      <c r="IL496" s="134"/>
      <c r="IM496" s="137"/>
      <c r="IN496" s="150"/>
      <c r="IO496" s="137"/>
      <c r="IP496" s="137"/>
      <c r="IQ496" s="3"/>
      <c r="IR496" s="138"/>
      <c r="IS496" s="2"/>
      <c r="IT496" s="139"/>
      <c r="IU496" s="3"/>
      <c r="IV496" s="3"/>
    </row>
    <row r="497" spans="1:256" s="125" customFormat="1" ht="13.5" customHeight="1">
      <c r="A497" s="84">
        <v>18</v>
      </c>
      <c r="B497" s="29">
        <v>43097</v>
      </c>
      <c r="C497" s="18" t="s">
        <v>647</v>
      </c>
      <c r="D497" s="19" t="s">
        <v>305</v>
      </c>
      <c r="E497" s="20" t="s">
        <v>539</v>
      </c>
      <c r="F497" s="62" t="s">
        <v>683</v>
      </c>
      <c r="G497" s="63">
        <v>1710</v>
      </c>
      <c r="H497" s="121">
        <f>1840000+9400</f>
        <v>1849400</v>
      </c>
      <c r="I497" s="24"/>
      <c r="J497" s="24">
        <f t="shared" ref="J497:J502" si="46">SUM(H497)/1.05</f>
        <v>1761333.3333333333</v>
      </c>
      <c r="K497" s="24">
        <f t="shared" si="43"/>
        <v>1761333.3333333333</v>
      </c>
      <c r="L497" s="123">
        <v>1</v>
      </c>
      <c r="M497" s="24">
        <f t="shared" si="44"/>
        <v>1761333.3333333333</v>
      </c>
      <c r="N497" s="129">
        <f t="shared" si="45"/>
        <v>0</v>
      </c>
      <c r="O497" s="85" t="s">
        <v>665</v>
      </c>
      <c r="P497" s="3"/>
      <c r="Q497" s="140"/>
      <c r="R497" s="3"/>
      <c r="S497" s="3"/>
      <c r="T497" s="3"/>
      <c r="U497" s="3"/>
      <c r="V497" s="3"/>
      <c r="W497" s="3"/>
      <c r="X497" s="3"/>
      <c r="Y497" s="131"/>
      <c r="Z497" s="15"/>
      <c r="AA497" s="99"/>
      <c r="AB497" s="149"/>
      <c r="AC497" s="134"/>
      <c r="AD497" s="134"/>
      <c r="AE497" s="137"/>
      <c r="AF497" s="150"/>
      <c r="AG497" s="137"/>
      <c r="AH497" s="137"/>
      <c r="AI497" s="3"/>
      <c r="AJ497" s="138"/>
      <c r="AK497" s="2"/>
      <c r="AL497" s="139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131"/>
      <c r="AX497" s="15"/>
      <c r="AY497" s="99"/>
      <c r="AZ497" s="149"/>
      <c r="BA497" s="134"/>
      <c r="BB497" s="134"/>
      <c r="BC497" s="137"/>
      <c r="BD497" s="150"/>
      <c r="BE497" s="137"/>
      <c r="BF497" s="137"/>
      <c r="BG497" s="3"/>
      <c r="BH497" s="138"/>
      <c r="BI497" s="2"/>
      <c r="BJ497" s="139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131"/>
      <c r="BV497" s="15"/>
      <c r="BW497" s="99"/>
      <c r="BX497" s="149"/>
      <c r="BY497" s="134"/>
      <c r="BZ497" s="134"/>
      <c r="CA497" s="137"/>
      <c r="CB497" s="150"/>
      <c r="CC497" s="137"/>
      <c r="CD497" s="137"/>
      <c r="CE497" s="3"/>
      <c r="CF497" s="138"/>
      <c r="CG497" s="2"/>
      <c r="CH497" s="139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131"/>
      <c r="CT497" s="15"/>
      <c r="CU497" s="99"/>
      <c r="CV497" s="149"/>
      <c r="CW497" s="134"/>
      <c r="CX497" s="134"/>
      <c r="CY497" s="137"/>
      <c r="CZ497" s="150"/>
      <c r="DA497" s="137"/>
      <c r="DB497" s="137"/>
      <c r="DC497" s="3"/>
      <c r="DD497" s="138"/>
      <c r="DE497" s="2"/>
      <c r="DF497" s="139"/>
      <c r="DG497" s="3"/>
      <c r="DH497" s="3"/>
      <c r="DI497" s="3"/>
      <c r="DJ497" s="3"/>
      <c r="DK497" s="3"/>
      <c r="DL497" s="3"/>
      <c r="DM497" s="3"/>
      <c r="DN497" s="3"/>
      <c r="DO497" s="3"/>
      <c r="DP497" s="3"/>
      <c r="DQ497" s="131"/>
      <c r="DR497" s="15"/>
      <c r="DS497" s="99"/>
      <c r="DT497" s="149"/>
      <c r="DU497" s="134"/>
      <c r="DV497" s="134"/>
      <c r="DW497" s="137"/>
      <c r="DX497" s="150"/>
      <c r="DY497" s="137"/>
      <c r="DZ497" s="137"/>
      <c r="EA497" s="3"/>
      <c r="EB497" s="138"/>
      <c r="EC497" s="2"/>
      <c r="ED497" s="139"/>
      <c r="EE497" s="3"/>
      <c r="EF497" s="3"/>
      <c r="EG497" s="3"/>
      <c r="EH497" s="3"/>
      <c r="EI497" s="3"/>
      <c r="EJ497" s="3"/>
      <c r="EK497" s="3"/>
      <c r="EL497" s="3"/>
      <c r="EM497" s="3"/>
      <c r="EN497" s="3"/>
      <c r="EO497" s="131"/>
      <c r="EP497" s="15"/>
      <c r="EQ497" s="99"/>
      <c r="ER497" s="149"/>
      <c r="ES497" s="134"/>
      <c r="ET497" s="134"/>
      <c r="EU497" s="137"/>
      <c r="EV497" s="150"/>
      <c r="EW497" s="137"/>
      <c r="EX497" s="137"/>
      <c r="EY497" s="3"/>
      <c r="EZ497" s="138"/>
      <c r="FA497" s="2"/>
      <c r="FB497" s="139"/>
      <c r="FC497" s="3"/>
      <c r="FD497" s="3"/>
      <c r="FE497" s="3"/>
      <c r="FF497" s="3"/>
      <c r="FG497" s="3"/>
      <c r="FH497" s="3"/>
      <c r="FI497" s="3"/>
      <c r="FJ497" s="3"/>
      <c r="FK497" s="3"/>
      <c r="FL497" s="3"/>
      <c r="FM497" s="131"/>
      <c r="FN497" s="15"/>
      <c r="FO497" s="99"/>
      <c r="FP497" s="149"/>
      <c r="FQ497" s="134"/>
      <c r="FR497" s="134"/>
      <c r="FS497" s="137"/>
      <c r="FT497" s="150"/>
      <c r="FU497" s="137"/>
      <c r="FV497" s="137"/>
      <c r="FW497" s="3"/>
      <c r="FX497" s="138"/>
      <c r="FY497" s="2"/>
      <c r="FZ497" s="139"/>
      <c r="GA497" s="3"/>
      <c r="GB497" s="3"/>
      <c r="GC497" s="3"/>
      <c r="GD497" s="3"/>
      <c r="GE497" s="3"/>
      <c r="GF497" s="3"/>
      <c r="GG497" s="3"/>
      <c r="GH497" s="3"/>
      <c r="GI497" s="3"/>
      <c r="GJ497" s="3"/>
      <c r="GK497" s="131"/>
      <c r="GL497" s="15"/>
      <c r="GM497" s="99"/>
      <c r="GN497" s="149"/>
      <c r="GO497" s="134"/>
      <c r="GP497" s="134"/>
      <c r="GQ497" s="137"/>
      <c r="GR497" s="150"/>
      <c r="GS497" s="137"/>
      <c r="GT497" s="137"/>
      <c r="GU497" s="3"/>
      <c r="GV497" s="138"/>
      <c r="GW497" s="2"/>
      <c r="GX497" s="139"/>
      <c r="GY497" s="3"/>
      <c r="GZ497" s="3"/>
      <c r="HA497" s="3"/>
      <c r="HB497" s="3"/>
      <c r="HC497" s="3"/>
      <c r="HD497" s="3"/>
      <c r="HE497" s="3"/>
      <c r="HF497" s="3"/>
      <c r="HG497" s="3"/>
      <c r="HH497" s="3"/>
      <c r="HI497" s="131"/>
      <c r="HJ497" s="15"/>
      <c r="HK497" s="99"/>
      <c r="HL497" s="149"/>
      <c r="HM497" s="134"/>
      <c r="HN497" s="134"/>
      <c r="HO497" s="137"/>
      <c r="HP497" s="150"/>
      <c r="HQ497" s="137"/>
      <c r="HR497" s="137"/>
      <c r="HS497" s="3"/>
      <c r="HT497" s="138"/>
      <c r="HU497" s="2"/>
      <c r="HV497" s="139"/>
      <c r="HW497" s="3"/>
      <c r="HX497" s="3"/>
      <c r="HY497" s="3"/>
      <c r="HZ497" s="3"/>
      <c r="IA497" s="3"/>
      <c r="IB497" s="3"/>
      <c r="IC497" s="3"/>
      <c r="ID497" s="3"/>
      <c r="IE497" s="3"/>
      <c r="IF497" s="3"/>
      <c r="IG497" s="131"/>
      <c r="IH497" s="15"/>
      <c r="II497" s="99"/>
      <c r="IJ497" s="149"/>
      <c r="IK497" s="134"/>
      <c r="IL497" s="134"/>
      <c r="IM497" s="137"/>
      <c r="IN497" s="150"/>
      <c r="IO497" s="137"/>
      <c r="IP497" s="137"/>
      <c r="IQ497" s="3"/>
      <c r="IR497" s="138"/>
      <c r="IS497" s="2"/>
      <c r="IT497" s="139"/>
      <c r="IU497" s="3"/>
      <c r="IV497" s="3"/>
    </row>
    <row r="498" spans="1:256" s="125" customFormat="1" ht="13.5" customHeight="1">
      <c r="A498" s="84">
        <v>19</v>
      </c>
      <c r="B498" s="29">
        <v>43097</v>
      </c>
      <c r="C498" s="18"/>
      <c r="D498" s="19" t="s">
        <v>305</v>
      </c>
      <c r="E498" s="20" t="s">
        <v>684</v>
      </c>
      <c r="F498" s="62" t="s">
        <v>685</v>
      </c>
      <c r="G498" s="63">
        <v>1710</v>
      </c>
      <c r="H498" s="121">
        <v>2010000</v>
      </c>
      <c r="I498" s="24"/>
      <c r="J498" s="24">
        <f t="shared" si="46"/>
        <v>1914285.7142857143</v>
      </c>
      <c r="K498" s="24">
        <f t="shared" si="43"/>
        <v>1914285.7142857143</v>
      </c>
      <c r="L498" s="123">
        <v>1</v>
      </c>
      <c r="M498" s="24">
        <f t="shared" si="44"/>
        <v>1914285.7142857143</v>
      </c>
      <c r="N498" s="129">
        <f t="shared" si="45"/>
        <v>0</v>
      </c>
      <c r="O498" s="85" t="s">
        <v>665</v>
      </c>
      <c r="P498" s="3"/>
      <c r="Q498" s="140"/>
      <c r="R498" s="3"/>
      <c r="S498" s="3"/>
      <c r="T498" s="3"/>
      <c r="U498" s="3"/>
      <c r="V498" s="3"/>
      <c r="W498" s="3"/>
      <c r="X498" s="3"/>
      <c r="Y498" s="131"/>
      <c r="Z498" s="15"/>
      <c r="AA498" s="99"/>
      <c r="AB498" s="149"/>
      <c r="AC498" s="134"/>
      <c r="AD498" s="134"/>
      <c r="AE498" s="137"/>
      <c r="AF498" s="150"/>
      <c r="AG498" s="137"/>
      <c r="AH498" s="137"/>
      <c r="AI498" s="3"/>
      <c r="AJ498" s="138"/>
      <c r="AK498" s="2"/>
      <c r="AL498" s="139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131"/>
      <c r="AX498" s="15"/>
      <c r="AY498" s="99"/>
      <c r="AZ498" s="149"/>
      <c r="BA498" s="134"/>
      <c r="BB498" s="134"/>
      <c r="BC498" s="137"/>
      <c r="BD498" s="150"/>
      <c r="BE498" s="137"/>
      <c r="BF498" s="137"/>
      <c r="BG498" s="3"/>
      <c r="BH498" s="138"/>
      <c r="BI498" s="2"/>
      <c r="BJ498" s="139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131"/>
      <c r="BV498" s="15"/>
      <c r="BW498" s="99"/>
      <c r="BX498" s="149"/>
      <c r="BY498" s="134"/>
      <c r="BZ498" s="134"/>
      <c r="CA498" s="137"/>
      <c r="CB498" s="150"/>
      <c r="CC498" s="137"/>
      <c r="CD498" s="137"/>
      <c r="CE498" s="3"/>
      <c r="CF498" s="138"/>
      <c r="CG498" s="2"/>
      <c r="CH498" s="139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131"/>
      <c r="CT498" s="15"/>
      <c r="CU498" s="99"/>
      <c r="CV498" s="149"/>
      <c r="CW498" s="134"/>
      <c r="CX498" s="134"/>
      <c r="CY498" s="137"/>
      <c r="CZ498" s="150"/>
      <c r="DA498" s="137"/>
      <c r="DB498" s="137"/>
      <c r="DC498" s="3"/>
      <c r="DD498" s="138"/>
      <c r="DE498" s="2"/>
      <c r="DF498" s="139"/>
      <c r="DG498" s="3"/>
      <c r="DH498" s="3"/>
      <c r="DI498" s="3"/>
      <c r="DJ498" s="3"/>
      <c r="DK498" s="3"/>
      <c r="DL498" s="3"/>
      <c r="DM498" s="3"/>
      <c r="DN498" s="3"/>
      <c r="DO498" s="3"/>
      <c r="DP498" s="3"/>
      <c r="DQ498" s="131"/>
      <c r="DR498" s="15"/>
      <c r="DS498" s="99"/>
      <c r="DT498" s="149"/>
      <c r="DU498" s="134"/>
      <c r="DV498" s="134"/>
      <c r="DW498" s="137"/>
      <c r="DX498" s="150"/>
      <c r="DY498" s="137"/>
      <c r="DZ498" s="137"/>
      <c r="EA498" s="3"/>
      <c r="EB498" s="138"/>
      <c r="EC498" s="2"/>
      <c r="ED498" s="139"/>
      <c r="EE498" s="3"/>
      <c r="EF498" s="3"/>
      <c r="EG498" s="3"/>
      <c r="EH498" s="3"/>
      <c r="EI498" s="3"/>
      <c r="EJ498" s="3"/>
      <c r="EK498" s="3"/>
      <c r="EL498" s="3"/>
      <c r="EM498" s="3"/>
      <c r="EN498" s="3"/>
      <c r="EO498" s="131"/>
      <c r="EP498" s="15"/>
      <c r="EQ498" s="99"/>
      <c r="ER498" s="149"/>
      <c r="ES498" s="134"/>
      <c r="ET498" s="134"/>
      <c r="EU498" s="137"/>
      <c r="EV498" s="150"/>
      <c r="EW498" s="137"/>
      <c r="EX498" s="137"/>
      <c r="EY498" s="3"/>
      <c r="EZ498" s="138"/>
      <c r="FA498" s="2"/>
      <c r="FB498" s="139"/>
      <c r="FC498" s="3"/>
      <c r="FD498" s="3"/>
      <c r="FE498" s="3"/>
      <c r="FF498" s="3"/>
      <c r="FG498" s="3"/>
      <c r="FH498" s="3"/>
      <c r="FI498" s="3"/>
      <c r="FJ498" s="3"/>
      <c r="FK498" s="3"/>
      <c r="FL498" s="3"/>
      <c r="FM498" s="131"/>
      <c r="FN498" s="15"/>
      <c r="FO498" s="99"/>
      <c r="FP498" s="149"/>
      <c r="FQ498" s="134"/>
      <c r="FR498" s="134"/>
      <c r="FS498" s="137"/>
      <c r="FT498" s="150"/>
      <c r="FU498" s="137"/>
      <c r="FV498" s="137"/>
      <c r="FW498" s="3"/>
      <c r="FX498" s="138"/>
      <c r="FY498" s="2"/>
      <c r="FZ498" s="139"/>
      <c r="GA498" s="3"/>
      <c r="GB498" s="3"/>
      <c r="GC498" s="3"/>
      <c r="GD498" s="3"/>
      <c r="GE498" s="3"/>
      <c r="GF498" s="3"/>
      <c r="GG498" s="3"/>
      <c r="GH498" s="3"/>
      <c r="GI498" s="3"/>
      <c r="GJ498" s="3"/>
      <c r="GK498" s="131"/>
      <c r="GL498" s="15"/>
      <c r="GM498" s="99"/>
      <c r="GN498" s="149"/>
      <c r="GO498" s="134"/>
      <c r="GP498" s="134"/>
      <c r="GQ498" s="137"/>
      <c r="GR498" s="150"/>
      <c r="GS498" s="137"/>
      <c r="GT498" s="137"/>
      <c r="GU498" s="3"/>
      <c r="GV498" s="138"/>
      <c r="GW498" s="2"/>
      <c r="GX498" s="139"/>
      <c r="GY498" s="3"/>
      <c r="GZ498" s="3"/>
      <c r="HA498" s="3"/>
      <c r="HB498" s="3"/>
      <c r="HC498" s="3"/>
      <c r="HD498" s="3"/>
      <c r="HE498" s="3"/>
      <c r="HF498" s="3"/>
      <c r="HG498" s="3"/>
      <c r="HH498" s="3"/>
      <c r="HI498" s="131"/>
      <c r="HJ498" s="15"/>
      <c r="HK498" s="99"/>
      <c r="HL498" s="149"/>
      <c r="HM498" s="134"/>
      <c r="HN498" s="134"/>
      <c r="HO498" s="137"/>
      <c r="HP498" s="150"/>
      <c r="HQ498" s="137"/>
      <c r="HR498" s="137"/>
      <c r="HS498" s="3"/>
      <c r="HT498" s="138"/>
      <c r="HU498" s="2"/>
      <c r="HV498" s="139"/>
      <c r="HW498" s="3"/>
      <c r="HX498" s="3"/>
      <c r="HY498" s="3"/>
      <c r="HZ498" s="3"/>
      <c r="IA498" s="3"/>
      <c r="IB498" s="3"/>
      <c r="IC498" s="3"/>
      <c r="ID498" s="3"/>
      <c r="IE498" s="3"/>
      <c r="IF498" s="3"/>
      <c r="IG498" s="131"/>
      <c r="IH498" s="15"/>
      <c r="II498" s="99"/>
      <c r="IJ498" s="149"/>
      <c r="IK498" s="134"/>
      <c r="IL498" s="134"/>
      <c r="IM498" s="137"/>
      <c r="IN498" s="150"/>
      <c r="IO498" s="137"/>
      <c r="IP498" s="137"/>
      <c r="IQ498" s="3"/>
      <c r="IR498" s="138"/>
      <c r="IS498" s="2"/>
      <c r="IT498" s="139"/>
      <c r="IU498" s="3"/>
      <c r="IV498" s="3"/>
    </row>
    <row r="499" spans="1:256" s="125" customFormat="1" ht="13.5" customHeight="1">
      <c r="A499" s="84">
        <v>20</v>
      </c>
      <c r="B499" s="29">
        <v>43097</v>
      </c>
      <c r="C499" s="18"/>
      <c r="D499" s="19" t="s">
        <v>305</v>
      </c>
      <c r="E499" s="20" t="s">
        <v>684</v>
      </c>
      <c r="F499" s="62" t="s">
        <v>686</v>
      </c>
      <c r="G499" s="63">
        <v>1710</v>
      </c>
      <c r="H499" s="121">
        <v>2010000</v>
      </c>
      <c r="I499" s="24"/>
      <c r="J499" s="24">
        <f t="shared" si="46"/>
        <v>1914285.7142857143</v>
      </c>
      <c r="K499" s="24">
        <f t="shared" si="43"/>
        <v>1914285.7142857143</v>
      </c>
      <c r="L499" s="123">
        <v>1</v>
      </c>
      <c r="M499" s="24">
        <f t="shared" si="44"/>
        <v>1914285.7142857143</v>
      </c>
      <c r="N499" s="129">
        <f t="shared" si="45"/>
        <v>0</v>
      </c>
      <c r="O499" s="85" t="s">
        <v>665</v>
      </c>
      <c r="P499" s="3"/>
      <c r="Q499" s="140"/>
      <c r="R499" s="3"/>
      <c r="S499" s="3"/>
      <c r="T499" s="3"/>
      <c r="U499" s="3"/>
      <c r="V499" s="3"/>
      <c r="W499" s="3"/>
      <c r="X499" s="3"/>
      <c r="Y499" s="131"/>
      <c r="Z499" s="15"/>
      <c r="AA499" s="99"/>
      <c r="AB499" s="149"/>
      <c r="AC499" s="134"/>
      <c r="AD499" s="134"/>
      <c r="AE499" s="137"/>
      <c r="AF499" s="150"/>
      <c r="AG499" s="137"/>
      <c r="AH499" s="137"/>
      <c r="AI499" s="3"/>
      <c r="AJ499" s="138"/>
      <c r="AK499" s="2"/>
      <c r="AL499" s="139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131"/>
      <c r="AX499" s="15"/>
      <c r="AY499" s="99"/>
      <c r="AZ499" s="149"/>
      <c r="BA499" s="134"/>
      <c r="BB499" s="134"/>
      <c r="BC499" s="137"/>
      <c r="BD499" s="150"/>
      <c r="BE499" s="137"/>
      <c r="BF499" s="137"/>
      <c r="BG499" s="3"/>
      <c r="BH499" s="138"/>
      <c r="BI499" s="2"/>
      <c r="BJ499" s="139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131"/>
      <c r="BV499" s="15"/>
      <c r="BW499" s="99"/>
      <c r="BX499" s="149"/>
      <c r="BY499" s="134"/>
      <c r="BZ499" s="134"/>
      <c r="CA499" s="137"/>
      <c r="CB499" s="150"/>
      <c r="CC499" s="137"/>
      <c r="CD499" s="137"/>
      <c r="CE499" s="3"/>
      <c r="CF499" s="138"/>
      <c r="CG499" s="2"/>
      <c r="CH499" s="139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131"/>
      <c r="CT499" s="15"/>
      <c r="CU499" s="99"/>
      <c r="CV499" s="149"/>
      <c r="CW499" s="134"/>
      <c r="CX499" s="134"/>
      <c r="CY499" s="137"/>
      <c r="CZ499" s="150"/>
      <c r="DA499" s="137"/>
      <c r="DB499" s="137"/>
      <c r="DC499" s="3"/>
      <c r="DD499" s="138"/>
      <c r="DE499" s="2"/>
      <c r="DF499" s="139"/>
      <c r="DG499" s="3"/>
      <c r="DH499" s="3"/>
      <c r="DI499" s="3"/>
      <c r="DJ499" s="3"/>
      <c r="DK499" s="3"/>
      <c r="DL499" s="3"/>
      <c r="DM499" s="3"/>
      <c r="DN499" s="3"/>
      <c r="DO499" s="3"/>
      <c r="DP499" s="3"/>
      <c r="DQ499" s="131"/>
      <c r="DR499" s="15"/>
      <c r="DS499" s="99"/>
      <c r="DT499" s="149"/>
      <c r="DU499" s="134"/>
      <c r="DV499" s="134"/>
      <c r="DW499" s="137"/>
      <c r="DX499" s="150"/>
      <c r="DY499" s="137"/>
      <c r="DZ499" s="137"/>
      <c r="EA499" s="3"/>
      <c r="EB499" s="138"/>
      <c r="EC499" s="2"/>
      <c r="ED499" s="139"/>
      <c r="EE499" s="3"/>
      <c r="EF499" s="3"/>
      <c r="EG499" s="3"/>
      <c r="EH499" s="3"/>
      <c r="EI499" s="3"/>
      <c r="EJ499" s="3"/>
      <c r="EK499" s="3"/>
      <c r="EL499" s="3"/>
      <c r="EM499" s="3"/>
      <c r="EN499" s="3"/>
      <c r="EO499" s="131"/>
      <c r="EP499" s="15"/>
      <c r="EQ499" s="99"/>
      <c r="ER499" s="149"/>
      <c r="ES499" s="134"/>
      <c r="ET499" s="134"/>
      <c r="EU499" s="137"/>
      <c r="EV499" s="150"/>
      <c r="EW499" s="137"/>
      <c r="EX499" s="137"/>
      <c r="EY499" s="3"/>
      <c r="EZ499" s="138"/>
      <c r="FA499" s="2"/>
      <c r="FB499" s="139"/>
      <c r="FC499" s="3"/>
      <c r="FD499" s="3"/>
      <c r="FE499" s="3"/>
      <c r="FF499" s="3"/>
      <c r="FG499" s="3"/>
      <c r="FH499" s="3"/>
      <c r="FI499" s="3"/>
      <c r="FJ499" s="3"/>
      <c r="FK499" s="3"/>
      <c r="FL499" s="3"/>
      <c r="FM499" s="131"/>
      <c r="FN499" s="15"/>
      <c r="FO499" s="99"/>
      <c r="FP499" s="149"/>
      <c r="FQ499" s="134"/>
      <c r="FR499" s="134"/>
      <c r="FS499" s="137"/>
      <c r="FT499" s="150"/>
      <c r="FU499" s="137"/>
      <c r="FV499" s="137"/>
      <c r="FW499" s="3"/>
      <c r="FX499" s="138"/>
      <c r="FY499" s="2"/>
      <c r="FZ499" s="139"/>
      <c r="GA499" s="3"/>
      <c r="GB499" s="3"/>
      <c r="GC499" s="3"/>
      <c r="GD499" s="3"/>
      <c r="GE499" s="3"/>
      <c r="GF499" s="3"/>
      <c r="GG499" s="3"/>
      <c r="GH499" s="3"/>
      <c r="GI499" s="3"/>
      <c r="GJ499" s="3"/>
      <c r="GK499" s="131"/>
      <c r="GL499" s="15"/>
      <c r="GM499" s="99"/>
      <c r="GN499" s="149"/>
      <c r="GO499" s="134"/>
      <c r="GP499" s="134"/>
      <c r="GQ499" s="137"/>
      <c r="GR499" s="150"/>
      <c r="GS499" s="137"/>
      <c r="GT499" s="137"/>
      <c r="GU499" s="3"/>
      <c r="GV499" s="138"/>
      <c r="GW499" s="2"/>
      <c r="GX499" s="139"/>
      <c r="GY499" s="3"/>
      <c r="GZ499" s="3"/>
      <c r="HA499" s="3"/>
      <c r="HB499" s="3"/>
      <c r="HC499" s="3"/>
      <c r="HD499" s="3"/>
      <c r="HE499" s="3"/>
      <c r="HF499" s="3"/>
      <c r="HG499" s="3"/>
      <c r="HH499" s="3"/>
      <c r="HI499" s="131"/>
      <c r="HJ499" s="15"/>
      <c r="HK499" s="99"/>
      <c r="HL499" s="149"/>
      <c r="HM499" s="134"/>
      <c r="HN499" s="134"/>
      <c r="HO499" s="137"/>
      <c r="HP499" s="150"/>
      <c r="HQ499" s="137"/>
      <c r="HR499" s="137"/>
      <c r="HS499" s="3"/>
      <c r="HT499" s="138"/>
      <c r="HU499" s="2"/>
      <c r="HV499" s="139"/>
      <c r="HW499" s="3"/>
      <c r="HX499" s="3"/>
      <c r="HY499" s="3"/>
      <c r="HZ499" s="3"/>
      <c r="IA499" s="3"/>
      <c r="IB499" s="3"/>
      <c r="IC499" s="3"/>
      <c r="ID499" s="3"/>
      <c r="IE499" s="3"/>
      <c r="IF499" s="3"/>
      <c r="IG499" s="131"/>
      <c r="IH499" s="15"/>
      <c r="II499" s="99"/>
      <c r="IJ499" s="149"/>
      <c r="IK499" s="134"/>
      <c r="IL499" s="134"/>
      <c r="IM499" s="137"/>
      <c r="IN499" s="150"/>
      <c r="IO499" s="137"/>
      <c r="IP499" s="137"/>
      <c r="IQ499" s="3"/>
      <c r="IR499" s="138"/>
      <c r="IS499" s="2"/>
      <c r="IT499" s="139"/>
      <c r="IU499" s="3"/>
      <c r="IV499" s="3"/>
    </row>
    <row r="500" spans="1:256" s="125" customFormat="1" ht="13.5" customHeight="1">
      <c r="A500" s="84">
        <v>21</v>
      </c>
      <c r="B500" s="17">
        <v>43082</v>
      </c>
      <c r="C500" s="18"/>
      <c r="D500" s="19" t="s">
        <v>406</v>
      </c>
      <c r="E500" s="20" t="s">
        <v>407</v>
      </c>
      <c r="F500" s="62" t="s">
        <v>687</v>
      </c>
      <c r="G500" s="63">
        <v>1708</v>
      </c>
      <c r="H500" s="121">
        <v>2000000</v>
      </c>
      <c r="I500" s="24"/>
      <c r="J500" s="24">
        <f t="shared" si="46"/>
        <v>1904761.9047619046</v>
      </c>
      <c r="K500" s="24">
        <f t="shared" si="43"/>
        <v>1904761.9047619046</v>
      </c>
      <c r="L500" s="26">
        <v>1</v>
      </c>
      <c r="M500" s="24">
        <f t="shared" si="44"/>
        <v>1904761.9047619046</v>
      </c>
      <c r="N500" s="129">
        <f t="shared" si="45"/>
        <v>0</v>
      </c>
      <c r="O500" s="85" t="s">
        <v>665</v>
      </c>
      <c r="P500" s="3"/>
      <c r="Q500" s="140"/>
      <c r="R500" s="3"/>
      <c r="S500" s="3"/>
      <c r="T500" s="3"/>
      <c r="U500" s="3"/>
      <c r="V500" s="3"/>
      <c r="W500" s="3"/>
      <c r="X500" s="3"/>
      <c r="Y500" s="131"/>
      <c r="Z500" s="15"/>
      <c r="AA500" s="99"/>
      <c r="AB500" s="149"/>
      <c r="AC500" s="134"/>
      <c r="AD500" s="134"/>
      <c r="AE500" s="137"/>
      <c r="AF500" s="150"/>
      <c r="AG500" s="137"/>
      <c r="AH500" s="137"/>
      <c r="AI500" s="3"/>
      <c r="AJ500" s="138"/>
      <c r="AK500" s="2"/>
      <c r="AL500" s="139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131"/>
      <c r="AX500" s="15"/>
      <c r="AY500" s="99"/>
      <c r="AZ500" s="149"/>
      <c r="BA500" s="134"/>
      <c r="BB500" s="134"/>
      <c r="BC500" s="137"/>
      <c r="BD500" s="150"/>
      <c r="BE500" s="137"/>
      <c r="BF500" s="137"/>
      <c r="BG500" s="3"/>
      <c r="BH500" s="138"/>
      <c r="BI500" s="2"/>
      <c r="BJ500" s="139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131"/>
      <c r="BV500" s="15"/>
      <c r="BW500" s="99"/>
      <c r="BX500" s="149"/>
      <c r="BY500" s="134"/>
      <c r="BZ500" s="134"/>
      <c r="CA500" s="137"/>
      <c r="CB500" s="150"/>
      <c r="CC500" s="137"/>
      <c r="CD500" s="137"/>
      <c r="CE500" s="3"/>
      <c r="CF500" s="138"/>
      <c r="CG500" s="2"/>
      <c r="CH500" s="139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131"/>
      <c r="CT500" s="15"/>
      <c r="CU500" s="99"/>
      <c r="CV500" s="149"/>
      <c r="CW500" s="134"/>
      <c r="CX500" s="134"/>
      <c r="CY500" s="137"/>
      <c r="CZ500" s="150"/>
      <c r="DA500" s="137"/>
      <c r="DB500" s="137"/>
      <c r="DC500" s="3"/>
      <c r="DD500" s="138"/>
      <c r="DE500" s="2"/>
      <c r="DF500" s="139"/>
      <c r="DG500" s="3"/>
      <c r="DH500" s="3"/>
      <c r="DI500" s="3"/>
      <c r="DJ500" s="3"/>
      <c r="DK500" s="3"/>
      <c r="DL500" s="3"/>
      <c r="DM500" s="3"/>
      <c r="DN500" s="3"/>
      <c r="DO500" s="3"/>
      <c r="DP500" s="3"/>
      <c r="DQ500" s="131"/>
      <c r="DR500" s="15"/>
      <c r="DS500" s="99"/>
      <c r="DT500" s="149"/>
      <c r="DU500" s="134"/>
      <c r="DV500" s="134"/>
      <c r="DW500" s="137"/>
      <c r="DX500" s="150"/>
      <c r="DY500" s="137"/>
      <c r="DZ500" s="137"/>
      <c r="EA500" s="3"/>
      <c r="EB500" s="138"/>
      <c r="EC500" s="2"/>
      <c r="ED500" s="139"/>
      <c r="EE500" s="3"/>
      <c r="EF500" s="3"/>
      <c r="EG500" s="3"/>
      <c r="EH500" s="3"/>
      <c r="EI500" s="3"/>
      <c r="EJ500" s="3"/>
      <c r="EK500" s="3"/>
      <c r="EL500" s="3"/>
      <c r="EM500" s="3"/>
      <c r="EN500" s="3"/>
      <c r="EO500" s="131"/>
      <c r="EP500" s="15"/>
      <c r="EQ500" s="99"/>
      <c r="ER500" s="149"/>
      <c r="ES500" s="134"/>
      <c r="ET500" s="134"/>
      <c r="EU500" s="137"/>
      <c r="EV500" s="150"/>
      <c r="EW500" s="137"/>
      <c r="EX500" s="137"/>
      <c r="EY500" s="3"/>
      <c r="EZ500" s="138"/>
      <c r="FA500" s="2"/>
      <c r="FB500" s="139"/>
      <c r="FC500" s="3"/>
      <c r="FD500" s="3"/>
      <c r="FE500" s="3"/>
      <c r="FF500" s="3"/>
      <c r="FG500" s="3"/>
      <c r="FH500" s="3"/>
      <c r="FI500" s="3"/>
      <c r="FJ500" s="3"/>
      <c r="FK500" s="3"/>
      <c r="FL500" s="3"/>
      <c r="FM500" s="131"/>
      <c r="FN500" s="15"/>
      <c r="FO500" s="99"/>
      <c r="FP500" s="149"/>
      <c r="FQ500" s="134"/>
      <c r="FR500" s="134"/>
      <c r="FS500" s="137"/>
      <c r="FT500" s="150"/>
      <c r="FU500" s="137"/>
      <c r="FV500" s="137"/>
      <c r="FW500" s="3"/>
      <c r="FX500" s="138"/>
      <c r="FY500" s="2"/>
      <c r="FZ500" s="139"/>
      <c r="GA500" s="3"/>
      <c r="GB500" s="3"/>
      <c r="GC500" s="3"/>
      <c r="GD500" s="3"/>
      <c r="GE500" s="3"/>
      <c r="GF500" s="3"/>
      <c r="GG500" s="3"/>
      <c r="GH500" s="3"/>
      <c r="GI500" s="3"/>
      <c r="GJ500" s="3"/>
      <c r="GK500" s="131"/>
      <c r="GL500" s="15"/>
      <c r="GM500" s="99"/>
      <c r="GN500" s="149"/>
      <c r="GO500" s="134"/>
      <c r="GP500" s="134"/>
      <c r="GQ500" s="137"/>
      <c r="GR500" s="150"/>
      <c r="GS500" s="137"/>
      <c r="GT500" s="137"/>
      <c r="GU500" s="3"/>
      <c r="GV500" s="138"/>
      <c r="GW500" s="2"/>
      <c r="GX500" s="139"/>
      <c r="GY500" s="3"/>
      <c r="GZ500" s="3"/>
      <c r="HA500" s="3"/>
      <c r="HB500" s="3"/>
      <c r="HC500" s="3"/>
      <c r="HD500" s="3"/>
      <c r="HE500" s="3"/>
      <c r="HF500" s="3"/>
      <c r="HG500" s="3"/>
      <c r="HH500" s="3"/>
      <c r="HI500" s="131"/>
      <c r="HJ500" s="15"/>
      <c r="HK500" s="99"/>
      <c r="HL500" s="149"/>
      <c r="HM500" s="134"/>
      <c r="HN500" s="134"/>
      <c r="HO500" s="137"/>
      <c r="HP500" s="150"/>
      <c r="HQ500" s="137"/>
      <c r="HR500" s="137"/>
      <c r="HS500" s="3"/>
      <c r="HT500" s="138"/>
      <c r="HU500" s="2"/>
      <c r="HV500" s="139"/>
      <c r="HW500" s="3"/>
      <c r="HX500" s="3"/>
      <c r="HY500" s="3"/>
      <c r="HZ500" s="3"/>
      <c r="IA500" s="3"/>
      <c r="IB500" s="3"/>
      <c r="IC500" s="3"/>
      <c r="ID500" s="3"/>
      <c r="IE500" s="3"/>
      <c r="IF500" s="3"/>
      <c r="IG500" s="131"/>
      <c r="IH500" s="15"/>
      <c r="II500" s="99"/>
      <c r="IJ500" s="149"/>
      <c r="IK500" s="134"/>
      <c r="IL500" s="134"/>
      <c r="IM500" s="137"/>
      <c r="IN500" s="150"/>
      <c r="IO500" s="137"/>
      <c r="IP500" s="137"/>
      <c r="IQ500" s="3"/>
      <c r="IR500" s="138"/>
      <c r="IS500" s="2"/>
      <c r="IT500" s="139"/>
      <c r="IU500" s="3"/>
      <c r="IV500" s="3"/>
    </row>
    <row r="501" spans="1:256" s="125" customFormat="1" ht="13.5" customHeight="1">
      <c r="A501" s="84">
        <v>22</v>
      </c>
      <c r="B501" s="17">
        <v>43084</v>
      </c>
      <c r="C501" s="18"/>
      <c r="D501" s="19" t="s">
        <v>406</v>
      </c>
      <c r="E501" s="20" t="s">
        <v>407</v>
      </c>
      <c r="F501" s="120" t="s">
        <v>688</v>
      </c>
      <c r="G501" s="58">
        <v>1708</v>
      </c>
      <c r="H501" s="121">
        <v>2000000</v>
      </c>
      <c r="I501" s="24"/>
      <c r="J501" s="24">
        <f t="shared" si="46"/>
        <v>1904761.9047619046</v>
      </c>
      <c r="K501" s="24">
        <f t="shared" si="43"/>
        <v>1904761.9047619046</v>
      </c>
      <c r="L501" s="123">
        <v>1</v>
      </c>
      <c r="M501" s="24">
        <f t="shared" si="44"/>
        <v>1904761.9047619046</v>
      </c>
      <c r="N501" s="129">
        <f t="shared" si="45"/>
        <v>0</v>
      </c>
      <c r="O501" s="85" t="s">
        <v>665</v>
      </c>
      <c r="P501" s="3"/>
      <c r="Q501" s="140"/>
      <c r="R501" s="3"/>
      <c r="S501" s="3"/>
      <c r="T501" s="3"/>
      <c r="U501" s="3"/>
      <c r="V501" s="3"/>
      <c r="W501" s="3"/>
      <c r="X501" s="3"/>
      <c r="Y501" s="131"/>
      <c r="Z501" s="15"/>
      <c r="AA501" s="99"/>
      <c r="AB501" s="149"/>
      <c r="AC501" s="134"/>
      <c r="AD501" s="134"/>
      <c r="AE501" s="137"/>
      <c r="AF501" s="150"/>
      <c r="AG501" s="137"/>
      <c r="AH501" s="137"/>
      <c r="AI501" s="3"/>
      <c r="AJ501" s="138"/>
      <c r="AK501" s="2"/>
      <c r="AL501" s="139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131"/>
      <c r="AX501" s="15"/>
      <c r="AY501" s="99"/>
      <c r="AZ501" s="149"/>
      <c r="BA501" s="134"/>
      <c r="BB501" s="134"/>
      <c r="BC501" s="137"/>
      <c r="BD501" s="150"/>
      <c r="BE501" s="137"/>
      <c r="BF501" s="137"/>
      <c r="BG501" s="3"/>
      <c r="BH501" s="138"/>
      <c r="BI501" s="2"/>
      <c r="BJ501" s="139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131"/>
      <c r="BV501" s="15"/>
      <c r="BW501" s="99"/>
      <c r="BX501" s="149"/>
      <c r="BY501" s="134"/>
      <c r="BZ501" s="134"/>
      <c r="CA501" s="137"/>
      <c r="CB501" s="150"/>
      <c r="CC501" s="137"/>
      <c r="CD501" s="137"/>
      <c r="CE501" s="3"/>
      <c r="CF501" s="138"/>
      <c r="CG501" s="2"/>
      <c r="CH501" s="139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131"/>
      <c r="CT501" s="15"/>
      <c r="CU501" s="99"/>
      <c r="CV501" s="149"/>
      <c r="CW501" s="134"/>
      <c r="CX501" s="134"/>
      <c r="CY501" s="137"/>
      <c r="CZ501" s="150"/>
      <c r="DA501" s="137"/>
      <c r="DB501" s="137"/>
      <c r="DC501" s="3"/>
      <c r="DD501" s="138"/>
      <c r="DE501" s="2"/>
      <c r="DF501" s="139"/>
      <c r="DG501" s="3"/>
      <c r="DH501" s="3"/>
      <c r="DI501" s="3"/>
      <c r="DJ501" s="3"/>
      <c r="DK501" s="3"/>
      <c r="DL501" s="3"/>
      <c r="DM501" s="3"/>
      <c r="DN501" s="3"/>
      <c r="DO501" s="3"/>
      <c r="DP501" s="3"/>
      <c r="DQ501" s="131"/>
      <c r="DR501" s="15"/>
      <c r="DS501" s="99"/>
      <c r="DT501" s="149"/>
      <c r="DU501" s="134"/>
      <c r="DV501" s="134"/>
      <c r="DW501" s="137"/>
      <c r="DX501" s="150"/>
      <c r="DY501" s="137"/>
      <c r="DZ501" s="137"/>
      <c r="EA501" s="3"/>
      <c r="EB501" s="138"/>
      <c r="EC501" s="2"/>
      <c r="ED501" s="139"/>
      <c r="EE501" s="3"/>
      <c r="EF501" s="3"/>
      <c r="EG501" s="3"/>
      <c r="EH501" s="3"/>
      <c r="EI501" s="3"/>
      <c r="EJ501" s="3"/>
      <c r="EK501" s="3"/>
      <c r="EL501" s="3"/>
      <c r="EM501" s="3"/>
      <c r="EN501" s="3"/>
      <c r="EO501" s="131"/>
      <c r="EP501" s="15"/>
      <c r="EQ501" s="99"/>
      <c r="ER501" s="149"/>
      <c r="ES501" s="134"/>
      <c r="ET501" s="134"/>
      <c r="EU501" s="137"/>
      <c r="EV501" s="150"/>
      <c r="EW501" s="137"/>
      <c r="EX501" s="137"/>
      <c r="EY501" s="3"/>
      <c r="EZ501" s="138"/>
      <c r="FA501" s="2"/>
      <c r="FB501" s="139"/>
      <c r="FC501" s="3"/>
      <c r="FD501" s="3"/>
      <c r="FE501" s="3"/>
      <c r="FF501" s="3"/>
      <c r="FG501" s="3"/>
      <c r="FH501" s="3"/>
      <c r="FI501" s="3"/>
      <c r="FJ501" s="3"/>
      <c r="FK501" s="3"/>
      <c r="FL501" s="3"/>
      <c r="FM501" s="131"/>
      <c r="FN501" s="15"/>
      <c r="FO501" s="99"/>
      <c r="FP501" s="149"/>
      <c r="FQ501" s="134"/>
      <c r="FR501" s="134"/>
      <c r="FS501" s="137"/>
      <c r="FT501" s="150"/>
      <c r="FU501" s="137"/>
      <c r="FV501" s="137"/>
      <c r="FW501" s="3"/>
      <c r="FX501" s="138"/>
      <c r="FY501" s="2"/>
      <c r="FZ501" s="139"/>
      <c r="GA501" s="3"/>
      <c r="GB501" s="3"/>
      <c r="GC501" s="3"/>
      <c r="GD501" s="3"/>
      <c r="GE501" s="3"/>
      <c r="GF501" s="3"/>
      <c r="GG501" s="3"/>
      <c r="GH501" s="3"/>
      <c r="GI501" s="3"/>
      <c r="GJ501" s="3"/>
      <c r="GK501" s="131"/>
      <c r="GL501" s="15"/>
      <c r="GM501" s="99"/>
      <c r="GN501" s="149"/>
      <c r="GO501" s="134"/>
      <c r="GP501" s="134"/>
      <c r="GQ501" s="137"/>
      <c r="GR501" s="150"/>
      <c r="GS501" s="137"/>
      <c r="GT501" s="137"/>
      <c r="GU501" s="3"/>
      <c r="GV501" s="138"/>
      <c r="GW501" s="2"/>
      <c r="GX501" s="139"/>
      <c r="GY501" s="3"/>
      <c r="GZ501" s="3"/>
      <c r="HA501" s="3"/>
      <c r="HB501" s="3"/>
      <c r="HC501" s="3"/>
      <c r="HD501" s="3"/>
      <c r="HE501" s="3"/>
      <c r="HF501" s="3"/>
      <c r="HG501" s="3"/>
      <c r="HH501" s="3"/>
      <c r="HI501" s="131"/>
      <c r="HJ501" s="15"/>
      <c r="HK501" s="99"/>
      <c r="HL501" s="149"/>
      <c r="HM501" s="134"/>
      <c r="HN501" s="134"/>
      <c r="HO501" s="137"/>
      <c r="HP501" s="150"/>
      <c r="HQ501" s="137"/>
      <c r="HR501" s="137"/>
      <c r="HS501" s="3"/>
      <c r="HT501" s="138"/>
      <c r="HU501" s="2"/>
      <c r="HV501" s="139"/>
      <c r="HW501" s="3"/>
      <c r="HX501" s="3"/>
      <c r="HY501" s="3"/>
      <c r="HZ501" s="3"/>
      <c r="IA501" s="3"/>
      <c r="IB501" s="3"/>
      <c r="IC501" s="3"/>
      <c r="ID501" s="3"/>
      <c r="IE501" s="3"/>
      <c r="IF501" s="3"/>
      <c r="IG501" s="131"/>
      <c r="IH501" s="15"/>
      <c r="II501" s="99"/>
      <c r="IJ501" s="149"/>
      <c r="IK501" s="134"/>
      <c r="IL501" s="134"/>
      <c r="IM501" s="137"/>
      <c r="IN501" s="150"/>
      <c r="IO501" s="137"/>
      <c r="IP501" s="137"/>
      <c r="IQ501" s="3"/>
      <c r="IR501" s="138"/>
      <c r="IS501" s="2"/>
      <c r="IT501" s="139"/>
      <c r="IU501" s="3"/>
      <c r="IV501" s="3"/>
    </row>
    <row r="502" spans="1:256" s="125" customFormat="1" ht="13.5" customHeight="1">
      <c r="A502" s="84">
        <v>23</v>
      </c>
      <c r="B502" s="17">
        <v>43087</v>
      </c>
      <c r="C502" s="18"/>
      <c r="D502" s="19" t="s">
        <v>406</v>
      </c>
      <c r="E502" s="20" t="s">
        <v>407</v>
      </c>
      <c r="F502" s="168" t="s">
        <v>689</v>
      </c>
      <c r="G502" s="63">
        <v>1710</v>
      </c>
      <c r="H502" s="121">
        <v>2061500</v>
      </c>
      <c r="I502" s="24"/>
      <c r="J502" s="24">
        <f t="shared" si="46"/>
        <v>1963333.3333333333</v>
      </c>
      <c r="K502" s="24">
        <f t="shared" si="43"/>
        <v>1963333.3333333333</v>
      </c>
      <c r="L502" s="123">
        <v>1</v>
      </c>
      <c r="M502" s="24">
        <f t="shared" si="44"/>
        <v>1963333.3333333333</v>
      </c>
      <c r="N502" s="129">
        <f t="shared" si="45"/>
        <v>0</v>
      </c>
      <c r="O502" s="85" t="s">
        <v>665</v>
      </c>
      <c r="P502" s="3"/>
      <c r="Q502" s="140"/>
      <c r="R502" s="3"/>
      <c r="S502" s="3"/>
      <c r="T502" s="3"/>
      <c r="U502" s="3"/>
      <c r="V502" s="3"/>
      <c r="W502" s="3"/>
      <c r="X502" s="3"/>
      <c r="Y502" s="131"/>
      <c r="Z502" s="15"/>
      <c r="AA502" s="99"/>
      <c r="AB502" s="149"/>
      <c r="AC502" s="134"/>
      <c r="AD502" s="134"/>
      <c r="AE502" s="137"/>
      <c r="AF502" s="150"/>
      <c r="AG502" s="137"/>
      <c r="AH502" s="137"/>
      <c r="AI502" s="3"/>
      <c r="AJ502" s="138"/>
      <c r="AK502" s="2"/>
      <c r="AL502" s="139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131"/>
      <c r="AX502" s="15"/>
      <c r="AY502" s="99"/>
      <c r="AZ502" s="149"/>
      <c r="BA502" s="134"/>
      <c r="BB502" s="134"/>
      <c r="BC502" s="137"/>
      <c r="BD502" s="150"/>
      <c r="BE502" s="137"/>
      <c r="BF502" s="137"/>
      <c r="BG502" s="3"/>
      <c r="BH502" s="138"/>
      <c r="BI502" s="2"/>
      <c r="BJ502" s="139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131"/>
      <c r="BV502" s="15"/>
      <c r="BW502" s="99"/>
      <c r="BX502" s="149"/>
      <c r="BY502" s="134"/>
      <c r="BZ502" s="134"/>
      <c r="CA502" s="137"/>
      <c r="CB502" s="150"/>
      <c r="CC502" s="137"/>
      <c r="CD502" s="137"/>
      <c r="CE502" s="3"/>
      <c r="CF502" s="138"/>
      <c r="CG502" s="2"/>
      <c r="CH502" s="139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131"/>
      <c r="CT502" s="15"/>
      <c r="CU502" s="99"/>
      <c r="CV502" s="149"/>
      <c r="CW502" s="134"/>
      <c r="CX502" s="134"/>
      <c r="CY502" s="137"/>
      <c r="CZ502" s="150"/>
      <c r="DA502" s="137"/>
      <c r="DB502" s="137"/>
      <c r="DC502" s="3"/>
      <c r="DD502" s="138"/>
      <c r="DE502" s="2"/>
      <c r="DF502" s="139"/>
      <c r="DG502" s="3"/>
      <c r="DH502" s="3"/>
      <c r="DI502" s="3"/>
      <c r="DJ502" s="3"/>
      <c r="DK502" s="3"/>
      <c r="DL502" s="3"/>
      <c r="DM502" s="3"/>
      <c r="DN502" s="3"/>
      <c r="DO502" s="3"/>
      <c r="DP502" s="3"/>
      <c r="DQ502" s="131"/>
      <c r="DR502" s="15"/>
      <c r="DS502" s="99"/>
      <c r="DT502" s="149"/>
      <c r="DU502" s="134"/>
      <c r="DV502" s="134"/>
      <c r="DW502" s="137"/>
      <c r="DX502" s="150"/>
      <c r="DY502" s="137"/>
      <c r="DZ502" s="137"/>
      <c r="EA502" s="3"/>
      <c r="EB502" s="138"/>
      <c r="EC502" s="2"/>
      <c r="ED502" s="139"/>
      <c r="EE502" s="3"/>
      <c r="EF502" s="3"/>
      <c r="EG502" s="3"/>
      <c r="EH502" s="3"/>
      <c r="EI502" s="3"/>
      <c r="EJ502" s="3"/>
      <c r="EK502" s="3"/>
      <c r="EL502" s="3"/>
      <c r="EM502" s="3"/>
      <c r="EN502" s="3"/>
      <c r="EO502" s="131"/>
      <c r="EP502" s="15"/>
      <c r="EQ502" s="99"/>
      <c r="ER502" s="149"/>
      <c r="ES502" s="134"/>
      <c r="ET502" s="134"/>
      <c r="EU502" s="137"/>
      <c r="EV502" s="150"/>
      <c r="EW502" s="137"/>
      <c r="EX502" s="137"/>
      <c r="EY502" s="3"/>
      <c r="EZ502" s="138"/>
      <c r="FA502" s="2"/>
      <c r="FB502" s="139"/>
      <c r="FC502" s="3"/>
      <c r="FD502" s="3"/>
      <c r="FE502" s="3"/>
      <c r="FF502" s="3"/>
      <c r="FG502" s="3"/>
      <c r="FH502" s="3"/>
      <c r="FI502" s="3"/>
      <c r="FJ502" s="3"/>
      <c r="FK502" s="3"/>
      <c r="FL502" s="3"/>
      <c r="FM502" s="131"/>
      <c r="FN502" s="15"/>
      <c r="FO502" s="99"/>
      <c r="FP502" s="149"/>
      <c r="FQ502" s="134"/>
      <c r="FR502" s="134"/>
      <c r="FS502" s="137"/>
      <c r="FT502" s="150"/>
      <c r="FU502" s="137"/>
      <c r="FV502" s="137"/>
      <c r="FW502" s="3"/>
      <c r="FX502" s="138"/>
      <c r="FY502" s="2"/>
      <c r="FZ502" s="139"/>
      <c r="GA502" s="3"/>
      <c r="GB502" s="3"/>
      <c r="GC502" s="3"/>
      <c r="GD502" s="3"/>
      <c r="GE502" s="3"/>
      <c r="GF502" s="3"/>
      <c r="GG502" s="3"/>
      <c r="GH502" s="3"/>
      <c r="GI502" s="3"/>
      <c r="GJ502" s="3"/>
      <c r="GK502" s="131"/>
      <c r="GL502" s="15"/>
      <c r="GM502" s="99"/>
      <c r="GN502" s="149"/>
      <c r="GO502" s="134"/>
      <c r="GP502" s="134"/>
      <c r="GQ502" s="137"/>
      <c r="GR502" s="150"/>
      <c r="GS502" s="137"/>
      <c r="GT502" s="137"/>
      <c r="GU502" s="3"/>
      <c r="GV502" s="138"/>
      <c r="GW502" s="2"/>
      <c r="GX502" s="139"/>
      <c r="GY502" s="3"/>
      <c r="GZ502" s="3"/>
      <c r="HA502" s="3"/>
      <c r="HB502" s="3"/>
      <c r="HC502" s="3"/>
      <c r="HD502" s="3"/>
      <c r="HE502" s="3"/>
      <c r="HF502" s="3"/>
      <c r="HG502" s="3"/>
      <c r="HH502" s="3"/>
      <c r="HI502" s="131"/>
      <c r="HJ502" s="15"/>
      <c r="HK502" s="99"/>
      <c r="HL502" s="149"/>
      <c r="HM502" s="134"/>
      <c r="HN502" s="134"/>
      <c r="HO502" s="137"/>
      <c r="HP502" s="150"/>
      <c r="HQ502" s="137"/>
      <c r="HR502" s="137"/>
      <c r="HS502" s="3"/>
      <c r="HT502" s="138"/>
      <c r="HU502" s="2"/>
      <c r="HV502" s="139"/>
      <c r="HW502" s="3"/>
      <c r="HX502" s="3"/>
      <c r="HY502" s="3"/>
      <c r="HZ502" s="3"/>
      <c r="IA502" s="3"/>
      <c r="IB502" s="3"/>
      <c r="IC502" s="3"/>
      <c r="ID502" s="3"/>
      <c r="IE502" s="3"/>
      <c r="IF502" s="3"/>
      <c r="IG502" s="131"/>
      <c r="IH502" s="15"/>
      <c r="II502" s="99"/>
      <c r="IJ502" s="149"/>
      <c r="IK502" s="134"/>
      <c r="IL502" s="134"/>
      <c r="IM502" s="137"/>
      <c r="IN502" s="150"/>
      <c r="IO502" s="137"/>
      <c r="IP502" s="137"/>
      <c r="IQ502" s="3"/>
      <c r="IR502" s="138"/>
      <c r="IS502" s="2"/>
      <c r="IT502" s="139"/>
      <c r="IU502" s="3"/>
      <c r="IV502" s="3"/>
    </row>
    <row r="503" spans="1:256" s="125" customFormat="1" ht="13.5" customHeight="1">
      <c r="A503" s="84">
        <v>24</v>
      </c>
      <c r="B503" s="29">
        <v>43061</v>
      </c>
      <c r="C503" s="18"/>
      <c r="D503" s="19" t="s">
        <v>316</v>
      </c>
      <c r="E503" s="20" t="s">
        <v>556</v>
      </c>
      <c r="F503" s="82" t="s">
        <v>690</v>
      </c>
      <c r="G503" s="58">
        <v>1709</v>
      </c>
      <c r="H503" s="121">
        <v>2033000</v>
      </c>
      <c r="I503" s="24">
        <v>1936190</v>
      </c>
      <c r="J503" s="24"/>
      <c r="K503" s="24">
        <f t="shared" si="43"/>
        <v>1936190</v>
      </c>
      <c r="L503" s="123">
        <v>1</v>
      </c>
      <c r="M503" s="24">
        <f t="shared" si="44"/>
        <v>1936190</v>
      </c>
      <c r="N503" s="129">
        <f t="shared" si="45"/>
        <v>0</v>
      </c>
      <c r="O503" s="85" t="s">
        <v>665</v>
      </c>
      <c r="P503" s="3"/>
      <c r="Q503" s="140"/>
      <c r="R503" s="3"/>
      <c r="S503" s="3"/>
      <c r="T503" s="3"/>
      <c r="U503" s="3"/>
      <c r="V503" s="3"/>
      <c r="W503" s="3"/>
      <c r="X503" s="3"/>
      <c r="Y503" s="131"/>
      <c r="Z503" s="15"/>
      <c r="AA503" s="99"/>
      <c r="AB503" s="149"/>
      <c r="AC503" s="134"/>
      <c r="AD503" s="134"/>
      <c r="AE503" s="137"/>
      <c r="AF503" s="150"/>
      <c r="AG503" s="137"/>
      <c r="AH503" s="137"/>
      <c r="AI503" s="3"/>
      <c r="AJ503" s="138"/>
      <c r="AK503" s="2"/>
      <c r="AL503" s="139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131"/>
      <c r="AX503" s="15"/>
      <c r="AY503" s="99"/>
      <c r="AZ503" s="149"/>
      <c r="BA503" s="134"/>
      <c r="BB503" s="134"/>
      <c r="BC503" s="137"/>
      <c r="BD503" s="150"/>
      <c r="BE503" s="137"/>
      <c r="BF503" s="137"/>
      <c r="BG503" s="3"/>
      <c r="BH503" s="138"/>
      <c r="BI503" s="2"/>
      <c r="BJ503" s="139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131"/>
      <c r="BV503" s="15"/>
      <c r="BW503" s="99"/>
      <c r="BX503" s="149"/>
      <c r="BY503" s="134"/>
      <c r="BZ503" s="134"/>
      <c r="CA503" s="137"/>
      <c r="CB503" s="150"/>
      <c r="CC503" s="137"/>
      <c r="CD503" s="137"/>
      <c r="CE503" s="3"/>
      <c r="CF503" s="138"/>
      <c r="CG503" s="2"/>
      <c r="CH503" s="139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131"/>
      <c r="CT503" s="15"/>
      <c r="CU503" s="99"/>
      <c r="CV503" s="149"/>
      <c r="CW503" s="134"/>
      <c r="CX503" s="134"/>
      <c r="CY503" s="137"/>
      <c r="CZ503" s="150"/>
      <c r="DA503" s="137"/>
      <c r="DB503" s="137"/>
      <c r="DC503" s="3"/>
      <c r="DD503" s="138"/>
      <c r="DE503" s="2"/>
      <c r="DF503" s="139"/>
      <c r="DG503" s="3"/>
      <c r="DH503" s="3"/>
      <c r="DI503" s="3"/>
      <c r="DJ503" s="3"/>
      <c r="DK503" s="3"/>
      <c r="DL503" s="3"/>
      <c r="DM503" s="3"/>
      <c r="DN503" s="3"/>
      <c r="DO503" s="3"/>
      <c r="DP503" s="3"/>
      <c r="DQ503" s="131"/>
      <c r="DR503" s="15"/>
      <c r="DS503" s="99"/>
      <c r="DT503" s="149"/>
      <c r="DU503" s="134"/>
      <c r="DV503" s="134"/>
      <c r="DW503" s="137"/>
      <c r="DX503" s="150"/>
      <c r="DY503" s="137"/>
      <c r="DZ503" s="137"/>
      <c r="EA503" s="3"/>
      <c r="EB503" s="138"/>
      <c r="EC503" s="2"/>
      <c r="ED503" s="139"/>
      <c r="EE503" s="3"/>
      <c r="EF503" s="3"/>
      <c r="EG503" s="3"/>
      <c r="EH503" s="3"/>
      <c r="EI503" s="3"/>
      <c r="EJ503" s="3"/>
      <c r="EK503" s="3"/>
      <c r="EL503" s="3"/>
      <c r="EM503" s="3"/>
      <c r="EN503" s="3"/>
      <c r="EO503" s="131"/>
      <c r="EP503" s="15"/>
      <c r="EQ503" s="99"/>
      <c r="ER503" s="149"/>
      <c r="ES503" s="134"/>
      <c r="ET503" s="134"/>
      <c r="EU503" s="137"/>
      <c r="EV503" s="150"/>
      <c r="EW503" s="137"/>
      <c r="EX503" s="137"/>
      <c r="EY503" s="3"/>
      <c r="EZ503" s="138"/>
      <c r="FA503" s="2"/>
      <c r="FB503" s="139"/>
      <c r="FC503" s="3"/>
      <c r="FD503" s="3"/>
      <c r="FE503" s="3"/>
      <c r="FF503" s="3"/>
      <c r="FG503" s="3"/>
      <c r="FH503" s="3"/>
      <c r="FI503" s="3"/>
      <c r="FJ503" s="3"/>
      <c r="FK503" s="3"/>
      <c r="FL503" s="3"/>
      <c r="FM503" s="131"/>
      <c r="FN503" s="15"/>
      <c r="FO503" s="99"/>
      <c r="FP503" s="149"/>
      <c r="FQ503" s="134"/>
      <c r="FR503" s="134"/>
      <c r="FS503" s="137"/>
      <c r="FT503" s="150"/>
      <c r="FU503" s="137"/>
      <c r="FV503" s="137"/>
      <c r="FW503" s="3"/>
      <c r="FX503" s="138"/>
      <c r="FY503" s="2"/>
      <c r="FZ503" s="139"/>
      <c r="GA503" s="3"/>
      <c r="GB503" s="3"/>
      <c r="GC503" s="3"/>
      <c r="GD503" s="3"/>
      <c r="GE503" s="3"/>
      <c r="GF503" s="3"/>
      <c r="GG503" s="3"/>
      <c r="GH503" s="3"/>
      <c r="GI503" s="3"/>
      <c r="GJ503" s="3"/>
      <c r="GK503" s="131"/>
      <c r="GL503" s="15"/>
      <c r="GM503" s="99"/>
      <c r="GN503" s="149"/>
      <c r="GO503" s="134"/>
      <c r="GP503" s="134"/>
      <c r="GQ503" s="137"/>
      <c r="GR503" s="150"/>
      <c r="GS503" s="137"/>
      <c r="GT503" s="137"/>
      <c r="GU503" s="3"/>
      <c r="GV503" s="138"/>
      <c r="GW503" s="2"/>
      <c r="GX503" s="139"/>
      <c r="GY503" s="3"/>
      <c r="GZ503" s="3"/>
      <c r="HA503" s="3"/>
      <c r="HB503" s="3"/>
      <c r="HC503" s="3"/>
      <c r="HD503" s="3"/>
      <c r="HE503" s="3"/>
      <c r="HF503" s="3"/>
      <c r="HG503" s="3"/>
      <c r="HH503" s="3"/>
      <c r="HI503" s="131"/>
      <c r="HJ503" s="15"/>
      <c r="HK503" s="99"/>
      <c r="HL503" s="149"/>
      <c r="HM503" s="134"/>
      <c r="HN503" s="134"/>
      <c r="HO503" s="137"/>
      <c r="HP503" s="150"/>
      <c r="HQ503" s="137"/>
      <c r="HR503" s="137"/>
      <c r="HS503" s="3"/>
      <c r="HT503" s="138"/>
      <c r="HU503" s="2"/>
      <c r="HV503" s="139"/>
      <c r="HW503" s="3"/>
      <c r="HX503" s="3"/>
      <c r="HY503" s="3"/>
      <c r="HZ503" s="3"/>
      <c r="IA503" s="3"/>
      <c r="IB503" s="3"/>
      <c r="IC503" s="3"/>
      <c r="ID503" s="3"/>
      <c r="IE503" s="3"/>
      <c r="IF503" s="3"/>
      <c r="IG503" s="131"/>
      <c r="IH503" s="15"/>
      <c r="II503" s="99"/>
      <c r="IJ503" s="149"/>
      <c r="IK503" s="134"/>
      <c r="IL503" s="134"/>
      <c r="IM503" s="137"/>
      <c r="IN503" s="150"/>
      <c r="IO503" s="137"/>
      <c r="IP503" s="137"/>
      <c r="IQ503" s="3"/>
      <c r="IR503" s="138"/>
      <c r="IS503" s="2"/>
      <c r="IT503" s="139"/>
      <c r="IU503" s="3"/>
      <c r="IV503" s="3"/>
    </row>
    <row r="504" spans="1:256" s="125" customFormat="1" ht="13.5" customHeight="1">
      <c r="A504" s="84">
        <v>25</v>
      </c>
      <c r="B504" s="29">
        <v>43066</v>
      </c>
      <c r="C504" s="18" t="s">
        <v>541</v>
      </c>
      <c r="D504" s="19" t="s">
        <v>412</v>
      </c>
      <c r="E504" s="20" t="s">
        <v>691</v>
      </c>
      <c r="F504" s="120" t="s">
        <v>692</v>
      </c>
      <c r="G504" s="63">
        <v>1704</v>
      </c>
      <c r="H504" s="121">
        <f>1920000+39600</f>
        <v>1959600</v>
      </c>
      <c r="I504" s="24">
        <v>1866286</v>
      </c>
      <c r="J504" s="24"/>
      <c r="K504" s="24">
        <f t="shared" si="43"/>
        <v>1866286</v>
      </c>
      <c r="L504" s="123">
        <v>1</v>
      </c>
      <c r="M504" s="24">
        <f t="shared" si="44"/>
        <v>1866286</v>
      </c>
      <c r="N504" s="129">
        <f t="shared" si="45"/>
        <v>0</v>
      </c>
      <c r="O504" s="85" t="s">
        <v>665</v>
      </c>
      <c r="P504" s="3"/>
      <c r="Q504" s="140"/>
      <c r="R504" s="3"/>
      <c r="S504" s="3"/>
      <c r="T504" s="3"/>
      <c r="U504" s="3"/>
      <c r="V504" s="3"/>
      <c r="W504" s="3"/>
      <c r="X504" s="3"/>
      <c r="Y504" s="131"/>
      <c r="Z504" s="15"/>
      <c r="AA504" s="99"/>
      <c r="AB504" s="149"/>
      <c r="AC504" s="134"/>
      <c r="AD504" s="134"/>
      <c r="AE504" s="137"/>
      <c r="AF504" s="150"/>
      <c r="AG504" s="137"/>
      <c r="AH504" s="137"/>
      <c r="AI504" s="3"/>
      <c r="AJ504" s="138"/>
      <c r="AK504" s="2"/>
      <c r="AL504" s="139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131"/>
      <c r="AX504" s="15"/>
      <c r="AY504" s="99"/>
      <c r="AZ504" s="149"/>
      <c r="BA504" s="134"/>
      <c r="BB504" s="134"/>
      <c r="BC504" s="137"/>
      <c r="BD504" s="150"/>
      <c r="BE504" s="137"/>
      <c r="BF504" s="137"/>
      <c r="BG504" s="3"/>
      <c r="BH504" s="138"/>
      <c r="BI504" s="2"/>
      <c r="BJ504" s="139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131"/>
      <c r="BV504" s="15"/>
      <c r="BW504" s="99"/>
      <c r="BX504" s="149"/>
      <c r="BY504" s="134"/>
      <c r="BZ504" s="134"/>
      <c r="CA504" s="137"/>
      <c r="CB504" s="150"/>
      <c r="CC504" s="137"/>
      <c r="CD504" s="137"/>
      <c r="CE504" s="3"/>
      <c r="CF504" s="138"/>
      <c r="CG504" s="2"/>
      <c r="CH504" s="139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131"/>
      <c r="CT504" s="15"/>
      <c r="CU504" s="99"/>
      <c r="CV504" s="149"/>
      <c r="CW504" s="134"/>
      <c r="CX504" s="134"/>
      <c r="CY504" s="137"/>
      <c r="CZ504" s="150"/>
      <c r="DA504" s="137"/>
      <c r="DB504" s="137"/>
      <c r="DC504" s="3"/>
      <c r="DD504" s="138"/>
      <c r="DE504" s="2"/>
      <c r="DF504" s="139"/>
      <c r="DG504" s="3"/>
      <c r="DH504" s="3"/>
      <c r="DI504" s="3"/>
      <c r="DJ504" s="3"/>
      <c r="DK504" s="3"/>
      <c r="DL504" s="3"/>
      <c r="DM504" s="3"/>
      <c r="DN504" s="3"/>
      <c r="DO504" s="3"/>
      <c r="DP504" s="3"/>
      <c r="DQ504" s="131"/>
      <c r="DR504" s="15"/>
      <c r="DS504" s="99"/>
      <c r="DT504" s="149"/>
      <c r="DU504" s="134"/>
      <c r="DV504" s="134"/>
      <c r="DW504" s="137"/>
      <c r="DX504" s="150"/>
      <c r="DY504" s="137"/>
      <c r="DZ504" s="137"/>
      <c r="EA504" s="3"/>
      <c r="EB504" s="138"/>
      <c r="EC504" s="2"/>
      <c r="ED504" s="139"/>
      <c r="EE504" s="3"/>
      <c r="EF504" s="3"/>
      <c r="EG504" s="3"/>
      <c r="EH504" s="3"/>
      <c r="EI504" s="3"/>
      <c r="EJ504" s="3"/>
      <c r="EK504" s="3"/>
      <c r="EL504" s="3"/>
      <c r="EM504" s="3"/>
      <c r="EN504" s="3"/>
      <c r="EO504" s="131"/>
      <c r="EP504" s="15"/>
      <c r="EQ504" s="99"/>
      <c r="ER504" s="149"/>
      <c r="ES504" s="134"/>
      <c r="ET504" s="134"/>
      <c r="EU504" s="137"/>
      <c r="EV504" s="150"/>
      <c r="EW504" s="137"/>
      <c r="EX504" s="137"/>
      <c r="EY504" s="3"/>
      <c r="EZ504" s="138"/>
      <c r="FA504" s="2"/>
      <c r="FB504" s="139"/>
      <c r="FC504" s="3"/>
      <c r="FD504" s="3"/>
      <c r="FE504" s="3"/>
      <c r="FF504" s="3"/>
      <c r="FG504" s="3"/>
      <c r="FH504" s="3"/>
      <c r="FI504" s="3"/>
      <c r="FJ504" s="3"/>
      <c r="FK504" s="3"/>
      <c r="FL504" s="3"/>
      <c r="FM504" s="131"/>
      <c r="FN504" s="15"/>
      <c r="FO504" s="99"/>
      <c r="FP504" s="149"/>
      <c r="FQ504" s="134"/>
      <c r="FR504" s="134"/>
      <c r="FS504" s="137"/>
      <c r="FT504" s="150"/>
      <c r="FU504" s="137"/>
      <c r="FV504" s="137"/>
      <c r="FW504" s="3"/>
      <c r="FX504" s="138"/>
      <c r="FY504" s="2"/>
      <c r="FZ504" s="139"/>
      <c r="GA504" s="3"/>
      <c r="GB504" s="3"/>
      <c r="GC504" s="3"/>
      <c r="GD504" s="3"/>
      <c r="GE504" s="3"/>
      <c r="GF504" s="3"/>
      <c r="GG504" s="3"/>
      <c r="GH504" s="3"/>
      <c r="GI504" s="3"/>
      <c r="GJ504" s="3"/>
      <c r="GK504" s="131"/>
      <c r="GL504" s="15"/>
      <c r="GM504" s="99"/>
      <c r="GN504" s="149"/>
      <c r="GO504" s="134"/>
      <c r="GP504" s="134"/>
      <c r="GQ504" s="137"/>
      <c r="GR504" s="150"/>
      <c r="GS504" s="137"/>
      <c r="GT504" s="137"/>
      <c r="GU504" s="3"/>
      <c r="GV504" s="138"/>
      <c r="GW504" s="2"/>
      <c r="GX504" s="139"/>
      <c r="GY504" s="3"/>
      <c r="GZ504" s="3"/>
      <c r="HA504" s="3"/>
      <c r="HB504" s="3"/>
      <c r="HC504" s="3"/>
      <c r="HD504" s="3"/>
      <c r="HE504" s="3"/>
      <c r="HF504" s="3"/>
      <c r="HG504" s="3"/>
      <c r="HH504" s="3"/>
      <c r="HI504" s="131"/>
      <c r="HJ504" s="15"/>
      <c r="HK504" s="99"/>
      <c r="HL504" s="149"/>
      <c r="HM504" s="134"/>
      <c r="HN504" s="134"/>
      <c r="HO504" s="137"/>
      <c r="HP504" s="150"/>
      <c r="HQ504" s="137"/>
      <c r="HR504" s="137"/>
      <c r="HS504" s="3"/>
      <c r="HT504" s="138"/>
      <c r="HU504" s="2"/>
      <c r="HV504" s="139"/>
      <c r="HW504" s="3"/>
      <c r="HX504" s="3"/>
      <c r="HY504" s="3"/>
      <c r="HZ504" s="3"/>
      <c r="IA504" s="3"/>
      <c r="IB504" s="3"/>
      <c r="IC504" s="3"/>
      <c r="ID504" s="3"/>
      <c r="IE504" s="3"/>
      <c r="IF504" s="3"/>
      <c r="IG504" s="131"/>
      <c r="IH504" s="15"/>
      <c r="II504" s="99"/>
      <c r="IJ504" s="149"/>
      <c r="IK504" s="134"/>
      <c r="IL504" s="134"/>
      <c r="IM504" s="137"/>
      <c r="IN504" s="150"/>
      <c r="IO504" s="137"/>
      <c r="IP504" s="137"/>
      <c r="IQ504" s="3"/>
      <c r="IR504" s="138"/>
      <c r="IS504" s="2"/>
      <c r="IT504" s="139"/>
      <c r="IU504" s="3"/>
      <c r="IV504" s="3"/>
    </row>
    <row r="505" spans="1:256" s="125" customFormat="1" ht="13.5" customHeight="1">
      <c r="A505" s="84">
        <v>26</v>
      </c>
      <c r="B505" s="17">
        <v>43088</v>
      </c>
      <c r="C505" s="18"/>
      <c r="D505" s="19" t="s">
        <v>412</v>
      </c>
      <c r="E505" s="20" t="s">
        <v>413</v>
      </c>
      <c r="F505" s="62" t="s">
        <v>693</v>
      </c>
      <c r="G505" s="63">
        <v>1708</v>
      </c>
      <c r="H505" s="121">
        <v>2010000</v>
      </c>
      <c r="I505" s="24"/>
      <c r="J505" s="24">
        <f>SUM(H505)/1.05</f>
        <v>1914285.7142857143</v>
      </c>
      <c r="K505" s="24">
        <f t="shared" si="43"/>
        <v>1914285.7142857143</v>
      </c>
      <c r="L505" s="123">
        <v>1</v>
      </c>
      <c r="M505" s="24">
        <f t="shared" si="44"/>
        <v>1914285.7142857143</v>
      </c>
      <c r="N505" s="129">
        <f t="shared" si="45"/>
        <v>0</v>
      </c>
      <c r="O505" s="85" t="s">
        <v>665</v>
      </c>
      <c r="P505" s="3"/>
      <c r="Q505" s="140"/>
      <c r="R505" s="3"/>
      <c r="S505" s="3"/>
      <c r="T505" s="3"/>
      <c r="U505" s="3"/>
      <c r="V505" s="3"/>
      <c r="W505" s="3"/>
      <c r="X505" s="3"/>
      <c r="Y505" s="131"/>
      <c r="Z505" s="15"/>
      <c r="AA505" s="99"/>
      <c r="AB505" s="149"/>
      <c r="AC505" s="134"/>
      <c r="AD505" s="134"/>
      <c r="AE505" s="137"/>
      <c r="AF505" s="150"/>
      <c r="AG505" s="137"/>
      <c r="AH505" s="137"/>
      <c r="AI505" s="3"/>
      <c r="AJ505" s="138"/>
      <c r="AK505" s="2"/>
      <c r="AL505" s="139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131"/>
      <c r="AX505" s="15"/>
      <c r="AY505" s="99"/>
      <c r="AZ505" s="149"/>
      <c r="BA505" s="134"/>
      <c r="BB505" s="134"/>
      <c r="BC505" s="137"/>
      <c r="BD505" s="150"/>
      <c r="BE505" s="137"/>
      <c r="BF505" s="137"/>
      <c r="BG505" s="3"/>
      <c r="BH505" s="138"/>
      <c r="BI505" s="2"/>
      <c r="BJ505" s="139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131"/>
      <c r="BV505" s="15"/>
      <c r="BW505" s="99"/>
      <c r="BX505" s="149"/>
      <c r="BY505" s="134"/>
      <c r="BZ505" s="134"/>
      <c r="CA505" s="137"/>
      <c r="CB505" s="150"/>
      <c r="CC505" s="137"/>
      <c r="CD505" s="137"/>
      <c r="CE505" s="3"/>
      <c r="CF505" s="138"/>
      <c r="CG505" s="2"/>
      <c r="CH505" s="139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131"/>
      <c r="CT505" s="15"/>
      <c r="CU505" s="99"/>
      <c r="CV505" s="149"/>
      <c r="CW505" s="134"/>
      <c r="CX505" s="134"/>
      <c r="CY505" s="137"/>
      <c r="CZ505" s="150"/>
      <c r="DA505" s="137"/>
      <c r="DB505" s="137"/>
      <c r="DC505" s="3"/>
      <c r="DD505" s="138"/>
      <c r="DE505" s="2"/>
      <c r="DF505" s="139"/>
      <c r="DG505" s="3"/>
      <c r="DH505" s="3"/>
      <c r="DI505" s="3"/>
      <c r="DJ505" s="3"/>
      <c r="DK505" s="3"/>
      <c r="DL505" s="3"/>
      <c r="DM505" s="3"/>
      <c r="DN505" s="3"/>
      <c r="DO505" s="3"/>
      <c r="DP505" s="3"/>
      <c r="DQ505" s="131"/>
      <c r="DR505" s="15"/>
      <c r="DS505" s="99"/>
      <c r="DT505" s="149"/>
      <c r="DU505" s="134"/>
      <c r="DV505" s="134"/>
      <c r="DW505" s="137"/>
      <c r="DX505" s="150"/>
      <c r="DY505" s="137"/>
      <c r="DZ505" s="137"/>
      <c r="EA505" s="3"/>
      <c r="EB505" s="138"/>
      <c r="EC505" s="2"/>
      <c r="ED505" s="139"/>
      <c r="EE505" s="3"/>
      <c r="EF505" s="3"/>
      <c r="EG505" s="3"/>
      <c r="EH505" s="3"/>
      <c r="EI505" s="3"/>
      <c r="EJ505" s="3"/>
      <c r="EK505" s="3"/>
      <c r="EL505" s="3"/>
      <c r="EM505" s="3"/>
      <c r="EN505" s="3"/>
      <c r="EO505" s="131"/>
      <c r="EP505" s="15"/>
      <c r="EQ505" s="99"/>
      <c r="ER505" s="149"/>
      <c r="ES505" s="134"/>
      <c r="ET505" s="134"/>
      <c r="EU505" s="137"/>
      <c r="EV505" s="150"/>
      <c r="EW505" s="137"/>
      <c r="EX505" s="137"/>
      <c r="EY505" s="3"/>
      <c r="EZ505" s="138"/>
      <c r="FA505" s="2"/>
      <c r="FB505" s="139"/>
      <c r="FC505" s="3"/>
      <c r="FD505" s="3"/>
      <c r="FE505" s="3"/>
      <c r="FF505" s="3"/>
      <c r="FG505" s="3"/>
      <c r="FH505" s="3"/>
      <c r="FI505" s="3"/>
      <c r="FJ505" s="3"/>
      <c r="FK505" s="3"/>
      <c r="FL505" s="3"/>
      <c r="FM505" s="131"/>
      <c r="FN505" s="15"/>
      <c r="FO505" s="99"/>
      <c r="FP505" s="149"/>
      <c r="FQ505" s="134"/>
      <c r="FR505" s="134"/>
      <c r="FS505" s="137"/>
      <c r="FT505" s="150"/>
      <c r="FU505" s="137"/>
      <c r="FV505" s="137"/>
      <c r="FW505" s="3"/>
      <c r="FX505" s="138"/>
      <c r="FY505" s="2"/>
      <c r="FZ505" s="139"/>
      <c r="GA505" s="3"/>
      <c r="GB505" s="3"/>
      <c r="GC505" s="3"/>
      <c r="GD505" s="3"/>
      <c r="GE505" s="3"/>
      <c r="GF505" s="3"/>
      <c r="GG505" s="3"/>
      <c r="GH505" s="3"/>
      <c r="GI505" s="3"/>
      <c r="GJ505" s="3"/>
      <c r="GK505" s="131"/>
      <c r="GL505" s="15"/>
      <c r="GM505" s="99"/>
      <c r="GN505" s="149"/>
      <c r="GO505" s="134"/>
      <c r="GP505" s="134"/>
      <c r="GQ505" s="137"/>
      <c r="GR505" s="150"/>
      <c r="GS505" s="137"/>
      <c r="GT505" s="137"/>
      <c r="GU505" s="3"/>
      <c r="GV505" s="138"/>
      <c r="GW505" s="2"/>
      <c r="GX505" s="139"/>
      <c r="GY505" s="3"/>
      <c r="GZ505" s="3"/>
      <c r="HA505" s="3"/>
      <c r="HB505" s="3"/>
      <c r="HC505" s="3"/>
      <c r="HD505" s="3"/>
      <c r="HE505" s="3"/>
      <c r="HF505" s="3"/>
      <c r="HG505" s="3"/>
      <c r="HH505" s="3"/>
      <c r="HI505" s="131"/>
      <c r="HJ505" s="15"/>
      <c r="HK505" s="99"/>
      <c r="HL505" s="149"/>
      <c r="HM505" s="134"/>
      <c r="HN505" s="134"/>
      <c r="HO505" s="137"/>
      <c r="HP505" s="150"/>
      <c r="HQ505" s="137"/>
      <c r="HR505" s="137"/>
      <c r="HS505" s="3"/>
      <c r="HT505" s="138"/>
      <c r="HU505" s="2"/>
      <c r="HV505" s="139"/>
      <c r="HW505" s="3"/>
      <c r="HX505" s="3"/>
      <c r="HY505" s="3"/>
      <c r="HZ505" s="3"/>
      <c r="IA505" s="3"/>
      <c r="IB505" s="3"/>
      <c r="IC505" s="3"/>
      <c r="ID505" s="3"/>
      <c r="IE505" s="3"/>
      <c r="IF505" s="3"/>
      <c r="IG505" s="131"/>
      <c r="IH505" s="15"/>
      <c r="II505" s="99"/>
      <c r="IJ505" s="149"/>
      <c r="IK505" s="134"/>
      <c r="IL505" s="134"/>
      <c r="IM505" s="137"/>
      <c r="IN505" s="150"/>
      <c r="IO505" s="137"/>
      <c r="IP505" s="137"/>
      <c r="IQ505" s="3"/>
      <c r="IR505" s="138"/>
      <c r="IS505" s="2"/>
      <c r="IT505" s="139"/>
      <c r="IU505" s="3"/>
      <c r="IV505" s="3"/>
    </row>
    <row r="506" spans="1:256" s="125" customFormat="1" ht="13.5" customHeight="1">
      <c r="A506" s="84">
        <v>27</v>
      </c>
      <c r="B506" s="17">
        <v>43088</v>
      </c>
      <c r="C506" s="18" t="s">
        <v>233</v>
      </c>
      <c r="D506" s="19" t="s">
        <v>316</v>
      </c>
      <c r="E506" s="20" t="s">
        <v>559</v>
      </c>
      <c r="F506" s="168" t="s">
        <v>694</v>
      </c>
      <c r="G506" s="63">
        <v>1709</v>
      </c>
      <c r="H506" s="121">
        <v>2598750</v>
      </c>
      <c r="I506" s="24"/>
      <c r="J506" s="24">
        <f>SUM(H506)/1.05</f>
        <v>2475000</v>
      </c>
      <c r="K506" s="24">
        <f t="shared" si="43"/>
        <v>2475000</v>
      </c>
      <c r="L506" s="123">
        <v>1</v>
      </c>
      <c r="M506" s="24">
        <f t="shared" si="44"/>
        <v>2475000</v>
      </c>
      <c r="N506" s="129">
        <f t="shared" si="45"/>
        <v>0</v>
      </c>
      <c r="O506" s="85" t="s">
        <v>665</v>
      </c>
      <c r="P506" s="3"/>
      <c r="Q506" s="140"/>
      <c r="R506" s="3"/>
      <c r="S506" s="3"/>
      <c r="T506" s="3"/>
      <c r="U506" s="3"/>
      <c r="V506" s="3"/>
      <c r="W506" s="3"/>
      <c r="X506" s="3"/>
      <c r="Y506" s="131"/>
      <c r="Z506" s="15"/>
      <c r="AA506" s="99"/>
      <c r="AB506" s="149"/>
      <c r="AC506" s="134"/>
      <c r="AD506" s="134"/>
      <c r="AE506" s="137"/>
      <c r="AF506" s="150"/>
      <c r="AG506" s="137"/>
      <c r="AH506" s="137"/>
      <c r="AI506" s="3"/>
      <c r="AJ506" s="138"/>
      <c r="AK506" s="2"/>
      <c r="AL506" s="139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131"/>
      <c r="AX506" s="15"/>
      <c r="AY506" s="99"/>
      <c r="AZ506" s="149"/>
      <c r="BA506" s="134"/>
      <c r="BB506" s="134"/>
      <c r="BC506" s="137"/>
      <c r="BD506" s="150"/>
      <c r="BE506" s="137"/>
      <c r="BF506" s="137"/>
      <c r="BG506" s="3"/>
      <c r="BH506" s="138"/>
      <c r="BI506" s="2"/>
      <c r="BJ506" s="139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131"/>
      <c r="BV506" s="15"/>
      <c r="BW506" s="99"/>
      <c r="BX506" s="149"/>
      <c r="BY506" s="134"/>
      <c r="BZ506" s="134"/>
      <c r="CA506" s="137"/>
      <c r="CB506" s="150"/>
      <c r="CC506" s="137"/>
      <c r="CD506" s="137"/>
      <c r="CE506" s="3"/>
      <c r="CF506" s="138"/>
      <c r="CG506" s="2"/>
      <c r="CH506" s="139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131"/>
      <c r="CT506" s="15"/>
      <c r="CU506" s="99"/>
      <c r="CV506" s="149"/>
      <c r="CW506" s="134"/>
      <c r="CX506" s="134"/>
      <c r="CY506" s="137"/>
      <c r="CZ506" s="150"/>
      <c r="DA506" s="137"/>
      <c r="DB506" s="137"/>
      <c r="DC506" s="3"/>
      <c r="DD506" s="138"/>
      <c r="DE506" s="2"/>
      <c r="DF506" s="139"/>
      <c r="DG506" s="3"/>
      <c r="DH506" s="3"/>
      <c r="DI506" s="3"/>
      <c r="DJ506" s="3"/>
      <c r="DK506" s="3"/>
      <c r="DL506" s="3"/>
      <c r="DM506" s="3"/>
      <c r="DN506" s="3"/>
      <c r="DO506" s="3"/>
      <c r="DP506" s="3"/>
      <c r="DQ506" s="131"/>
      <c r="DR506" s="15"/>
      <c r="DS506" s="99"/>
      <c r="DT506" s="149"/>
      <c r="DU506" s="134"/>
      <c r="DV506" s="134"/>
      <c r="DW506" s="137"/>
      <c r="DX506" s="150"/>
      <c r="DY506" s="137"/>
      <c r="DZ506" s="137"/>
      <c r="EA506" s="3"/>
      <c r="EB506" s="138"/>
      <c r="EC506" s="2"/>
      <c r="ED506" s="139"/>
      <c r="EE506" s="3"/>
      <c r="EF506" s="3"/>
      <c r="EG506" s="3"/>
      <c r="EH506" s="3"/>
      <c r="EI506" s="3"/>
      <c r="EJ506" s="3"/>
      <c r="EK506" s="3"/>
      <c r="EL506" s="3"/>
      <c r="EM506" s="3"/>
      <c r="EN506" s="3"/>
      <c r="EO506" s="131"/>
      <c r="EP506" s="15"/>
      <c r="EQ506" s="99"/>
      <c r="ER506" s="149"/>
      <c r="ES506" s="134"/>
      <c r="ET506" s="134"/>
      <c r="EU506" s="137"/>
      <c r="EV506" s="150"/>
      <c r="EW506" s="137"/>
      <c r="EX506" s="137"/>
      <c r="EY506" s="3"/>
      <c r="EZ506" s="138"/>
      <c r="FA506" s="2"/>
      <c r="FB506" s="139"/>
      <c r="FC506" s="3"/>
      <c r="FD506" s="3"/>
      <c r="FE506" s="3"/>
      <c r="FF506" s="3"/>
      <c r="FG506" s="3"/>
      <c r="FH506" s="3"/>
      <c r="FI506" s="3"/>
      <c r="FJ506" s="3"/>
      <c r="FK506" s="3"/>
      <c r="FL506" s="3"/>
      <c r="FM506" s="131"/>
      <c r="FN506" s="15"/>
      <c r="FO506" s="99"/>
      <c r="FP506" s="149"/>
      <c r="FQ506" s="134"/>
      <c r="FR506" s="134"/>
      <c r="FS506" s="137"/>
      <c r="FT506" s="150"/>
      <c r="FU506" s="137"/>
      <c r="FV506" s="137"/>
      <c r="FW506" s="3"/>
      <c r="FX506" s="138"/>
      <c r="FY506" s="2"/>
      <c r="FZ506" s="139"/>
      <c r="GA506" s="3"/>
      <c r="GB506" s="3"/>
      <c r="GC506" s="3"/>
      <c r="GD506" s="3"/>
      <c r="GE506" s="3"/>
      <c r="GF506" s="3"/>
      <c r="GG506" s="3"/>
      <c r="GH506" s="3"/>
      <c r="GI506" s="3"/>
      <c r="GJ506" s="3"/>
      <c r="GK506" s="131"/>
      <c r="GL506" s="15"/>
      <c r="GM506" s="99"/>
      <c r="GN506" s="149"/>
      <c r="GO506" s="134"/>
      <c r="GP506" s="134"/>
      <c r="GQ506" s="137"/>
      <c r="GR506" s="150"/>
      <c r="GS506" s="137"/>
      <c r="GT506" s="137"/>
      <c r="GU506" s="3"/>
      <c r="GV506" s="138"/>
      <c r="GW506" s="2"/>
      <c r="GX506" s="139"/>
      <c r="GY506" s="3"/>
      <c r="GZ506" s="3"/>
      <c r="HA506" s="3"/>
      <c r="HB506" s="3"/>
      <c r="HC506" s="3"/>
      <c r="HD506" s="3"/>
      <c r="HE506" s="3"/>
      <c r="HF506" s="3"/>
      <c r="HG506" s="3"/>
      <c r="HH506" s="3"/>
      <c r="HI506" s="131"/>
      <c r="HJ506" s="15"/>
      <c r="HK506" s="99"/>
      <c r="HL506" s="149"/>
      <c r="HM506" s="134"/>
      <c r="HN506" s="134"/>
      <c r="HO506" s="137"/>
      <c r="HP506" s="150"/>
      <c r="HQ506" s="137"/>
      <c r="HR506" s="137"/>
      <c r="HS506" s="3"/>
      <c r="HT506" s="138"/>
      <c r="HU506" s="2"/>
      <c r="HV506" s="139"/>
      <c r="HW506" s="3"/>
      <c r="HX506" s="3"/>
      <c r="HY506" s="3"/>
      <c r="HZ506" s="3"/>
      <c r="IA506" s="3"/>
      <c r="IB506" s="3"/>
      <c r="IC506" s="3"/>
      <c r="ID506" s="3"/>
      <c r="IE506" s="3"/>
      <c r="IF506" s="3"/>
      <c r="IG506" s="131"/>
      <c r="IH506" s="15"/>
      <c r="II506" s="99"/>
      <c r="IJ506" s="149"/>
      <c r="IK506" s="134"/>
      <c r="IL506" s="134"/>
      <c r="IM506" s="137"/>
      <c r="IN506" s="150"/>
      <c r="IO506" s="137"/>
      <c r="IP506" s="137"/>
      <c r="IQ506" s="3"/>
      <c r="IR506" s="138"/>
      <c r="IS506" s="2"/>
      <c r="IT506" s="139"/>
      <c r="IU506" s="3"/>
      <c r="IV506" s="3"/>
    </row>
    <row r="507" spans="1:256" s="125" customFormat="1" ht="13.5" customHeight="1">
      <c r="A507" s="84">
        <v>28</v>
      </c>
      <c r="B507" s="29">
        <v>43066</v>
      </c>
      <c r="C507" s="18"/>
      <c r="D507" s="19" t="s">
        <v>323</v>
      </c>
      <c r="E507" s="20" t="s">
        <v>324</v>
      </c>
      <c r="F507" s="62" t="s">
        <v>695</v>
      </c>
      <c r="G507" s="63">
        <v>1703</v>
      </c>
      <c r="H507" s="121">
        <f>20000+2130000</f>
        <v>2150000</v>
      </c>
      <c r="I507" s="24">
        <v>2047619</v>
      </c>
      <c r="J507" s="24"/>
      <c r="K507" s="24">
        <f t="shared" si="43"/>
        <v>2047619</v>
      </c>
      <c r="L507" s="123">
        <v>1</v>
      </c>
      <c r="M507" s="24">
        <f t="shared" si="44"/>
        <v>2047619</v>
      </c>
      <c r="N507" s="129">
        <f t="shared" si="45"/>
        <v>0</v>
      </c>
      <c r="O507" s="85" t="s">
        <v>665</v>
      </c>
      <c r="P507" s="3"/>
      <c r="Q507" s="140"/>
      <c r="R507" s="3"/>
      <c r="S507" s="3"/>
      <c r="T507" s="3"/>
      <c r="U507" s="3"/>
      <c r="V507" s="3"/>
      <c r="W507" s="3"/>
      <c r="X507" s="3"/>
      <c r="Y507" s="131"/>
      <c r="Z507" s="15"/>
      <c r="AA507" s="99"/>
      <c r="AB507" s="149"/>
      <c r="AC507" s="134"/>
      <c r="AD507" s="134"/>
      <c r="AE507" s="137"/>
      <c r="AF507" s="150"/>
      <c r="AG507" s="137"/>
      <c r="AH507" s="137"/>
      <c r="AI507" s="3"/>
      <c r="AJ507" s="138"/>
      <c r="AK507" s="2"/>
      <c r="AL507" s="139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131"/>
      <c r="AX507" s="15"/>
      <c r="AY507" s="99"/>
      <c r="AZ507" s="149"/>
      <c r="BA507" s="134"/>
      <c r="BB507" s="134"/>
      <c r="BC507" s="137"/>
      <c r="BD507" s="150"/>
      <c r="BE507" s="137"/>
      <c r="BF507" s="137"/>
      <c r="BG507" s="3"/>
      <c r="BH507" s="138"/>
      <c r="BI507" s="2"/>
      <c r="BJ507" s="139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131"/>
      <c r="BV507" s="15"/>
      <c r="BW507" s="99"/>
      <c r="BX507" s="149"/>
      <c r="BY507" s="134"/>
      <c r="BZ507" s="134"/>
      <c r="CA507" s="137"/>
      <c r="CB507" s="150"/>
      <c r="CC507" s="137"/>
      <c r="CD507" s="137"/>
      <c r="CE507" s="3"/>
      <c r="CF507" s="138"/>
      <c r="CG507" s="2"/>
      <c r="CH507" s="139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131"/>
      <c r="CT507" s="15"/>
      <c r="CU507" s="99"/>
      <c r="CV507" s="149"/>
      <c r="CW507" s="134"/>
      <c r="CX507" s="134"/>
      <c r="CY507" s="137"/>
      <c r="CZ507" s="150"/>
      <c r="DA507" s="137"/>
      <c r="DB507" s="137"/>
      <c r="DC507" s="3"/>
      <c r="DD507" s="138"/>
      <c r="DE507" s="2"/>
      <c r="DF507" s="139"/>
      <c r="DG507" s="3"/>
      <c r="DH507" s="3"/>
      <c r="DI507" s="3"/>
      <c r="DJ507" s="3"/>
      <c r="DK507" s="3"/>
      <c r="DL507" s="3"/>
      <c r="DM507" s="3"/>
      <c r="DN507" s="3"/>
      <c r="DO507" s="3"/>
      <c r="DP507" s="3"/>
      <c r="DQ507" s="131"/>
      <c r="DR507" s="15"/>
      <c r="DS507" s="99"/>
      <c r="DT507" s="149"/>
      <c r="DU507" s="134"/>
      <c r="DV507" s="134"/>
      <c r="DW507" s="137"/>
      <c r="DX507" s="150"/>
      <c r="DY507" s="137"/>
      <c r="DZ507" s="137"/>
      <c r="EA507" s="3"/>
      <c r="EB507" s="138"/>
      <c r="EC507" s="2"/>
      <c r="ED507" s="139"/>
      <c r="EE507" s="3"/>
      <c r="EF507" s="3"/>
      <c r="EG507" s="3"/>
      <c r="EH507" s="3"/>
      <c r="EI507" s="3"/>
      <c r="EJ507" s="3"/>
      <c r="EK507" s="3"/>
      <c r="EL507" s="3"/>
      <c r="EM507" s="3"/>
      <c r="EN507" s="3"/>
      <c r="EO507" s="131"/>
      <c r="EP507" s="15"/>
      <c r="EQ507" s="99"/>
      <c r="ER507" s="149"/>
      <c r="ES507" s="134"/>
      <c r="ET507" s="134"/>
      <c r="EU507" s="137"/>
      <c r="EV507" s="150"/>
      <c r="EW507" s="137"/>
      <c r="EX507" s="137"/>
      <c r="EY507" s="3"/>
      <c r="EZ507" s="138"/>
      <c r="FA507" s="2"/>
      <c r="FB507" s="139"/>
      <c r="FC507" s="3"/>
      <c r="FD507" s="3"/>
      <c r="FE507" s="3"/>
      <c r="FF507" s="3"/>
      <c r="FG507" s="3"/>
      <c r="FH507" s="3"/>
      <c r="FI507" s="3"/>
      <c r="FJ507" s="3"/>
      <c r="FK507" s="3"/>
      <c r="FL507" s="3"/>
      <c r="FM507" s="131"/>
      <c r="FN507" s="15"/>
      <c r="FO507" s="99"/>
      <c r="FP507" s="149"/>
      <c r="FQ507" s="134"/>
      <c r="FR507" s="134"/>
      <c r="FS507" s="137"/>
      <c r="FT507" s="150"/>
      <c r="FU507" s="137"/>
      <c r="FV507" s="137"/>
      <c r="FW507" s="3"/>
      <c r="FX507" s="138"/>
      <c r="FY507" s="2"/>
      <c r="FZ507" s="139"/>
      <c r="GA507" s="3"/>
      <c r="GB507" s="3"/>
      <c r="GC507" s="3"/>
      <c r="GD507" s="3"/>
      <c r="GE507" s="3"/>
      <c r="GF507" s="3"/>
      <c r="GG507" s="3"/>
      <c r="GH507" s="3"/>
      <c r="GI507" s="3"/>
      <c r="GJ507" s="3"/>
      <c r="GK507" s="131"/>
      <c r="GL507" s="15"/>
      <c r="GM507" s="99"/>
      <c r="GN507" s="149"/>
      <c r="GO507" s="134"/>
      <c r="GP507" s="134"/>
      <c r="GQ507" s="137"/>
      <c r="GR507" s="150"/>
      <c r="GS507" s="137"/>
      <c r="GT507" s="137"/>
      <c r="GU507" s="3"/>
      <c r="GV507" s="138"/>
      <c r="GW507" s="2"/>
      <c r="GX507" s="139"/>
      <c r="GY507" s="3"/>
      <c r="GZ507" s="3"/>
      <c r="HA507" s="3"/>
      <c r="HB507" s="3"/>
      <c r="HC507" s="3"/>
      <c r="HD507" s="3"/>
      <c r="HE507" s="3"/>
      <c r="HF507" s="3"/>
      <c r="HG507" s="3"/>
      <c r="HH507" s="3"/>
      <c r="HI507" s="131"/>
      <c r="HJ507" s="15"/>
      <c r="HK507" s="99"/>
      <c r="HL507" s="149"/>
      <c r="HM507" s="134"/>
      <c r="HN507" s="134"/>
      <c r="HO507" s="137"/>
      <c r="HP507" s="150"/>
      <c r="HQ507" s="137"/>
      <c r="HR507" s="137"/>
      <c r="HS507" s="3"/>
      <c r="HT507" s="138"/>
      <c r="HU507" s="2"/>
      <c r="HV507" s="139"/>
      <c r="HW507" s="3"/>
      <c r="HX507" s="3"/>
      <c r="HY507" s="3"/>
      <c r="HZ507" s="3"/>
      <c r="IA507" s="3"/>
      <c r="IB507" s="3"/>
      <c r="IC507" s="3"/>
      <c r="ID507" s="3"/>
      <c r="IE507" s="3"/>
      <c r="IF507" s="3"/>
      <c r="IG507" s="131"/>
      <c r="IH507" s="15"/>
      <c r="II507" s="99"/>
      <c r="IJ507" s="149"/>
      <c r="IK507" s="134"/>
      <c r="IL507" s="134"/>
      <c r="IM507" s="137"/>
      <c r="IN507" s="150"/>
      <c r="IO507" s="137"/>
      <c r="IP507" s="137"/>
      <c r="IQ507" s="3"/>
      <c r="IR507" s="138"/>
      <c r="IS507" s="2"/>
      <c r="IT507" s="139"/>
      <c r="IU507" s="3"/>
      <c r="IV507" s="3"/>
    </row>
    <row r="508" spans="1:256" s="125" customFormat="1" ht="13.5" customHeight="1">
      <c r="A508" s="84">
        <v>29</v>
      </c>
      <c r="B508" s="17">
        <v>43084</v>
      </c>
      <c r="C508" s="18" t="s">
        <v>596</v>
      </c>
      <c r="D508" s="19" t="s">
        <v>323</v>
      </c>
      <c r="E508" s="20" t="s">
        <v>564</v>
      </c>
      <c r="F508" s="168" t="s">
        <v>696</v>
      </c>
      <c r="G508" s="63">
        <v>1703</v>
      </c>
      <c r="H508" s="121">
        <f>2130000+20000</f>
        <v>2150000</v>
      </c>
      <c r="I508" s="24"/>
      <c r="J508" s="24">
        <f>SUM(H508)/1.05</f>
        <v>2047619.0476190476</v>
      </c>
      <c r="K508" s="24">
        <f t="shared" si="43"/>
        <v>2047619.0476190476</v>
      </c>
      <c r="L508" s="123">
        <v>1</v>
      </c>
      <c r="M508" s="24">
        <f t="shared" si="44"/>
        <v>2047619.0476190476</v>
      </c>
      <c r="N508" s="129">
        <f t="shared" si="45"/>
        <v>0</v>
      </c>
      <c r="O508" s="85" t="s">
        <v>665</v>
      </c>
      <c r="P508" s="3"/>
      <c r="Q508" s="140"/>
      <c r="R508" s="3"/>
      <c r="S508" s="3"/>
      <c r="T508" s="3"/>
      <c r="U508" s="3"/>
      <c r="V508" s="3"/>
      <c r="W508" s="3"/>
      <c r="X508" s="3"/>
      <c r="Y508" s="131"/>
      <c r="Z508" s="15"/>
      <c r="AA508" s="99"/>
      <c r="AB508" s="149"/>
      <c r="AC508" s="134"/>
      <c r="AD508" s="134"/>
      <c r="AE508" s="137"/>
      <c r="AF508" s="150"/>
      <c r="AG508" s="137"/>
      <c r="AH508" s="137"/>
      <c r="AI508" s="3"/>
      <c r="AJ508" s="138"/>
      <c r="AK508" s="2"/>
      <c r="AL508" s="139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131"/>
      <c r="AX508" s="15"/>
      <c r="AY508" s="99"/>
      <c r="AZ508" s="149"/>
      <c r="BA508" s="134"/>
      <c r="BB508" s="134"/>
      <c r="BC508" s="137"/>
      <c r="BD508" s="150"/>
      <c r="BE508" s="137"/>
      <c r="BF508" s="137"/>
      <c r="BG508" s="3"/>
      <c r="BH508" s="138"/>
      <c r="BI508" s="2"/>
      <c r="BJ508" s="139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131"/>
      <c r="BV508" s="15"/>
      <c r="BW508" s="99"/>
      <c r="BX508" s="149"/>
      <c r="BY508" s="134"/>
      <c r="BZ508" s="134"/>
      <c r="CA508" s="137"/>
      <c r="CB508" s="150"/>
      <c r="CC508" s="137"/>
      <c r="CD508" s="137"/>
      <c r="CE508" s="3"/>
      <c r="CF508" s="138"/>
      <c r="CG508" s="2"/>
      <c r="CH508" s="139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131"/>
      <c r="CT508" s="15"/>
      <c r="CU508" s="99"/>
      <c r="CV508" s="149"/>
      <c r="CW508" s="134"/>
      <c r="CX508" s="134"/>
      <c r="CY508" s="137"/>
      <c r="CZ508" s="150"/>
      <c r="DA508" s="137"/>
      <c r="DB508" s="137"/>
      <c r="DC508" s="3"/>
      <c r="DD508" s="138"/>
      <c r="DE508" s="2"/>
      <c r="DF508" s="139"/>
      <c r="DG508" s="3"/>
      <c r="DH508" s="3"/>
      <c r="DI508" s="3"/>
      <c r="DJ508" s="3"/>
      <c r="DK508" s="3"/>
      <c r="DL508" s="3"/>
      <c r="DM508" s="3"/>
      <c r="DN508" s="3"/>
      <c r="DO508" s="3"/>
      <c r="DP508" s="3"/>
      <c r="DQ508" s="131"/>
      <c r="DR508" s="15"/>
      <c r="DS508" s="99"/>
      <c r="DT508" s="149"/>
      <c r="DU508" s="134"/>
      <c r="DV508" s="134"/>
      <c r="DW508" s="137"/>
      <c r="DX508" s="150"/>
      <c r="DY508" s="137"/>
      <c r="DZ508" s="137"/>
      <c r="EA508" s="3"/>
      <c r="EB508" s="138"/>
      <c r="EC508" s="2"/>
      <c r="ED508" s="139"/>
      <c r="EE508" s="3"/>
      <c r="EF508" s="3"/>
      <c r="EG508" s="3"/>
      <c r="EH508" s="3"/>
      <c r="EI508" s="3"/>
      <c r="EJ508" s="3"/>
      <c r="EK508" s="3"/>
      <c r="EL508" s="3"/>
      <c r="EM508" s="3"/>
      <c r="EN508" s="3"/>
      <c r="EO508" s="131"/>
      <c r="EP508" s="15"/>
      <c r="EQ508" s="99"/>
      <c r="ER508" s="149"/>
      <c r="ES508" s="134"/>
      <c r="ET508" s="134"/>
      <c r="EU508" s="137"/>
      <c r="EV508" s="150"/>
      <c r="EW508" s="137"/>
      <c r="EX508" s="137"/>
      <c r="EY508" s="3"/>
      <c r="EZ508" s="138"/>
      <c r="FA508" s="2"/>
      <c r="FB508" s="139"/>
      <c r="FC508" s="3"/>
      <c r="FD508" s="3"/>
      <c r="FE508" s="3"/>
      <c r="FF508" s="3"/>
      <c r="FG508" s="3"/>
      <c r="FH508" s="3"/>
      <c r="FI508" s="3"/>
      <c r="FJ508" s="3"/>
      <c r="FK508" s="3"/>
      <c r="FL508" s="3"/>
      <c r="FM508" s="131"/>
      <c r="FN508" s="15"/>
      <c r="FO508" s="99"/>
      <c r="FP508" s="149"/>
      <c r="FQ508" s="134"/>
      <c r="FR508" s="134"/>
      <c r="FS508" s="137"/>
      <c r="FT508" s="150"/>
      <c r="FU508" s="137"/>
      <c r="FV508" s="137"/>
      <c r="FW508" s="3"/>
      <c r="FX508" s="138"/>
      <c r="FY508" s="2"/>
      <c r="FZ508" s="139"/>
      <c r="GA508" s="3"/>
      <c r="GB508" s="3"/>
      <c r="GC508" s="3"/>
      <c r="GD508" s="3"/>
      <c r="GE508" s="3"/>
      <c r="GF508" s="3"/>
      <c r="GG508" s="3"/>
      <c r="GH508" s="3"/>
      <c r="GI508" s="3"/>
      <c r="GJ508" s="3"/>
      <c r="GK508" s="131"/>
      <c r="GL508" s="15"/>
      <c r="GM508" s="99"/>
      <c r="GN508" s="149"/>
      <c r="GO508" s="134"/>
      <c r="GP508" s="134"/>
      <c r="GQ508" s="137"/>
      <c r="GR508" s="150"/>
      <c r="GS508" s="137"/>
      <c r="GT508" s="137"/>
      <c r="GU508" s="3"/>
      <c r="GV508" s="138"/>
      <c r="GW508" s="2"/>
      <c r="GX508" s="139"/>
      <c r="GY508" s="3"/>
      <c r="GZ508" s="3"/>
      <c r="HA508" s="3"/>
      <c r="HB508" s="3"/>
      <c r="HC508" s="3"/>
      <c r="HD508" s="3"/>
      <c r="HE508" s="3"/>
      <c r="HF508" s="3"/>
      <c r="HG508" s="3"/>
      <c r="HH508" s="3"/>
      <c r="HI508" s="131"/>
      <c r="HJ508" s="15"/>
      <c r="HK508" s="99"/>
      <c r="HL508" s="149"/>
      <c r="HM508" s="134"/>
      <c r="HN508" s="134"/>
      <c r="HO508" s="137"/>
      <c r="HP508" s="150"/>
      <c r="HQ508" s="137"/>
      <c r="HR508" s="137"/>
      <c r="HS508" s="3"/>
      <c r="HT508" s="138"/>
      <c r="HU508" s="2"/>
      <c r="HV508" s="139"/>
      <c r="HW508" s="3"/>
      <c r="HX508" s="3"/>
      <c r="HY508" s="3"/>
      <c r="HZ508" s="3"/>
      <c r="IA508" s="3"/>
      <c r="IB508" s="3"/>
      <c r="IC508" s="3"/>
      <c r="ID508" s="3"/>
      <c r="IE508" s="3"/>
      <c r="IF508" s="3"/>
      <c r="IG508" s="131"/>
      <c r="IH508" s="15"/>
      <c r="II508" s="99"/>
      <c r="IJ508" s="149"/>
      <c r="IK508" s="134"/>
      <c r="IL508" s="134"/>
      <c r="IM508" s="137"/>
      <c r="IN508" s="150"/>
      <c r="IO508" s="137"/>
      <c r="IP508" s="137"/>
      <c r="IQ508" s="3"/>
      <c r="IR508" s="138"/>
      <c r="IS508" s="2"/>
      <c r="IT508" s="139"/>
      <c r="IU508" s="3"/>
      <c r="IV508" s="3"/>
    </row>
    <row r="509" spans="1:256" s="125" customFormat="1" ht="13.5" customHeight="1">
      <c r="A509" s="84">
        <v>30</v>
      </c>
      <c r="B509" s="128">
        <v>43066</v>
      </c>
      <c r="C509" s="18"/>
      <c r="D509" s="19" t="s">
        <v>323</v>
      </c>
      <c r="E509" s="20" t="s">
        <v>324</v>
      </c>
      <c r="F509" s="62" t="s">
        <v>697</v>
      </c>
      <c r="G509" s="63">
        <v>1704</v>
      </c>
      <c r="H509" s="121">
        <f>20000+2130000</f>
        <v>2150000</v>
      </c>
      <c r="I509" s="24">
        <v>2047619</v>
      </c>
      <c r="J509" s="24"/>
      <c r="K509" s="24">
        <f t="shared" si="43"/>
        <v>2047619</v>
      </c>
      <c r="L509" s="123">
        <v>1</v>
      </c>
      <c r="M509" s="24">
        <f t="shared" si="44"/>
        <v>2047619</v>
      </c>
      <c r="N509" s="124">
        <f t="shared" si="45"/>
        <v>0</v>
      </c>
      <c r="O509" s="85" t="s">
        <v>665</v>
      </c>
      <c r="P509" s="3"/>
      <c r="Q509" s="140"/>
      <c r="R509" s="3"/>
      <c r="S509" s="3"/>
      <c r="T509" s="3"/>
      <c r="U509" s="3"/>
      <c r="V509" s="3"/>
      <c r="W509" s="3"/>
      <c r="X509" s="3"/>
      <c r="Y509" s="131"/>
      <c r="Z509" s="15"/>
      <c r="AA509" s="99"/>
      <c r="AB509" s="149"/>
      <c r="AC509" s="134"/>
      <c r="AD509" s="134"/>
      <c r="AE509" s="137"/>
      <c r="AF509" s="150"/>
      <c r="AG509" s="137"/>
      <c r="AH509" s="137"/>
      <c r="AI509" s="3"/>
      <c r="AJ509" s="138"/>
      <c r="AK509" s="2"/>
      <c r="AL509" s="139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131"/>
      <c r="AX509" s="15"/>
      <c r="AY509" s="99"/>
      <c r="AZ509" s="149"/>
      <c r="BA509" s="134"/>
      <c r="BB509" s="134"/>
      <c r="BC509" s="137"/>
      <c r="BD509" s="150"/>
      <c r="BE509" s="137"/>
      <c r="BF509" s="137"/>
      <c r="BG509" s="3"/>
      <c r="BH509" s="138"/>
      <c r="BI509" s="2"/>
      <c r="BJ509" s="139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131"/>
      <c r="BV509" s="15"/>
      <c r="BW509" s="99"/>
      <c r="BX509" s="149"/>
      <c r="BY509" s="134"/>
      <c r="BZ509" s="134"/>
      <c r="CA509" s="137"/>
      <c r="CB509" s="150"/>
      <c r="CC509" s="137"/>
      <c r="CD509" s="137"/>
      <c r="CE509" s="3"/>
      <c r="CF509" s="138"/>
      <c r="CG509" s="2"/>
      <c r="CH509" s="139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131"/>
      <c r="CT509" s="15"/>
      <c r="CU509" s="99"/>
      <c r="CV509" s="149"/>
      <c r="CW509" s="134"/>
      <c r="CX509" s="134"/>
      <c r="CY509" s="137"/>
      <c r="CZ509" s="150"/>
      <c r="DA509" s="137"/>
      <c r="DB509" s="137"/>
      <c r="DC509" s="3"/>
      <c r="DD509" s="138"/>
      <c r="DE509" s="2"/>
      <c r="DF509" s="139"/>
      <c r="DG509" s="3"/>
      <c r="DH509" s="3"/>
      <c r="DI509" s="3"/>
      <c r="DJ509" s="3"/>
      <c r="DK509" s="3"/>
      <c r="DL509" s="3"/>
      <c r="DM509" s="3"/>
      <c r="DN509" s="3"/>
      <c r="DO509" s="3"/>
      <c r="DP509" s="3"/>
      <c r="DQ509" s="131"/>
      <c r="DR509" s="15"/>
      <c r="DS509" s="99"/>
      <c r="DT509" s="149"/>
      <c r="DU509" s="134"/>
      <c r="DV509" s="134"/>
      <c r="DW509" s="137"/>
      <c r="DX509" s="150"/>
      <c r="DY509" s="137"/>
      <c r="DZ509" s="137"/>
      <c r="EA509" s="3"/>
      <c r="EB509" s="138"/>
      <c r="EC509" s="2"/>
      <c r="ED509" s="139"/>
      <c r="EE509" s="3"/>
      <c r="EF509" s="3"/>
      <c r="EG509" s="3"/>
      <c r="EH509" s="3"/>
      <c r="EI509" s="3"/>
      <c r="EJ509" s="3"/>
      <c r="EK509" s="3"/>
      <c r="EL509" s="3"/>
      <c r="EM509" s="3"/>
      <c r="EN509" s="3"/>
      <c r="EO509" s="131"/>
      <c r="EP509" s="15"/>
      <c r="EQ509" s="99"/>
      <c r="ER509" s="149"/>
      <c r="ES509" s="134"/>
      <c r="ET509" s="134"/>
      <c r="EU509" s="137"/>
      <c r="EV509" s="150"/>
      <c r="EW509" s="137"/>
      <c r="EX509" s="137"/>
      <c r="EY509" s="3"/>
      <c r="EZ509" s="138"/>
      <c r="FA509" s="2"/>
      <c r="FB509" s="139"/>
      <c r="FC509" s="3"/>
      <c r="FD509" s="3"/>
      <c r="FE509" s="3"/>
      <c r="FF509" s="3"/>
      <c r="FG509" s="3"/>
      <c r="FH509" s="3"/>
      <c r="FI509" s="3"/>
      <c r="FJ509" s="3"/>
      <c r="FK509" s="3"/>
      <c r="FL509" s="3"/>
      <c r="FM509" s="131"/>
      <c r="FN509" s="15"/>
      <c r="FO509" s="99"/>
      <c r="FP509" s="149"/>
      <c r="FQ509" s="134"/>
      <c r="FR509" s="134"/>
      <c r="FS509" s="137"/>
      <c r="FT509" s="150"/>
      <c r="FU509" s="137"/>
      <c r="FV509" s="137"/>
      <c r="FW509" s="3"/>
      <c r="FX509" s="138"/>
      <c r="FY509" s="2"/>
      <c r="FZ509" s="139"/>
      <c r="GA509" s="3"/>
      <c r="GB509" s="3"/>
      <c r="GC509" s="3"/>
      <c r="GD509" s="3"/>
      <c r="GE509" s="3"/>
      <c r="GF509" s="3"/>
      <c r="GG509" s="3"/>
      <c r="GH509" s="3"/>
      <c r="GI509" s="3"/>
      <c r="GJ509" s="3"/>
      <c r="GK509" s="131"/>
      <c r="GL509" s="15"/>
      <c r="GM509" s="99"/>
      <c r="GN509" s="149"/>
      <c r="GO509" s="134"/>
      <c r="GP509" s="134"/>
      <c r="GQ509" s="137"/>
      <c r="GR509" s="150"/>
      <c r="GS509" s="137"/>
      <c r="GT509" s="137"/>
      <c r="GU509" s="3"/>
      <c r="GV509" s="138"/>
      <c r="GW509" s="2"/>
      <c r="GX509" s="139"/>
      <c r="GY509" s="3"/>
      <c r="GZ509" s="3"/>
      <c r="HA509" s="3"/>
      <c r="HB509" s="3"/>
      <c r="HC509" s="3"/>
      <c r="HD509" s="3"/>
      <c r="HE509" s="3"/>
      <c r="HF509" s="3"/>
      <c r="HG509" s="3"/>
      <c r="HH509" s="3"/>
      <c r="HI509" s="131"/>
      <c r="HJ509" s="15"/>
      <c r="HK509" s="99"/>
      <c r="HL509" s="149"/>
      <c r="HM509" s="134"/>
      <c r="HN509" s="134"/>
      <c r="HO509" s="137"/>
      <c r="HP509" s="150"/>
      <c r="HQ509" s="137"/>
      <c r="HR509" s="137"/>
      <c r="HS509" s="3"/>
      <c r="HT509" s="138"/>
      <c r="HU509" s="2"/>
      <c r="HV509" s="139"/>
      <c r="HW509" s="3"/>
      <c r="HX509" s="3"/>
      <c r="HY509" s="3"/>
      <c r="HZ509" s="3"/>
      <c r="IA509" s="3"/>
      <c r="IB509" s="3"/>
      <c r="IC509" s="3"/>
      <c r="ID509" s="3"/>
      <c r="IE509" s="3"/>
      <c r="IF509" s="3"/>
      <c r="IG509" s="131"/>
      <c r="IH509" s="15"/>
      <c r="II509" s="99"/>
      <c r="IJ509" s="149"/>
      <c r="IK509" s="134"/>
      <c r="IL509" s="134"/>
      <c r="IM509" s="137"/>
      <c r="IN509" s="150"/>
      <c r="IO509" s="137"/>
      <c r="IP509" s="137"/>
      <c r="IQ509" s="3"/>
      <c r="IR509" s="138"/>
      <c r="IS509" s="2"/>
      <c r="IT509" s="139"/>
      <c r="IU509" s="3"/>
      <c r="IV509" s="3"/>
    </row>
    <row r="510" spans="1:256" s="125" customFormat="1" ht="13.5" customHeight="1">
      <c r="A510" s="84">
        <v>31</v>
      </c>
      <c r="B510" s="17">
        <v>43067</v>
      </c>
      <c r="C510" s="18"/>
      <c r="D510" s="19" t="s">
        <v>323</v>
      </c>
      <c r="E510" s="20" t="s">
        <v>324</v>
      </c>
      <c r="F510" s="62" t="s">
        <v>698</v>
      </c>
      <c r="G510" s="63">
        <v>1704</v>
      </c>
      <c r="H510" s="121">
        <f>20000+2130000</f>
        <v>2150000</v>
      </c>
      <c r="I510" s="24">
        <v>2047619</v>
      </c>
      <c r="J510" s="24"/>
      <c r="K510" s="24">
        <f t="shared" si="43"/>
        <v>2047619</v>
      </c>
      <c r="L510" s="123">
        <v>1</v>
      </c>
      <c r="M510" s="24">
        <f t="shared" si="44"/>
        <v>2047619</v>
      </c>
      <c r="N510" s="124">
        <f t="shared" si="45"/>
        <v>0</v>
      </c>
      <c r="O510" s="85" t="s">
        <v>665</v>
      </c>
      <c r="P510" s="3"/>
      <c r="Q510" s="140"/>
      <c r="R510" s="3"/>
      <c r="S510" s="3"/>
      <c r="T510" s="3"/>
      <c r="U510" s="3"/>
      <c r="V510" s="3"/>
      <c r="W510" s="3"/>
      <c r="X510" s="3"/>
      <c r="Y510" s="131"/>
      <c r="Z510" s="15"/>
      <c r="AA510" s="99"/>
      <c r="AB510" s="149"/>
      <c r="AC510" s="134"/>
      <c r="AD510" s="134"/>
      <c r="AE510" s="137"/>
      <c r="AF510" s="150"/>
      <c r="AG510" s="137"/>
      <c r="AH510" s="137"/>
      <c r="AI510" s="3"/>
      <c r="AJ510" s="138"/>
      <c r="AK510" s="2"/>
      <c r="AL510" s="139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131"/>
      <c r="AX510" s="15"/>
      <c r="AY510" s="99"/>
      <c r="AZ510" s="149"/>
      <c r="BA510" s="134"/>
      <c r="BB510" s="134"/>
      <c r="BC510" s="137"/>
      <c r="BD510" s="150"/>
      <c r="BE510" s="137"/>
      <c r="BF510" s="137"/>
      <c r="BG510" s="3"/>
      <c r="BH510" s="138"/>
      <c r="BI510" s="2"/>
      <c r="BJ510" s="139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131"/>
      <c r="BV510" s="15"/>
      <c r="BW510" s="99"/>
      <c r="BX510" s="149"/>
      <c r="BY510" s="134"/>
      <c r="BZ510" s="134"/>
      <c r="CA510" s="137"/>
      <c r="CB510" s="150"/>
      <c r="CC510" s="137"/>
      <c r="CD510" s="137"/>
      <c r="CE510" s="3"/>
      <c r="CF510" s="138"/>
      <c r="CG510" s="2"/>
      <c r="CH510" s="139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131"/>
      <c r="CT510" s="15"/>
      <c r="CU510" s="99"/>
      <c r="CV510" s="149"/>
      <c r="CW510" s="134"/>
      <c r="CX510" s="134"/>
      <c r="CY510" s="137"/>
      <c r="CZ510" s="150"/>
      <c r="DA510" s="137"/>
      <c r="DB510" s="137"/>
      <c r="DC510" s="3"/>
      <c r="DD510" s="138"/>
      <c r="DE510" s="2"/>
      <c r="DF510" s="139"/>
      <c r="DG510" s="3"/>
      <c r="DH510" s="3"/>
      <c r="DI510" s="3"/>
      <c r="DJ510" s="3"/>
      <c r="DK510" s="3"/>
      <c r="DL510" s="3"/>
      <c r="DM510" s="3"/>
      <c r="DN510" s="3"/>
      <c r="DO510" s="3"/>
      <c r="DP510" s="3"/>
      <c r="DQ510" s="131"/>
      <c r="DR510" s="15"/>
      <c r="DS510" s="99"/>
      <c r="DT510" s="149"/>
      <c r="DU510" s="134"/>
      <c r="DV510" s="134"/>
      <c r="DW510" s="137"/>
      <c r="DX510" s="150"/>
      <c r="DY510" s="137"/>
      <c r="DZ510" s="137"/>
      <c r="EA510" s="3"/>
      <c r="EB510" s="138"/>
      <c r="EC510" s="2"/>
      <c r="ED510" s="139"/>
      <c r="EE510" s="3"/>
      <c r="EF510" s="3"/>
      <c r="EG510" s="3"/>
      <c r="EH510" s="3"/>
      <c r="EI510" s="3"/>
      <c r="EJ510" s="3"/>
      <c r="EK510" s="3"/>
      <c r="EL510" s="3"/>
      <c r="EM510" s="3"/>
      <c r="EN510" s="3"/>
      <c r="EO510" s="131"/>
      <c r="EP510" s="15"/>
      <c r="EQ510" s="99"/>
      <c r="ER510" s="149"/>
      <c r="ES510" s="134"/>
      <c r="ET510" s="134"/>
      <c r="EU510" s="137"/>
      <c r="EV510" s="150"/>
      <c r="EW510" s="137"/>
      <c r="EX510" s="137"/>
      <c r="EY510" s="3"/>
      <c r="EZ510" s="138"/>
      <c r="FA510" s="2"/>
      <c r="FB510" s="139"/>
      <c r="FC510" s="3"/>
      <c r="FD510" s="3"/>
      <c r="FE510" s="3"/>
      <c r="FF510" s="3"/>
      <c r="FG510" s="3"/>
      <c r="FH510" s="3"/>
      <c r="FI510" s="3"/>
      <c r="FJ510" s="3"/>
      <c r="FK510" s="3"/>
      <c r="FL510" s="3"/>
      <c r="FM510" s="131"/>
      <c r="FN510" s="15"/>
      <c r="FO510" s="99"/>
      <c r="FP510" s="149"/>
      <c r="FQ510" s="134"/>
      <c r="FR510" s="134"/>
      <c r="FS510" s="137"/>
      <c r="FT510" s="150"/>
      <c r="FU510" s="137"/>
      <c r="FV510" s="137"/>
      <c r="FW510" s="3"/>
      <c r="FX510" s="138"/>
      <c r="FY510" s="2"/>
      <c r="FZ510" s="139"/>
      <c r="GA510" s="3"/>
      <c r="GB510" s="3"/>
      <c r="GC510" s="3"/>
      <c r="GD510" s="3"/>
      <c r="GE510" s="3"/>
      <c r="GF510" s="3"/>
      <c r="GG510" s="3"/>
      <c r="GH510" s="3"/>
      <c r="GI510" s="3"/>
      <c r="GJ510" s="3"/>
      <c r="GK510" s="131"/>
      <c r="GL510" s="15"/>
      <c r="GM510" s="99"/>
      <c r="GN510" s="149"/>
      <c r="GO510" s="134"/>
      <c r="GP510" s="134"/>
      <c r="GQ510" s="137"/>
      <c r="GR510" s="150"/>
      <c r="GS510" s="137"/>
      <c r="GT510" s="137"/>
      <c r="GU510" s="3"/>
      <c r="GV510" s="138"/>
      <c r="GW510" s="2"/>
      <c r="GX510" s="139"/>
      <c r="GY510" s="3"/>
      <c r="GZ510" s="3"/>
      <c r="HA510" s="3"/>
      <c r="HB510" s="3"/>
      <c r="HC510" s="3"/>
      <c r="HD510" s="3"/>
      <c r="HE510" s="3"/>
      <c r="HF510" s="3"/>
      <c r="HG510" s="3"/>
      <c r="HH510" s="3"/>
      <c r="HI510" s="131"/>
      <c r="HJ510" s="15"/>
      <c r="HK510" s="99"/>
      <c r="HL510" s="149"/>
      <c r="HM510" s="134"/>
      <c r="HN510" s="134"/>
      <c r="HO510" s="137"/>
      <c r="HP510" s="150"/>
      <c r="HQ510" s="137"/>
      <c r="HR510" s="137"/>
      <c r="HS510" s="3"/>
      <c r="HT510" s="138"/>
      <c r="HU510" s="2"/>
      <c r="HV510" s="139"/>
      <c r="HW510" s="3"/>
      <c r="HX510" s="3"/>
      <c r="HY510" s="3"/>
      <c r="HZ510" s="3"/>
      <c r="IA510" s="3"/>
      <c r="IB510" s="3"/>
      <c r="IC510" s="3"/>
      <c r="ID510" s="3"/>
      <c r="IE510" s="3"/>
      <c r="IF510" s="3"/>
      <c r="IG510" s="131"/>
      <c r="IH510" s="15"/>
      <c r="II510" s="99"/>
      <c r="IJ510" s="149"/>
      <c r="IK510" s="134"/>
      <c r="IL510" s="134"/>
      <c r="IM510" s="137"/>
      <c r="IN510" s="150"/>
      <c r="IO510" s="137"/>
      <c r="IP510" s="137"/>
      <c r="IQ510" s="3"/>
      <c r="IR510" s="138"/>
      <c r="IS510" s="2"/>
      <c r="IT510" s="139"/>
      <c r="IU510" s="3"/>
      <c r="IV510" s="3"/>
    </row>
    <row r="511" spans="1:256" s="125" customFormat="1" ht="13.5" customHeight="1">
      <c r="A511" s="84">
        <v>32</v>
      </c>
      <c r="B511" s="29">
        <v>43070</v>
      </c>
      <c r="C511" s="18"/>
      <c r="D511" s="19" t="s">
        <v>323</v>
      </c>
      <c r="E511" s="20" t="s">
        <v>324</v>
      </c>
      <c r="F511" s="57" t="s">
        <v>699</v>
      </c>
      <c r="G511" s="63">
        <v>1704</v>
      </c>
      <c r="H511" s="121">
        <f>20000+2130000</f>
        <v>2150000</v>
      </c>
      <c r="I511" s="24"/>
      <c r="J511" s="24">
        <f t="shared" ref="J511:J524" si="47">SUM(H511)/1.05</f>
        <v>2047619.0476190476</v>
      </c>
      <c r="K511" s="24">
        <f t="shared" si="43"/>
        <v>2047619.0476190476</v>
      </c>
      <c r="L511" s="123">
        <v>1</v>
      </c>
      <c r="M511" s="24">
        <f t="shared" si="44"/>
        <v>2047619.0476190476</v>
      </c>
      <c r="N511" s="124">
        <f t="shared" si="45"/>
        <v>0</v>
      </c>
      <c r="O511" s="85" t="s">
        <v>665</v>
      </c>
      <c r="P511" s="3"/>
      <c r="Q511" s="140"/>
      <c r="R511" s="3"/>
      <c r="S511" s="3"/>
      <c r="T511" s="3"/>
      <c r="U511" s="3"/>
      <c r="V511" s="3"/>
      <c r="W511" s="3"/>
      <c r="X511" s="3"/>
      <c r="Y511" s="131"/>
      <c r="Z511" s="15"/>
      <c r="AA511" s="99"/>
      <c r="AB511" s="149"/>
      <c r="AC511" s="134"/>
      <c r="AD511" s="134"/>
      <c r="AE511" s="137"/>
      <c r="AF511" s="150"/>
      <c r="AG511" s="137"/>
      <c r="AH511" s="137"/>
      <c r="AI511" s="3"/>
      <c r="AJ511" s="138"/>
      <c r="AK511" s="2"/>
      <c r="AL511" s="139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131"/>
      <c r="AX511" s="15"/>
      <c r="AY511" s="99"/>
      <c r="AZ511" s="149"/>
      <c r="BA511" s="134"/>
      <c r="BB511" s="134"/>
      <c r="BC511" s="137"/>
      <c r="BD511" s="150"/>
      <c r="BE511" s="137"/>
      <c r="BF511" s="137"/>
      <c r="BG511" s="3"/>
      <c r="BH511" s="138"/>
      <c r="BI511" s="2"/>
      <c r="BJ511" s="139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131"/>
      <c r="BV511" s="15"/>
      <c r="BW511" s="99"/>
      <c r="BX511" s="149"/>
      <c r="BY511" s="134"/>
      <c r="BZ511" s="134"/>
      <c r="CA511" s="137"/>
      <c r="CB511" s="150"/>
      <c r="CC511" s="137"/>
      <c r="CD511" s="137"/>
      <c r="CE511" s="3"/>
      <c r="CF511" s="138"/>
      <c r="CG511" s="2"/>
      <c r="CH511" s="139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131"/>
      <c r="CT511" s="15"/>
      <c r="CU511" s="99"/>
      <c r="CV511" s="149"/>
      <c r="CW511" s="134"/>
      <c r="CX511" s="134"/>
      <c r="CY511" s="137"/>
      <c r="CZ511" s="150"/>
      <c r="DA511" s="137"/>
      <c r="DB511" s="137"/>
      <c r="DC511" s="3"/>
      <c r="DD511" s="138"/>
      <c r="DE511" s="2"/>
      <c r="DF511" s="139"/>
      <c r="DG511" s="3"/>
      <c r="DH511" s="3"/>
      <c r="DI511" s="3"/>
      <c r="DJ511" s="3"/>
      <c r="DK511" s="3"/>
      <c r="DL511" s="3"/>
      <c r="DM511" s="3"/>
      <c r="DN511" s="3"/>
      <c r="DO511" s="3"/>
      <c r="DP511" s="3"/>
      <c r="DQ511" s="131"/>
      <c r="DR511" s="15"/>
      <c r="DS511" s="99"/>
      <c r="DT511" s="149"/>
      <c r="DU511" s="134"/>
      <c r="DV511" s="134"/>
      <c r="DW511" s="137"/>
      <c r="DX511" s="150"/>
      <c r="DY511" s="137"/>
      <c r="DZ511" s="137"/>
      <c r="EA511" s="3"/>
      <c r="EB511" s="138"/>
      <c r="EC511" s="2"/>
      <c r="ED511" s="139"/>
      <c r="EE511" s="3"/>
      <c r="EF511" s="3"/>
      <c r="EG511" s="3"/>
      <c r="EH511" s="3"/>
      <c r="EI511" s="3"/>
      <c r="EJ511" s="3"/>
      <c r="EK511" s="3"/>
      <c r="EL511" s="3"/>
      <c r="EM511" s="3"/>
      <c r="EN511" s="3"/>
      <c r="EO511" s="131"/>
      <c r="EP511" s="15"/>
      <c r="EQ511" s="99"/>
      <c r="ER511" s="149"/>
      <c r="ES511" s="134"/>
      <c r="ET511" s="134"/>
      <c r="EU511" s="137"/>
      <c r="EV511" s="150"/>
      <c r="EW511" s="137"/>
      <c r="EX511" s="137"/>
      <c r="EY511" s="3"/>
      <c r="EZ511" s="138"/>
      <c r="FA511" s="2"/>
      <c r="FB511" s="139"/>
      <c r="FC511" s="3"/>
      <c r="FD511" s="3"/>
      <c r="FE511" s="3"/>
      <c r="FF511" s="3"/>
      <c r="FG511" s="3"/>
      <c r="FH511" s="3"/>
      <c r="FI511" s="3"/>
      <c r="FJ511" s="3"/>
      <c r="FK511" s="3"/>
      <c r="FL511" s="3"/>
      <c r="FM511" s="131"/>
      <c r="FN511" s="15"/>
      <c r="FO511" s="99"/>
      <c r="FP511" s="149"/>
      <c r="FQ511" s="134"/>
      <c r="FR511" s="134"/>
      <c r="FS511" s="137"/>
      <c r="FT511" s="150"/>
      <c r="FU511" s="137"/>
      <c r="FV511" s="137"/>
      <c r="FW511" s="3"/>
      <c r="FX511" s="138"/>
      <c r="FY511" s="2"/>
      <c r="FZ511" s="139"/>
      <c r="GA511" s="3"/>
      <c r="GB511" s="3"/>
      <c r="GC511" s="3"/>
      <c r="GD511" s="3"/>
      <c r="GE511" s="3"/>
      <c r="GF511" s="3"/>
      <c r="GG511" s="3"/>
      <c r="GH511" s="3"/>
      <c r="GI511" s="3"/>
      <c r="GJ511" s="3"/>
      <c r="GK511" s="131"/>
      <c r="GL511" s="15"/>
      <c r="GM511" s="99"/>
      <c r="GN511" s="149"/>
      <c r="GO511" s="134"/>
      <c r="GP511" s="134"/>
      <c r="GQ511" s="137"/>
      <c r="GR511" s="150"/>
      <c r="GS511" s="137"/>
      <c r="GT511" s="137"/>
      <c r="GU511" s="3"/>
      <c r="GV511" s="138"/>
      <c r="GW511" s="2"/>
      <c r="GX511" s="139"/>
      <c r="GY511" s="3"/>
      <c r="GZ511" s="3"/>
      <c r="HA511" s="3"/>
      <c r="HB511" s="3"/>
      <c r="HC511" s="3"/>
      <c r="HD511" s="3"/>
      <c r="HE511" s="3"/>
      <c r="HF511" s="3"/>
      <c r="HG511" s="3"/>
      <c r="HH511" s="3"/>
      <c r="HI511" s="131"/>
      <c r="HJ511" s="15"/>
      <c r="HK511" s="99"/>
      <c r="HL511" s="149"/>
      <c r="HM511" s="134"/>
      <c r="HN511" s="134"/>
      <c r="HO511" s="137"/>
      <c r="HP511" s="150"/>
      <c r="HQ511" s="137"/>
      <c r="HR511" s="137"/>
      <c r="HS511" s="3"/>
      <c r="HT511" s="138"/>
      <c r="HU511" s="2"/>
      <c r="HV511" s="139"/>
      <c r="HW511" s="3"/>
      <c r="HX511" s="3"/>
      <c r="HY511" s="3"/>
      <c r="HZ511" s="3"/>
      <c r="IA511" s="3"/>
      <c r="IB511" s="3"/>
      <c r="IC511" s="3"/>
      <c r="ID511" s="3"/>
      <c r="IE511" s="3"/>
      <c r="IF511" s="3"/>
      <c r="IG511" s="131"/>
      <c r="IH511" s="15"/>
      <c r="II511" s="99"/>
      <c r="IJ511" s="149"/>
      <c r="IK511" s="134"/>
      <c r="IL511" s="134"/>
      <c r="IM511" s="137"/>
      <c r="IN511" s="150"/>
      <c r="IO511" s="137"/>
      <c r="IP511" s="137"/>
      <c r="IQ511" s="3"/>
      <c r="IR511" s="138"/>
      <c r="IS511" s="2"/>
      <c r="IT511" s="139"/>
      <c r="IU511" s="3"/>
      <c r="IV511" s="3"/>
    </row>
    <row r="512" spans="1:256" s="125" customFormat="1" ht="13.5" customHeight="1">
      <c r="A512" s="84">
        <v>33</v>
      </c>
      <c r="B512" s="29">
        <v>43077</v>
      </c>
      <c r="C512" s="18" t="s">
        <v>311</v>
      </c>
      <c r="D512" s="19" t="s">
        <v>323</v>
      </c>
      <c r="E512" s="20" t="s">
        <v>568</v>
      </c>
      <c r="F512" s="82" t="s">
        <v>700</v>
      </c>
      <c r="G512" s="58">
        <v>1704</v>
      </c>
      <c r="H512" s="121">
        <f>2130000+20000</f>
        <v>2150000</v>
      </c>
      <c r="I512" s="24"/>
      <c r="J512" s="24">
        <f t="shared" si="47"/>
        <v>2047619.0476190476</v>
      </c>
      <c r="K512" s="24">
        <f t="shared" si="43"/>
        <v>2047619.0476190476</v>
      </c>
      <c r="L512" s="123">
        <v>1</v>
      </c>
      <c r="M512" s="24">
        <f t="shared" si="44"/>
        <v>2047619.0476190476</v>
      </c>
      <c r="N512" s="124">
        <f t="shared" si="45"/>
        <v>0</v>
      </c>
      <c r="O512" s="85" t="s">
        <v>665</v>
      </c>
      <c r="P512" s="3"/>
      <c r="Q512" s="140"/>
      <c r="R512" s="3"/>
      <c r="S512" s="3"/>
      <c r="T512" s="3"/>
      <c r="U512" s="3"/>
      <c r="V512" s="3"/>
      <c r="W512" s="3"/>
      <c r="X512" s="3"/>
      <c r="Y512" s="131"/>
      <c r="Z512" s="15"/>
      <c r="AA512" s="99"/>
      <c r="AB512" s="149"/>
      <c r="AC512" s="134"/>
      <c r="AD512" s="134"/>
      <c r="AE512" s="137"/>
      <c r="AF512" s="150"/>
      <c r="AG512" s="137"/>
      <c r="AH512" s="137"/>
      <c r="AI512" s="3"/>
      <c r="AJ512" s="138"/>
      <c r="AK512" s="2"/>
      <c r="AL512" s="139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131"/>
      <c r="AX512" s="15"/>
      <c r="AY512" s="99"/>
      <c r="AZ512" s="149"/>
      <c r="BA512" s="134"/>
      <c r="BB512" s="134"/>
      <c r="BC512" s="137"/>
      <c r="BD512" s="150"/>
      <c r="BE512" s="137"/>
      <c r="BF512" s="137"/>
      <c r="BG512" s="3"/>
      <c r="BH512" s="138"/>
      <c r="BI512" s="2"/>
      <c r="BJ512" s="139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131"/>
      <c r="BV512" s="15"/>
      <c r="BW512" s="99"/>
      <c r="BX512" s="149"/>
      <c r="BY512" s="134"/>
      <c r="BZ512" s="134"/>
      <c r="CA512" s="137"/>
      <c r="CB512" s="150"/>
      <c r="CC512" s="137"/>
      <c r="CD512" s="137"/>
      <c r="CE512" s="3"/>
      <c r="CF512" s="138"/>
      <c r="CG512" s="2"/>
      <c r="CH512" s="139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131"/>
      <c r="CT512" s="15"/>
      <c r="CU512" s="99"/>
      <c r="CV512" s="149"/>
      <c r="CW512" s="134"/>
      <c r="CX512" s="134"/>
      <c r="CY512" s="137"/>
      <c r="CZ512" s="150"/>
      <c r="DA512" s="137"/>
      <c r="DB512" s="137"/>
      <c r="DC512" s="3"/>
      <c r="DD512" s="138"/>
      <c r="DE512" s="2"/>
      <c r="DF512" s="139"/>
      <c r="DG512" s="3"/>
      <c r="DH512" s="3"/>
      <c r="DI512" s="3"/>
      <c r="DJ512" s="3"/>
      <c r="DK512" s="3"/>
      <c r="DL512" s="3"/>
      <c r="DM512" s="3"/>
      <c r="DN512" s="3"/>
      <c r="DO512" s="3"/>
      <c r="DP512" s="3"/>
      <c r="DQ512" s="131"/>
      <c r="DR512" s="15"/>
      <c r="DS512" s="99"/>
      <c r="DT512" s="149"/>
      <c r="DU512" s="134"/>
      <c r="DV512" s="134"/>
      <c r="DW512" s="137"/>
      <c r="DX512" s="150"/>
      <c r="DY512" s="137"/>
      <c r="DZ512" s="137"/>
      <c r="EA512" s="3"/>
      <c r="EB512" s="138"/>
      <c r="EC512" s="2"/>
      <c r="ED512" s="139"/>
      <c r="EE512" s="3"/>
      <c r="EF512" s="3"/>
      <c r="EG512" s="3"/>
      <c r="EH512" s="3"/>
      <c r="EI512" s="3"/>
      <c r="EJ512" s="3"/>
      <c r="EK512" s="3"/>
      <c r="EL512" s="3"/>
      <c r="EM512" s="3"/>
      <c r="EN512" s="3"/>
      <c r="EO512" s="131"/>
      <c r="EP512" s="15"/>
      <c r="EQ512" s="99"/>
      <c r="ER512" s="149"/>
      <c r="ES512" s="134"/>
      <c r="ET512" s="134"/>
      <c r="EU512" s="137"/>
      <c r="EV512" s="150"/>
      <c r="EW512" s="137"/>
      <c r="EX512" s="137"/>
      <c r="EY512" s="3"/>
      <c r="EZ512" s="138"/>
      <c r="FA512" s="2"/>
      <c r="FB512" s="139"/>
      <c r="FC512" s="3"/>
      <c r="FD512" s="3"/>
      <c r="FE512" s="3"/>
      <c r="FF512" s="3"/>
      <c r="FG512" s="3"/>
      <c r="FH512" s="3"/>
      <c r="FI512" s="3"/>
      <c r="FJ512" s="3"/>
      <c r="FK512" s="3"/>
      <c r="FL512" s="3"/>
      <c r="FM512" s="131"/>
      <c r="FN512" s="15"/>
      <c r="FO512" s="99"/>
      <c r="FP512" s="149"/>
      <c r="FQ512" s="134"/>
      <c r="FR512" s="134"/>
      <c r="FS512" s="137"/>
      <c r="FT512" s="150"/>
      <c r="FU512" s="137"/>
      <c r="FV512" s="137"/>
      <c r="FW512" s="3"/>
      <c r="FX512" s="138"/>
      <c r="FY512" s="2"/>
      <c r="FZ512" s="139"/>
      <c r="GA512" s="3"/>
      <c r="GB512" s="3"/>
      <c r="GC512" s="3"/>
      <c r="GD512" s="3"/>
      <c r="GE512" s="3"/>
      <c r="GF512" s="3"/>
      <c r="GG512" s="3"/>
      <c r="GH512" s="3"/>
      <c r="GI512" s="3"/>
      <c r="GJ512" s="3"/>
      <c r="GK512" s="131"/>
      <c r="GL512" s="15"/>
      <c r="GM512" s="99"/>
      <c r="GN512" s="149"/>
      <c r="GO512" s="134"/>
      <c r="GP512" s="134"/>
      <c r="GQ512" s="137"/>
      <c r="GR512" s="150"/>
      <c r="GS512" s="137"/>
      <c r="GT512" s="137"/>
      <c r="GU512" s="3"/>
      <c r="GV512" s="138"/>
      <c r="GW512" s="2"/>
      <c r="GX512" s="139"/>
      <c r="GY512" s="3"/>
      <c r="GZ512" s="3"/>
      <c r="HA512" s="3"/>
      <c r="HB512" s="3"/>
      <c r="HC512" s="3"/>
      <c r="HD512" s="3"/>
      <c r="HE512" s="3"/>
      <c r="HF512" s="3"/>
      <c r="HG512" s="3"/>
      <c r="HH512" s="3"/>
      <c r="HI512" s="131"/>
      <c r="HJ512" s="15"/>
      <c r="HK512" s="99"/>
      <c r="HL512" s="149"/>
      <c r="HM512" s="134"/>
      <c r="HN512" s="134"/>
      <c r="HO512" s="137"/>
      <c r="HP512" s="150"/>
      <c r="HQ512" s="137"/>
      <c r="HR512" s="137"/>
      <c r="HS512" s="3"/>
      <c r="HT512" s="138"/>
      <c r="HU512" s="2"/>
      <c r="HV512" s="139"/>
      <c r="HW512" s="3"/>
      <c r="HX512" s="3"/>
      <c r="HY512" s="3"/>
      <c r="HZ512" s="3"/>
      <c r="IA512" s="3"/>
      <c r="IB512" s="3"/>
      <c r="IC512" s="3"/>
      <c r="ID512" s="3"/>
      <c r="IE512" s="3"/>
      <c r="IF512" s="3"/>
      <c r="IG512" s="131"/>
      <c r="IH512" s="15"/>
      <c r="II512" s="99"/>
      <c r="IJ512" s="149"/>
      <c r="IK512" s="134"/>
      <c r="IL512" s="134"/>
      <c r="IM512" s="137"/>
      <c r="IN512" s="150"/>
      <c r="IO512" s="137"/>
      <c r="IP512" s="137"/>
      <c r="IQ512" s="3"/>
      <c r="IR512" s="138"/>
      <c r="IS512" s="2"/>
      <c r="IT512" s="139"/>
      <c r="IU512" s="3"/>
      <c r="IV512" s="3"/>
    </row>
    <row r="513" spans="1:256" s="125" customFormat="1" ht="13.5" customHeight="1">
      <c r="A513" s="84">
        <v>34</v>
      </c>
      <c r="B513" s="29">
        <v>43077</v>
      </c>
      <c r="C513" s="18" t="s">
        <v>563</v>
      </c>
      <c r="D513" s="19" t="s">
        <v>323</v>
      </c>
      <c r="E513" s="20" t="s">
        <v>568</v>
      </c>
      <c r="F513" s="168" t="s">
        <v>701</v>
      </c>
      <c r="G513" s="63">
        <v>1704</v>
      </c>
      <c r="H513" s="121">
        <f>2130000+20000+11150</f>
        <v>2161150</v>
      </c>
      <c r="I513" s="24"/>
      <c r="J513" s="24">
        <f t="shared" si="47"/>
        <v>2058238.0952380951</v>
      </c>
      <c r="K513" s="24">
        <f t="shared" si="43"/>
        <v>2058238.0952380951</v>
      </c>
      <c r="L513" s="123">
        <v>1</v>
      </c>
      <c r="M513" s="24">
        <f t="shared" si="44"/>
        <v>2058238.0952380951</v>
      </c>
      <c r="N513" s="129">
        <f t="shared" si="45"/>
        <v>0</v>
      </c>
      <c r="O513" s="85" t="s">
        <v>665</v>
      </c>
      <c r="P513" s="3"/>
      <c r="Q513" s="140"/>
      <c r="R513" s="3"/>
      <c r="S513" s="3"/>
      <c r="T513" s="3"/>
      <c r="U513" s="3"/>
      <c r="V513" s="3"/>
      <c r="W513" s="3"/>
      <c r="X513" s="3"/>
      <c r="Y513" s="131"/>
      <c r="Z513" s="15"/>
      <c r="AA513" s="99"/>
      <c r="AB513" s="149"/>
      <c r="AC513" s="134"/>
      <c r="AD513" s="134"/>
      <c r="AE513" s="137"/>
      <c r="AF513" s="150"/>
      <c r="AG513" s="137"/>
      <c r="AH513" s="137"/>
      <c r="AI513" s="3"/>
      <c r="AJ513" s="138"/>
      <c r="AK513" s="2"/>
      <c r="AL513" s="139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131"/>
      <c r="AX513" s="15"/>
      <c r="AY513" s="99"/>
      <c r="AZ513" s="149"/>
      <c r="BA513" s="134"/>
      <c r="BB513" s="134"/>
      <c r="BC513" s="137"/>
      <c r="BD513" s="150"/>
      <c r="BE513" s="137"/>
      <c r="BF513" s="137"/>
      <c r="BG513" s="3"/>
      <c r="BH513" s="138"/>
      <c r="BI513" s="2"/>
      <c r="BJ513" s="139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131"/>
      <c r="BV513" s="15"/>
      <c r="BW513" s="99"/>
      <c r="BX513" s="149"/>
      <c r="BY513" s="134"/>
      <c r="BZ513" s="134"/>
      <c r="CA513" s="137"/>
      <c r="CB513" s="150"/>
      <c r="CC513" s="137"/>
      <c r="CD513" s="137"/>
      <c r="CE513" s="3"/>
      <c r="CF513" s="138"/>
      <c r="CG513" s="2"/>
      <c r="CH513" s="139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131"/>
      <c r="CT513" s="15"/>
      <c r="CU513" s="99"/>
      <c r="CV513" s="149"/>
      <c r="CW513" s="134"/>
      <c r="CX513" s="134"/>
      <c r="CY513" s="137"/>
      <c r="CZ513" s="150"/>
      <c r="DA513" s="137"/>
      <c r="DB513" s="137"/>
      <c r="DC513" s="3"/>
      <c r="DD513" s="138"/>
      <c r="DE513" s="2"/>
      <c r="DF513" s="139"/>
      <c r="DG513" s="3"/>
      <c r="DH513" s="3"/>
      <c r="DI513" s="3"/>
      <c r="DJ513" s="3"/>
      <c r="DK513" s="3"/>
      <c r="DL513" s="3"/>
      <c r="DM513" s="3"/>
      <c r="DN513" s="3"/>
      <c r="DO513" s="3"/>
      <c r="DP513" s="3"/>
      <c r="DQ513" s="131"/>
      <c r="DR513" s="15"/>
      <c r="DS513" s="99"/>
      <c r="DT513" s="149"/>
      <c r="DU513" s="134"/>
      <c r="DV513" s="134"/>
      <c r="DW513" s="137"/>
      <c r="DX513" s="150"/>
      <c r="DY513" s="137"/>
      <c r="DZ513" s="137"/>
      <c r="EA513" s="3"/>
      <c r="EB513" s="138"/>
      <c r="EC513" s="2"/>
      <c r="ED513" s="139"/>
      <c r="EE513" s="3"/>
      <c r="EF513" s="3"/>
      <c r="EG513" s="3"/>
      <c r="EH513" s="3"/>
      <c r="EI513" s="3"/>
      <c r="EJ513" s="3"/>
      <c r="EK513" s="3"/>
      <c r="EL513" s="3"/>
      <c r="EM513" s="3"/>
      <c r="EN513" s="3"/>
      <c r="EO513" s="131"/>
      <c r="EP513" s="15"/>
      <c r="EQ513" s="99"/>
      <c r="ER513" s="149"/>
      <c r="ES513" s="134"/>
      <c r="ET513" s="134"/>
      <c r="EU513" s="137"/>
      <c r="EV513" s="150"/>
      <c r="EW513" s="137"/>
      <c r="EX513" s="137"/>
      <c r="EY513" s="3"/>
      <c r="EZ513" s="138"/>
      <c r="FA513" s="2"/>
      <c r="FB513" s="139"/>
      <c r="FC513" s="3"/>
      <c r="FD513" s="3"/>
      <c r="FE513" s="3"/>
      <c r="FF513" s="3"/>
      <c r="FG513" s="3"/>
      <c r="FH513" s="3"/>
      <c r="FI513" s="3"/>
      <c r="FJ513" s="3"/>
      <c r="FK513" s="3"/>
      <c r="FL513" s="3"/>
      <c r="FM513" s="131"/>
      <c r="FN513" s="15"/>
      <c r="FO513" s="99"/>
      <c r="FP513" s="149"/>
      <c r="FQ513" s="134"/>
      <c r="FR513" s="134"/>
      <c r="FS513" s="137"/>
      <c r="FT513" s="150"/>
      <c r="FU513" s="137"/>
      <c r="FV513" s="137"/>
      <c r="FW513" s="3"/>
      <c r="FX513" s="138"/>
      <c r="FY513" s="2"/>
      <c r="FZ513" s="139"/>
      <c r="GA513" s="3"/>
      <c r="GB513" s="3"/>
      <c r="GC513" s="3"/>
      <c r="GD513" s="3"/>
      <c r="GE513" s="3"/>
      <c r="GF513" s="3"/>
      <c r="GG513" s="3"/>
      <c r="GH513" s="3"/>
      <c r="GI513" s="3"/>
      <c r="GJ513" s="3"/>
      <c r="GK513" s="131"/>
      <c r="GL513" s="15"/>
      <c r="GM513" s="99"/>
      <c r="GN513" s="149"/>
      <c r="GO513" s="134"/>
      <c r="GP513" s="134"/>
      <c r="GQ513" s="137"/>
      <c r="GR513" s="150"/>
      <c r="GS513" s="137"/>
      <c r="GT513" s="137"/>
      <c r="GU513" s="3"/>
      <c r="GV513" s="138"/>
      <c r="GW513" s="2"/>
      <c r="GX513" s="139"/>
      <c r="GY513" s="3"/>
      <c r="GZ513" s="3"/>
      <c r="HA513" s="3"/>
      <c r="HB513" s="3"/>
      <c r="HC513" s="3"/>
      <c r="HD513" s="3"/>
      <c r="HE513" s="3"/>
      <c r="HF513" s="3"/>
      <c r="HG513" s="3"/>
      <c r="HH513" s="3"/>
      <c r="HI513" s="131"/>
      <c r="HJ513" s="15"/>
      <c r="HK513" s="99"/>
      <c r="HL513" s="149"/>
      <c r="HM513" s="134"/>
      <c r="HN513" s="134"/>
      <c r="HO513" s="137"/>
      <c r="HP513" s="150"/>
      <c r="HQ513" s="137"/>
      <c r="HR513" s="137"/>
      <c r="HS513" s="3"/>
      <c r="HT513" s="138"/>
      <c r="HU513" s="2"/>
      <c r="HV513" s="139"/>
      <c r="HW513" s="3"/>
      <c r="HX513" s="3"/>
      <c r="HY513" s="3"/>
      <c r="HZ513" s="3"/>
      <c r="IA513" s="3"/>
      <c r="IB513" s="3"/>
      <c r="IC513" s="3"/>
      <c r="ID513" s="3"/>
      <c r="IE513" s="3"/>
      <c r="IF513" s="3"/>
      <c r="IG513" s="131"/>
      <c r="IH513" s="15"/>
      <c r="II513" s="99"/>
      <c r="IJ513" s="149"/>
      <c r="IK513" s="134"/>
      <c r="IL513" s="134"/>
      <c r="IM513" s="137"/>
      <c r="IN513" s="150"/>
      <c r="IO513" s="137"/>
      <c r="IP513" s="137"/>
      <c r="IQ513" s="3"/>
      <c r="IR513" s="138"/>
      <c r="IS513" s="2"/>
      <c r="IT513" s="139"/>
      <c r="IU513" s="3"/>
      <c r="IV513" s="3"/>
    </row>
    <row r="514" spans="1:256" s="125" customFormat="1" ht="13.5" customHeight="1">
      <c r="A514" s="84">
        <v>35</v>
      </c>
      <c r="B514" s="29">
        <v>43076</v>
      </c>
      <c r="C514" s="18" t="s">
        <v>624</v>
      </c>
      <c r="D514" s="19" t="s">
        <v>323</v>
      </c>
      <c r="E514" s="20" t="s">
        <v>564</v>
      </c>
      <c r="F514" s="82" t="s">
        <v>702</v>
      </c>
      <c r="G514" s="58">
        <v>1705</v>
      </c>
      <c r="H514" s="121">
        <v>2130000</v>
      </c>
      <c r="I514" s="24"/>
      <c r="J514" s="24">
        <f t="shared" si="47"/>
        <v>2028571.4285714284</v>
      </c>
      <c r="K514" s="24">
        <f t="shared" si="43"/>
        <v>2028571.4285714284</v>
      </c>
      <c r="L514" s="123">
        <v>1</v>
      </c>
      <c r="M514" s="24">
        <f t="shared" si="44"/>
        <v>2028571.4285714284</v>
      </c>
      <c r="N514" s="129">
        <f t="shared" si="45"/>
        <v>0</v>
      </c>
      <c r="O514" s="85" t="s">
        <v>665</v>
      </c>
      <c r="P514" s="3"/>
      <c r="Q514" s="140"/>
      <c r="R514" s="3"/>
      <c r="S514" s="3"/>
      <c r="T514" s="3"/>
      <c r="U514" s="3"/>
      <c r="V514" s="3"/>
      <c r="W514" s="3"/>
      <c r="X514" s="3"/>
      <c r="Y514" s="131"/>
      <c r="Z514" s="15"/>
      <c r="AA514" s="99"/>
      <c r="AB514" s="149"/>
      <c r="AC514" s="134"/>
      <c r="AD514" s="134"/>
      <c r="AE514" s="137"/>
      <c r="AF514" s="150"/>
      <c r="AG514" s="137"/>
      <c r="AH514" s="137"/>
      <c r="AI514" s="3"/>
      <c r="AJ514" s="138"/>
      <c r="AK514" s="2"/>
      <c r="AL514" s="139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131"/>
      <c r="AX514" s="15"/>
      <c r="AY514" s="99"/>
      <c r="AZ514" s="149"/>
      <c r="BA514" s="134"/>
      <c r="BB514" s="134"/>
      <c r="BC514" s="137"/>
      <c r="BD514" s="150"/>
      <c r="BE514" s="137"/>
      <c r="BF514" s="137"/>
      <c r="BG514" s="3"/>
      <c r="BH514" s="138"/>
      <c r="BI514" s="2"/>
      <c r="BJ514" s="139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131"/>
      <c r="BV514" s="15"/>
      <c r="BW514" s="99"/>
      <c r="BX514" s="149"/>
      <c r="BY514" s="134"/>
      <c r="BZ514" s="134"/>
      <c r="CA514" s="137"/>
      <c r="CB514" s="150"/>
      <c r="CC514" s="137"/>
      <c r="CD514" s="137"/>
      <c r="CE514" s="3"/>
      <c r="CF514" s="138"/>
      <c r="CG514" s="2"/>
      <c r="CH514" s="139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131"/>
      <c r="CT514" s="15"/>
      <c r="CU514" s="99"/>
      <c r="CV514" s="149"/>
      <c r="CW514" s="134"/>
      <c r="CX514" s="134"/>
      <c r="CY514" s="137"/>
      <c r="CZ514" s="150"/>
      <c r="DA514" s="137"/>
      <c r="DB514" s="137"/>
      <c r="DC514" s="3"/>
      <c r="DD514" s="138"/>
      <c r="DE514" s="2"/>
      <c r="DF514" s="139"/>
      <c r="DG514" s="3"/>
      <c r="DH514" s="3"/>
      <c r="DI514" s="3"/>
      <c r="DJ514" s="3"/>
      <c r="DK514" s="3"/>
      <c r="DL514" s="3"/>
      <c r="DM514" s="3"/>
      <c r="DN514" s="3"/>
      <c r="DO514" s="3"/>
      <c r="DP514" s="3"/>
      <c r="DQ514" s="131"/>
      <c r="DR514" s="15"/>
      <c r="DS514" s="99"/>
      <c r="DT514" s="149"/>
      <c r="DU514" s="134"/>
      <c r="DV514" s="134"/>
      <c r="DW514" s="137"/>
      <c r="DX514" s="150"/>
      <c r="DY514" s="137"/>
      <c r="DZ514" s="137"/>
      <c r="EA514" s="3"/>
      <c r="EB514" s="138"/>
      <c r="EC514" s="2"/>
      <c r="ED514" s="139"/>
      <c r="EE514" s="3"/>
      <c r="EF514" s="3"/>
      <c r="EG514" s="3"/>
      <c r="EH514" s="3"/>
      <c r="EI514" s="3"/>
      <c r="EJ514" s="3"/>
      <c r="EK514" s="3"/>
      <c r="EL514" s="3"/>
      <c r="EM514" s="3"/>
      <c r="EN514" s="3"/>
      <c r="EO514" s="131"/>
      <c r="EP514" s="15"/>
      <c r="EQ514" s="99"/>
      <c r="ER514" s="149"/>
      <c r="ES514" s="134"/>
      <c r="ET514" s="134"/>
      <c r="EU514" s="137"/>
      <c r="EV514" s="150"/>
      <c r="EW514" s="137"/>
      <c r="EX514" s="137"/>
      <c r="EY514" s="3"/>
      <c r="EZ514" s="138"/>
      <c r="FA514" s="2"/>
      <c r="FB514" s="139"/>
      <c r="FC514" s="3"/>
      <c r="FD514" s="3"/>
      <c r="FE514" s="3"/>
      <c r="FF514" s="3"/>
      <c r="FG514" s="3"/>
      <c r="FH514" s="3"/>
      <c r="FI514" s="3"/>
      <c r="FJ514" s="3"/>
      <c r="FK514" s="3"/>
      <c r="FL514" s="3"/>
      <c r="FM514" s="131"/>
      <c r="FN514" s="15"/>
      <c r="FO514" s="99"/>
      <c r="FP514" s="149"/>
      <c r="FQ514" s="134"/>
      <c r="FR514" s="134"/>
      <c r="FS514" s="137"/>
      <c r="FT514" s="150"/>
      <c r="FU514" s="137"/>
      <c r="FV514" s="137"/>
      <c r="FW514" s="3"/>
      <c r="FX514" s="138"/>
      <c r="FY514" s="2"/>
      <c r="FZ514" s="139"/>
      <c r="GA514" s="3"/>
      <c r="GB514" s="3"/>
      <c r="GC514" s="3"/>
      <c r="GD514" s="3"/>
      <c r="GE514" s="3"/>
      <c r="GF514" s="3"/>
      <c r="GG514" s="3"/>
      <c r="GH514" s="3"/>
      <c r="GI514" s="3"/>
      <c r="GJ514" s="3"/>
      <c r="GK514" s="131"/>
      <c r="GL514" s="15"/>
      <c r="GM514" s="99"/>
      <c r="GN514" s="149"/>
      <c r="GO514" s="134"/>
      <c r="GP514" s="134"/>
      <c r="GQ514" s="137"/>
      <c r="GR514" s="150"/>
      <c r="GS514" s="137"/>
      <c r="GT514" s="137"/>
      <c r="GU514" s="3"/>
      <c r="GV514" s="138"/>
      <c r="GW514" s="2"/>
      <c r="GX514" s="139"/>
      <c r="GY514" s="3"/>
      <c r="GZ514" s="3"/>
      <c r="HA514" s="3"/>
      <c r="HB514" s="3"/>
      <c r="HC514" s="3"/>
      <c r="HD514" s="3"/>
      <c r="HE514" s="3"/>
      <c r="HF514" s="3"/>
      <c r="HG514" s="3"/>
      <c r="HH514" s="3"/>
      <c r="HI514" s="131"/>
      <c r="HJ514" s="15"/>
      <c r="HK514" s="99"/>
      <c r="HL514" s="149"/>
      <c r="HM514" s="134"/>
      <c r="HN514" s="134"/>
      <c r="HO514" s="137"/>
      <c r="HP514" s="150"/>
      <c r="HQ514" s="137"/>
      <c r="HR514" s="137"/>
      <c r="HS514" s="3"/>
      <c r="HT514" s="138"/>
      <c r="HU514" s="2"/>
      <c r="HV514" s="139"/>
      <c r="HW514" s="3"/>
      <c r="HX514" s="3"/>
      <c r="HY514" s="3"/>
      <c r="HZ514" s="3"/>
      <c r="IA514" s="3"/>
      <c r="IB514" s="3"/>
      <c r="IC514" s="3"/>
      <c r="ID514" s="3"/>
      <c r="IE514" s="3"/>
      <c r="IF514" s="3"/>
      <c r="IG514" s="131"/>
      <c r="IH514" s="15"/>
      <c r="II514" s="99"/>
      <c r="IJ514" s="149"/>
      <c r="IK514" s="134"/>
      <c r="IL514" s="134"/>
      <c r="IM514" s="137"/>
      <c r="IN514" s="150"/>
      <c r="IO514" s="137"/>
      <c r="IP514" s="137"/>
      <c r="IQ514" s="3"/>
      <c r="IR514" s="138"/>
      <c r="IS514" s="2"/>
      <c r="IT514" s="139"/>
      <c r="IU514" s="3"/>
      <c r="IV514" s="3"/>
    </row>
    <row r="515" spans="1:256" s="125" customFormat="1" ht="13.5" customHeight="1">
      <c r="A515" s="84">
        <v>36</v>
      </c>
      <c r="B515" s="17">
        <v>43089</v>
      </c>
      <c r="C515" s="18" t="s">
        <v>624</v>
      </c>
      <c r="D515" s="19" t="s">
        <v>323</v>
      </c>
      <c r="E515" s="20" t="s">
        <v>564</v>
      </c>
      <c r="F515" s="168" t="s">
        <v>703</v>
      </c>
      <c r="G515" s="63">
        <v>1705</v>
      </c>
      <c r="H515" s="121">
        <v>2130000</v>
      </c>
      <c r="I515" s="24"/>
      <c r="J515" s="24">
        <f t="shared" si="47"/>
        <v>2028571.4285714284</v>
      </c>
      <c r="K515" s="24">
        <f t="shared" si="43"/>
        <v>2028571.4285714284</v>
      </c>
      <c r="L515" s="123">
        <v>1</v>
      </c>
      <c r="M515" s="24">
        <f t="shared" si="44"/>
        <v>2028571.4285714284</v>
      </c>
      <c r="N515" s="129">
        <f t="shared" si="45"/>
        <v>0</v>
      </c>
      <c r="O515" s="85" t="s">
        <v>665</v>
      </c>
      <c r="P515" s="3"/>
      <c r="Q515" s="140"/>
      <c r="R515" s="3"/>
      <c r="S515" s="3"/>
      <c r="T515" s="3"/>
      <c r="U515" s="3"/>
      <c r="V515" s="3"/>
      <c r="W515" s="3"/>
      <c r="X515" s="3"/>
      <c r="Y515" s="131"/>
      <c r="Z515" s="15"/>
      <c r="AA515" s="99"/>
      <c r="AB515" s="149"/>
      <c r="AC515" s="134"/>
      <c r="AD515" s="134"/>
      <c r="AE515" s="137"/>
      <c r="AF515" s="150"/>
      <c r="AG515" s="137"/>
      <c r="AH515" s="137"/>
      <c r="AI515" s="3"/>
      <c r="AJ515" s="138"/>
      <c r="AK515" s="2"/>
      <c r="AL515" s="139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131"/>
      <c r="AX515" s="15"/>
      <c r="AY515" s="99"/>
      <c r="AZ515" s="149"/>
      <c r="BA515" s="134"/>
      <c r="BB515" s="134"/>
      <c r="BC515" s="137"/>
      <c r="BD515" s="150"/>
      <c r="BE515" s="137"/>
      <c r="BF515" s="137"/>
      <c r="BG515" s="3"/>
      <c r="BH515" s="138"/>
      <c r="BI515" s="2"/>
      <c r="BJ515" s="139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131"/>
      <c r="BV515" s="15"/>
      <c r="BW515" s="99"/>
      <c r="BX515" s="149"/>
      <c r="BY515" s="134"/>
      <c r="BZ515" s="134"/>
      <c r="CA515" s="137"/>
      <c r="CB515" s="150"/>
      <c r="CC515" s="137"/>
      <c r="CD515" s="137"/>
      <c r="CE515" s="3"/>
      <c r="CF515" s="138"/>
      <c r="CG515" s="2"/>
      <c r="CH515" s="139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131"/>
      <c r="CT515" s="15"/>
      <c r="CU515" s="99"/>
      <c r="CV515" s="149"/>
      <c r="CW515" s="134"/>
      <c r="CX515" s="134"/>
      <c r="CY515" s="137"/>
      <c r="CZ515" s="150"/>
      <c r="DA515" s="137"/>
      <c r="DB515" s="137"/>
      <c r="DC515" s="3"/>
      <c r="DD515" s="138"/>
      <c r="DE515" s="2"/>
      <c r="DF515" s="139"/>
      <c r="DG515" s="3"/>
      <c r="DH515" s="3"/>
      <c r="DI515" s="3"/>
      <c r="DJ515" s="3"/>
      <c r="DK515" s="3"/>
      <c r="DL515" s="3"/>
      <c r="DM515" s="3"/>
      <c r="DN515" s="3"/>
      <c r="DO515" s="3"/>
      <c r="DP515" s="3"/>
      <c r="DQ515" s="131"/>
      <c r="DR515" s="15"/>
      <c r="DS515" s="99"/>
      <c r="DT515" s="149"/>
      <c r="DU515" s="134"/>
      <c r="DV515" s="134"/>
      <c r="DW515" s="137"/>
      <c r="DX515" s="150"/>
      <c r="DY515" s="137"/>
      <c r="DZ515" s="137"/>
      <c r="EA515" s="3"/>
      <c r="EB515" s="138"/>
      <c r="EC515" s="2"/>
      <c r="ED515" s="139"/>
      <c r="EE515" s="3"/>
      <c r="EF515" s="3"/>
      <c r="EG515" s="3"/>
      <c r="EH515" s="3"/>
      <c r="EI515" s="3"/>
      <c r="EJ515" s="3"/>
      <c r="EK515" s="3"/>
      <c r="EL515" s="3"/>
      <c r="EM515" s="3"/>
      <c r="EN515" s="3"/>
      <c r="EO515" s="131"/>
      <c r="EP515" s="15"/>
      <c r="EQ515" s="99"/>
      <c r="ER515" s="149"/>
      <c r="ES515" s="134"/>
      <c r="ET515" s="134"/>
      <c r="EU515" s="137"/>
      <c r="EV515" s="150"/>
      <c r="EW515" s="137"/>
      <c r="EX515" s="137"/>
      <c r="EY515" s="3"/>
      <c r="EZ515" s="138"/>
      <c r="FA515" s="2"/>
      <c r="FB515" s="139"/>
      <c r="FC515" s="3"/>
      <c r="FD515" s="3"/>
      <c r="FE515" s="3"/>
      <c r="FF515" s="3"/>
      <c r="FG515" s="3"/>
      <c r="FH515" s="3"/>
      <c r="FI515" s="3"/>
      <c r="FJ515" s="3"/>
      <c r="FK515" s="3"/>
      <c r="FL515" s="3"/>
      <c r="FM515" s="131"/>
      <c r="FN515" s="15"/>
      <c r="FO515" s="99"/>
      <c r="FP515" s="149"/>
      <c r="FQ515" s="134"/>
      <c r="FR515" s="134"/>
      <c r="FS515" s="137"/>
      <c r="FT515" s="150"/>
      <c r="FU515" s="137"/>
      <c r="FV515" s="137"/>
      <c r="FW515" s="3"/>
      <c r="FX515" s="138"/>
      <c r="FY515" s="2"/>
      <c r="FZ515" s="139"/>
      <c r="GA515" s="3"/>
      <c r="GB515" s="3"/>
      <c r="GC515" s="3"/>
      <c r="GD515" s="3"/>
      <c r="GE515" s="3"/>
      <c r="GF515" s="3"/>
      <c r="GG515" s="3"/>
      <c r="GH515" s="3"/>
      <c r="GI515" s="3"/>
      <c r="GJ515" s="3"/>
      <c r="GK515" s="131"/>
      <c r="GL515" s="15"/>
      <c r="GM515" s="99"/>
      <c r="GN515" s="149"/>
      <c r="GO515" s="134"/>
      <c r="GP515" s="134"/>
      <c r="GQ515" s="137"/>
      <c r="GR515" s="150"/>
      <c r="GS515" s="137"/>
      <c r="GT515" s="137"/>
      <c r="GU515" s="3"/>
      <c r="GV515" s="138"/>
      <c r="GW515" s="2"/>
      <c r="GX515" s="139"/>
      <c r="GY515" s="3"/>
      <c r="GZ515" s="3"/>
      <c r="HA515" s="3"/>
      <c r="HB515" s="3"/>
      <c r="HC515" s="3"/>
      <c r="HD515" s="3"/>
      <c r="HE515" s="3"/>
      <c r="HF515" s="3"/>
      <c r="HG515" s="3"/>
      <c r="HH515" s="3"/>
      <c r="HI515" s="131"/>
      <c r="HJ515" s="15"/>
      <c r="HK515" s="99"/>
      <c r="HL515" s="149"/>
      <c r="HM515" s="134"/>
      <c r="HN515" s="134"/>
      <c r="HO515" s="137"/>
      <c r="HP515" s="150"/>
      <c r="HQ515" s="137"/>
      <c r="HR515" s="137"/>
      <c r="HS515" s="3"/>
      <c r="HT515" s="138"/>
      <c r="HU515" s="2"/>
      <c r="HV515" s="139"/>
      <c r="HW515" s="3"/>
      <c r="HX515" s="3"/>
      <c r="HY515" s="3"/>
      <c r="HZ515" s="3"/>
      <c r="IA515" s="3"/>
      <c r="IB515" s="3"/>
      <c r="IC515" s="3"/>
      <c r="ID515" s="3"/>
      <c r="IE515" s="3"/>
      <c r="IF515" s="3"/>
      <c r="IG515" s="131"/>
      <c r="IH515" s="15"/>
      <c r="II515" s="99"/>
      <c r="IJ515" s="149"/>
      <c r="IK515" s="134"/>
      <c r="IL515" s="134"/>
      <c r="IM515" s="137"/>
      <c r="IN515" s="150"/>
      <c r="IO515" s="137"/>
      <c r="IP515" s="137"/>
      <c r="IQ515" s="3"/>
      <c r="IR515" s="138"/>
      <c r="IS515" s="2"/>
      <c r="IT515" s="139"/>
      <c r="IU515" s="3"/>
      <c r="IV515" s="3"/>
    </row>
    <row r="516" spans="1:256" s="125" customFormat="1" ht="13.5" customHeight="1">
      <c r="A516" s="84">
        <v>37</v>
      </c>
      <c r="B516" s="17">
        <v>43095</v>
      </c>
      <c r="C516" s="18" t="s">
        <v>647</v>
      </c>
      <c r="D516" s="19" t="s">
        <v>323</v>
      </c>
      <c r="E516" s="20" t="s">
        <v>564</v>
      </c>
      <c r="F516" s="168" t="s">
        <v>704</v>
      </c>
      <c r="G516" s="63">
        <v>1705</v>
      </c>
      <c r="H516" s="121">
        <v>2130000</v>
      </c>
      <c r="I516" s="24"/>
      <c r="J516" s="24">
        <f t="shared" si="47"/>
        <v>2028571.4285714284</v>
      </c>
      <c r="K516" s="24">
        <f t="shared" si="43"/>
        <v>2028571.4285714284</v>
      </c>
      <c r="L516" s="123">
        <v>1</v>
      </c>
      <c r="M516" s="24">
        <f t="shared" si="44"/>
        <v>2028571.4285714284</v>
      </c>
      <c r="N516" s="129">
        <f t="shared" si="45"/>
        <v>0</v>
      </c>
      <c r="O516" s="85" t="s">
        <v>665</v>
      </c>
      <c r="P516" s="3"/>
      <c r="Q516" s="140"/>
      <c r="R516" s="3"/>
      <c r="S516" s="3"/>
      <c r="T516" s="3"/>
      <c r="U516" s="3"/>
      <c r="V516" s="3"/>
      <c r="W516" s="3"/>
      <c r="X516" s="3"/>
      <c r="Y516" s="131"/>
      <c r="Z516" s="15"/>
      <c r="AA516" s="99"/>
      <c r="AB516" s="149"/>
      <c r="AC516" s="134"/>
      <c r="AD516" s="134"/>
      <c r="AE516" s="137"/>
      <c r="AF516" s="150"/>
      <c r="AG516" s="137"/>
      <c r="AH516" s="137"/>
      <c r="AI516" s="3"/>
      <c r="AJ516" s="138"/>
      <c r="AK516" s="2"/>
      <c r="AL516" s="139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131"/>
      <c r="AX516" s="15"/>
      <c r="AY516" s="99"/>
      <c r="AZ516" s="149"/>
      <c r="BA516" s="134"/>
      <c r="BB516" s="134"/>
      <c r="BC516" s="137"/>
      <c r="BD516" s="150"/>
      <c r="BE516" s="137"/>
      <c r="BF516" s="137"/>
      <c r="BG516" s="3"/>
      <c r="BH516" s="138"/>
      <c r="BI516" s="2"/>
      <c r="BJ516" s="139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131"/>
      <c r="BV516" s="15"/>
      <c r="BW516" s="99"/>
      <c r="BX516" s="149"/>
      <c r="BY516" s="134"/>
      <c r="BZ516" s="134"/>
      <c r="CA516" s="137"/>
      <c r="CB516" s="150"/>
      <c r="CC516" s="137"/>
      <c r="CD516" s="137"/>
      <c r="CE516" s="3"/>
      <c r="CF516" s="138"/>
      <c r="CG516" s="2"/>
      <c r="CH516" s="139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131"/>
      <c r="CT516" s="15"/>
      <c r="CU516" s="99"/>
      <c r="CV516" s="149"/>
      <c r="CW516" s="134"/>
      <c r="CX516" s="134"/>
      <c r="CY516" s="137"/>
      <c r="CZ516" s="150"/>
      <c r="DA516" s="137"/>
      <c r="DB516" s="137"/>
      <c r="DC516" s="3"/>
      <c r="DD516" s="138"/>
      <c r="DE516" s="2"/>
      <c r="DF516" s="139"/>
      <c r="DG516" s="3"/>
      <c r="DH516" s="3"/>
      <c r="DI516" s="3"/>
      <c r="DJ516" s="3"/>
      <c r="DK516" s="3"/>
      <c r="DL516" s="3"/>
      <c r="DM516" s="3"/>
      <c r="DN516" s="3"/>
      <c r="DO516" s="3"/>
      <c r="DP516" s="3"/>
      <c r="DQ516" s="131"/>
      <c r="DR516" s="15"/>
      <c r="DS516" s="99"/>
      <c r="DT516" s="149"/>
      <c r="DU516" s="134"/>
      <c r="DV516" s="134"/>
      <c r="DW516" s="137"/>
      <c r="DX516" s="150"/>
      <c r="DY516" s="137"/>
      <c r="DZ516" s="137"/>
      <c r="EA516" s="3"/>
      <c r="EB516" s="138"/>
      <c r="EC516" s="2"/>
      <c r="ED516" s="139"/>
      <c r="EE516" s="3"/>
      <c r="EF516" s="3"/>
      <c r="EG516" s="3"/>
      <c r="EH516" s="3"/>
      <c r="EI516" s="3"/>
      <c r="EJ516" s="3"/>
      <c r="EK516" s="3"/>
      <c r="EL516" s="3"/>
      <c r="EM516" s="3"/>
      <c r="EN516" s="3"/>
      <c r="EO516" s="131"/>
      <c r="EP516" s="15"/>
      <c r="EQ516" s="99"/>
      <c r="ER516" s="149"/>
      <c r="ES516" s="134"/>
      <c r="ET516" s="134"/>
      <c r="EU516" s="137"/>
      <c r="EV516" s="150"/>
      <c r="EW516" s="137"/>
      <c r="EX516" s="137"/>
      <c r="EY516" s="3"/>
      <c r="EZ516" s="138"/>
      <c r="FA516" s="2"/>
      <c r="FB516" s="139"/>
      <c r="FC516" s="3"/>
      <c r="FD516" s="3"/>
      <c r="FE516" s="3"/>
      <c r="FF516" s="3"/>
      <c r="FG516" s="3"/>
      <c r="FH516" s="3"/>
      <c r="FI516" s="3"/>
      <c r="FJ516" s="3"/>
      <c r="FK516" s="3"/>
      <c r="FL516" s="3"/>
      <c r="FM516" s="131"/>
      <c r="FN516" s="15"/>
      <c r="FO516" s="99"/>
      <c r="FP516" s="149"/>
      <c r="FQ516" s="134"/>
      <c r="FR516" s="134"/>
      <c r="FS516" s="137"/>
      <c r="FT516" s="150"/>
      <c r="FU516" s="137"/>
      <c r="FV516" s="137"/>
      <c r="FW516" s="3"/>
      <c r="FX516" s="138"/>
      <c r="FY516" s="2"/>
      <c r="FZ516" s="139"/>
      <c r="GA516" s="3"/>
      <c r="GB516" s="3"/>
      <c r="GC516" s="3"/>
      <c r="GD516" s="3"/>
      <c r="GE516" s="3"/>
      <c r="GF516" s="3"/>
      <c r="GG516" s="3"/>
      <c r="GH516" s="3"/>
      <c r="GI516" s="3"/>
      <c r="GJ516" s="3"/>
      <c r="GK516" s="131"/>
      <c r="GL516" s="15"/>
      <c r="GM516" s="99"/>
      <c r="GN516" s="149"/>
      <c r="GO516" s="134"/>
      <c r="GP516" s="134"/>
      <c r="GQ516" s="137"/>
      <c r="GR516" s="150"/>
      <c r="GS516" s="137"/>
      <c r="GT516" s="137"/>
      <c r="GU516" s="3"/>
      <c r="GV516" s="138"/>
      <c r="GW516" s="2"/>
      <c r="GX516" s="139"/>
      <c r="GY516" s="3"/>
      <c r="GZ516" s="3"/>
      <c r="HA516" s="3"/>
      <c r="HB516" s="3"/>
      <c r="HC516" s="3"/>
      <c r="HD516" s="3"/>
      <c r="HE516" s="3"/>
      <c r="HF516" s="3"/>
      <c r="HG516" s="3"/>
      <c r="HH516" s="3"/>
      <c r="HI516" s="131"/>
      <c r="HJ516" s="15"/>
      <c r="HK516" s="99"/>
      <c r="HL516" s="149"/>
      <c r="HM516" s="134"/>
      <c r="HN516" s="134"/>
      <c r="HO516" s="137"/>
      <c r="HP516" s="150"/>
      <c r="HQ516" s="137"/>
      <c r="HR516" s="137"/>
      <c r="HS516" s="3"/>
      <c r="HT516" s="138"/>
      <c r="HU516" s="2"/>
      <c r="HV516" s="139"/>
      <c r="HW516" s="3"/>
      <c r="HX516" s="3"/>
      <c r="HY516" s="3"/>
      <c r="HZ516" s="3"/>
      <c r="IA516" s="3"/>
      <c r="IB516" s="3"/>
      <c r="IC516" s="3"/>
      <c r="ID516" s="3"/>
      <c r="IE516" s="3"/>
      <c r="IF516" s="3"/>
      <c r="IG516" s="131"/>
      <c r="IH516" s="15"/>
      <c r="II516" s="99"/>
      <c r="IJ516" s="149"/>
      <c r="IK516" s="134"/>
      <c r="IL516" s="134"/>
      <c r="IM516" s="137"/>
      <c r="IN516" s="150"/>
      <c r="IO516" s="137"/>
      <c r="IP516" s="137"/>
      <c r="IQ516" s="3"/>
      <c r="IR516" s="138"/>
      <c r="IS516" s="2"/>
      <c r="IT516" s="139"/>
      <c r="IU516" s="3"/>
      <c r="IV516" s="3"/>
    </row>
    <row r="517" spans="1:256" s="125" customFormat="1" ht="13.5" customHeight="1">
      <c r="A517" s="84">
        <v>38</v>
      </c>
      <c r="B517" s="17">
        <v>43090</v>
      </c>
      <c r="C517" s="18" t="s">
        <v>541</v>
      </c>
      <c r="D517" s="19" t="s">
        <v>323</v>
      </c>
      <c r="E517" s="20" t="s">
        <v>564</v>
      </c>
      <c r="F517" s="168" t="s">
        <v>705</v>
      </c>
      <c r="G517" s="63">
        <v>1705</v>
      </c>
      <c r="H517" s="121">
        <v>2130000</v>
      </c>
      <c r="I517" s="24"/>
      <c r="J517" s="24">
        <f t="shared" si="47"/>
        <v>2028571.4285714284</v>
      </c>
      <c r="K517" s="24">
        <f t="shared" si="43"/>
        <v>2028571.4285714284</v>
      </c>
      <c r="L517" s="123">
        <v>1</v>
      </c>
      <c r="M517" s="24">
        <f t="shared" si="44"/>
        <v>2028571.4285714284</v>
      </c>
      <c r="N517" s="129">
        <f t="shared" si="45"/>
        <v>0</v>
      </c>
      <c r="O517" s="85" t="s">
        <v>665</v>
      </c>
      <c r="P517" s="3"/>
      <c r="Q517" s="140"/>
      <c r="R517" s="3"/>
      <c r="S517" s="3"/>
      <c r="T517" s="3"/>
      <c r="U517" s="3"/>
      <c r="V517" s="3"/>
      <c r="W517" s="3"/>
      <c r="X517" s="3"/>
      <c r="Y517" s="131"/>
      <c r="Z517" s="15"/>
      <c r="AA517" s="99"/>
      <c r="AB517" s="149"/>
      <c r="AC517" s="134"/>
      <c r="AD517" s="134"/>
      <c r="AE517" s="137"/>
      <c r="AF517" s="150"/>
      <c r="AG517" s="137"/>
      <c r="AH517" s="137"/>
      <c r="AI517" s="3"/>
      <c r="AJ517" s="138"/>
      <c r="AK517" s="2"/>
      <c r="AL517" s="139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131"/>
      <c r="AX517" s="15"/>
      <c r="AY517" s="99"/>
      <c r="AZ517" s="149"/>
      <c r="BA517" s="134"/>
      <c r="BB517" s="134"/>
      <c r="BC517" s="137"/>
      <c r="BD517" s="150"/>
      <c r="BE517" s="137"/>
      <c r="BF517" s="137"/>
      <c r="BG517" s="3"/>
      <c r="BH517" s="138"/>
      <c r="BI517" s="2"/>
      <c r="BJ517" s="139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131"/>
      <c r="BV517" s="15"/>
      <c r="BW517" s="99"/>
      <c r="BX517" s="149"/>
      <c r="BY517" s="134"/>
      <c r="BZ517" s="134"/>
      <c r="CA517" s="137"/>
      <c r="CB517" s="150"/>
      <c r="CC517" s="137"/>
      <c r="CD517" s="137"/>
      <c r="CE517" s="3"/>
      <c r="CF517" s="138"/>
      <c r="CG517" s="2"/>
      <c r="CH517" s="139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131"/>
      <c r="CT517" s="15"/>
      <c r="CU517" s="99"/>
      <c r="CV517" s="149"/>
      <c r="CW517" s="134"/>
      <c r="CX517" s="134"/>
      <c r="CY517" s="137"/>
      <c r="CZ517" s="150"/>
      <c r="DA517" s="137"/>
      <c r="DB517" s="137"/>
      <c r="DC517" s="3"/>
      <c r="DD517" s="138"/>
      <c r="DE517" s="2"/>
      <c r="DF517" s="139"/>
      <c r="DG517" s="3"/>
      <c r="DH517" s="3"/>
      <c r="DI517" s="3"/>
      <c r="DJ517" s="3"/>
      <c r="DK517" s="3"/>
      <c r="DL517" s="3"/>
      <c r="DM517" s="3"/>
      <c r="DN517" s="3"/>
      <c r="DO517" s="3"/>
      <c r="DP517" s="3"/>
      <c r="DQ517" s="131"/>
      <c r="DR517" s="15"/>
      <c r="DS517" s="99"/>
      <c r="DT517" s="149"/>
      <c r="DU517" s="134"/>
      <c r="DV517" s="134"/>
      <c r="DW517" s="137"/>
      <c r="DX517" s="150"/>
      <c r="DY517" s="137"/>
      <c r="DZ517" s="137"/>
      <c r="EA517" s="3"/>
      <c r="EB517" s="138"/>
      <c r="EC517" s="2"/>
      <c r="ED517" s="139"/>
      <c r="EE517" s="3"/>
      <c r="EF517" s="3"/>
      <c r="EG517" s="3"/>
      <c r="EH517" s="3"/>
      <c r="EI517" s="3"/>
      <c r="EJ517" s="3"/>
      <c r="EK517" s="3"/>
      <c r="EL517" s="3"/>
      <c r="EM517" s="3"/>
      <c r="EN517" s="3"/>
      <c r="EO517" s="131"/>
      <c r="EP517" s="15"/>
      <c r="EQ517" s="99"/>
      <c r="ER517" s="149"/>
      <c r="ES517" s="134"/>
      <c r="ET517" s="134"/>
      <c r="EU517" s="137"/>
      <c r="EV517" s="150"/>
      <c r="EW517" s="137"/>
      <c r="EX517" s="137"/>
      <c r="EY517" s="3"/>
      <c r="EZ517" s="138"/>
      <c r="FA517" s="2"/>
      <c r="FB517" s="139"/>
      <c r="FC517" s="3"/>
      <c r="FD517" s="3"/>
      <c r="FE517" s="3"/>
      <c r="FF517" s="3"/>
      <c r="FG517" s="3"/>
      <c r="FH517" s="3"/>
      <c r="FI517" s="3"/>
      <c r="FJ517" s="3"/>
      <c r="FK517" s="3"/>
      <c r="FL517" s="3"/>
      <c r="FM517" s="131"/>
      <c r="FN517" s="15"/>
      <c r="FO517" s="99"/>
      <c r="FP517" s="149"/>
      <c r="FQ517" s="134"/>
      <c r="FR517" s="134"/>
      <c r="FS517" s="137"/>
      <c r="FT517" s="150"/>
      <c r="FU517" s="137"/>
      <c r="FV517" s="137"/>
      <c r="FW517" s="3"/>
      <c r="FX517" s="138"/>
      <c r="FY517" s="2"/>
      <c r="FZ517" s="139"/>
      <c r="GA517" s="3"/>
      <c r="GB517" s="3"/>
      <c r="GC517" s="3"/>
      <c r="GD517" s="3"/>
      <c r="GE517" s="3"/>
      <c r="GF517" s="3"/>
      <c r="GG517" s="3"/>
      <c r="GH517" s="3"/>
      <c r="GI517" s="3"/>
      <c r="GJ517" s="3"/>
      <c r="GK517" s="131"/>
      <c r="GL517" s="15"/>
      <c r="GM517" s="99"/>
      <c r="GN517" s="149"/>
      <c r="GO517" s="134"/>
      <c r="GP517" s="134"/>
      <c r="GQ517" s="137"/>
      <c r="GR517" s="150"/>
      <c r="GS517" s="137"/>
      <c r="GT517" s="137"/>
      <c r="GU517" s="3"/>
      <c r="GV517" s="138"/>
      <c r="GW517" s="2"/>
      <c r="GX517" s="139"/>
      <c r="GY517" s="3"/>
      <c r="GZ517" s="3"/>
      <c r="HA517" s="3"/>
      <c r="HB517" s="3"/>
      <c r="HC517" s="3"/>
      <c r="HD517" s="3"/>
      <c r="HE517" s="3"/>
      <c r="HF517" s="3"/>
      <c r="HG517" s="3"/>
      <c r="HH517" s="3"/>
      <c r="HI517" s="131"/>
      <c r="HJ517" s="15"/>
      <c r="HK517" s="99"/>
      <c r="HL517" s="149"/>
      <c r="HM517" s="134"/>
      <c r="HN517" s="134"/>
      <c r="HO517" s="137"/>
      <c r="HP517" s="150"/>
      <c r="HQ517" s="137"/>
      <c r="HR517" s="137"/>
      <c r="HS517" s="3"/>
      <c r="HT517" s="138"/>
      <c r="HU517" s="2"/>
      <c r="HV517" s="139"/>
      <c r="HW517" s="3"/>
      <c r="HX517" s="3"/>
      <c r="HY517" s="3"/>
      <c r="HZ517" s="3"/>
      <c r="IA517" s="3"/>
      <c r="IB517" s="3"/>
      <c r="IC517" s="3"/>
      <c r="ID517" s="3"/>
      <c r="IE517" s="3"/>
      <c r="IF517" s="3"/>
      <c r="IG517" s="131"/>
      <c r="IH517" s="15"/>
      <c r="II517" s="99"/>
      <c r="IJ517" s="149"/>
      <c r="IK517" s="134"/>
      <c r="IL517" s="134"/>
      <c r="IM517" s="137"/>
      <c r="IN517" s="150"/>
      <c r="IO517" s="137"/>
      <c r="IP517" s="137"/>
      <c r="IQ517" s="3"/>
      <c r="IR517" s="138"/>
      <c r="IS517" s="2"/>
      <c r="IT517" s="139"/>
      <c r="IU517" s="3"/>
      <c r="IV517" s="3"/>
    </row>
    <row r="518" spans="1:256" s="125" customFormat="1" ht="13.5" customHeight="1">
      <c r="A518" s="84">
        <v>39</v>
      </c>
      <c r="B518" s="17">
        <v>43091</v>
      </c>
      <c r="C518" s="18" t="s">
        <v>311</v>
      </c>
      <c r="D518" s="19" t="s">
        <v>323</v>
      </c>
      <c r="E518" s="20" t="s">
        <v>564</v>
      </c>
      <c r="F518" s="168" t="s">
        <v>706</v>
      </c>
      <c r="G518" s="63">
        <v>1705</v>
      </c>
      <c r="H518" s="121">
        <v>2130000</v>
      </c>
      <c r="I518" s="24"/>
      <c r="J518" s="24">
        <f t="shared" si="47"/>
        <v>2028571.4285714284</v>
      </c>
      <c r="K518" s="24">
        <f t="shared" si="43"/>
        <v>2028571.4285714284</v>
      </c>
      <c r="L518" s="123">
        <v>1</v>
      </c>
      <c r="M518" s="24">
        <f t="shared" si="44"/>
        <v>2028571.4285714284</v>
      </c>
      <c r="N518" s="129">
        <f t="shared" si="45"/>
        <v>0</v>
      </c>
      <c r="O518" s="85" t="s">
        <v>665</v>
      </c>
      <c r="P518" s="3"/>
      <c r="Q518" s="140"/>
      <c r="R518" s="3"/>
      <c r="S518" s="3"/>
      <c r="T518" s="3"/>
      <c r="U518" s="3"/>
      <c r="V518" s="3"/>
      <c r="W518" s="3"/>
      <c r="X518" s="3"/>
      <c r="Y518" s="131"/>
      <c r="Z518" s="15"/>
      <c r="AA518" s="99"/>
      <c r="AB518" s="149"/>
      <c r="AC518" s="134"/>
      <c r="AD518" s="134"/>
      <c r="AE518" s="137"/>
      <c r="AF518" s="150"/>
      <c r="AG518" s="137"/>
      <c r="AH518" s="137"/>
      <c r="AI518" s="3"/>
      <c r="AJ518" s="138"/>
      <c r="AK518" s="2"/>
      <c r="AL518" s="139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131"/>
      <c r="AX518" s="15"/>
      <c r="AY518" s="99"/>
      <c r="AZ518" s="149"/>
      <c r="BA518" s="134"/>
      <c r="BB518" s="134"/>
      <c r="BC518" s="137"/>
      <c r="BD518" s="150"/>
      <c r="BE518" s="137"/>
      <c r="BF518" s="137"/>
      <c r="BG518" s="3"/>
      <c r="BH518" s="138"/>
      <c r="BI518" s="2"/>
      <c r="BJ518" s="139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131"/>
      <c r="BV518" s="15"/>
      <c r="BW518" s="99"/>
      <c r="BX518" s="149"/>
      <c r="BY518" s="134"/>
      <c r="BZ518" s="134"/>
      <c r="CA518" s="137"/>
      <c r="CB518" s="150"/>
      <c r="CC518" s="137"/>
      <c r="CD518" s="137"/>
      <c r="CE518" s="3"/>
      <c r="CF518" s="138"/>
      <c r="CG518" s="2"/>
      <c r="CH518" s="139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131"/>
      <c r="CT518" s="15"/>
      <c r="CU518" s="99"/>
      <c r="CV518" s="149"/>
      <c r="CW518" s="134"/>
      <c r="CX518" s="134"/>
      <c r="CY518" s="137"/>
      <c r="CZ518" s="150"/>
      <c r="DA518" s="137"/>
      <c r="DB518" s="137"/>
      <c r="DC518" s="3"/>
      <c r="DD518" s="138"/>
      <c r="DE518" s="2"/>
      <c r="DF518" s="139"/>
      <c r="DG518" s="3"/>
      <c r="DH518" s="3"/>
      <c r="DI518" s="3"/>
      <c r="DJ518" s="3"/>
      <c r="DK518" s="3"/>
      <c r="DL518" s="3"/>
      <c r="DM518" s="3"/>
      <c r="DN518" s="3"/>
      <c r="DO518" s="3"/>
      <c r="DP518" s="3"/>
      <c r="DQ518" s="131"/>
      <c r="DR518" s="15"/>
      <c r="DS518" s="99"/>
      <c r="DT518" s="149"/>
      <c r="DU518" s="134"/>
      <c r="DV518" s="134"/>
      <c r="DW518" s="137"/>
      <c r="DX518" s="150"/>
      <c r="DY518" s="137"/>
      <c r="DZ518" s="137"/>
      <c r="EA518" s="3"/>
      <c r="EB518" s="138"/>
      <c r="EC518" s="2"/>
      <c r="ED518" s="139"/>
      <c r="EE518" s="3"/>
      <c r="EF518" s="3"/>
      <c r="EG518" s="3"/>
      <c r="EH518" s="3"/>
      <c r="EI518" s="3"/>
      <c r="EJ518" s="3"/>
      <c r="EK518" s="3"/>
      <c r="EL518" s="3"/>
      <c r="EM518" s="3"/>
      <c r="EN518" s="3"/>
      <c r="EO518" s="131"/>
      <c r="EP518" s="15"/>
      <c r="EQ518" s="99"/>
      <c r="ER518" s="149"/>
      <c r="ES518" s="134"/>
      <c r="ET518" s="134"/>
      <c r="EU518" s="137"/>
      <c r="EV518" s="150"/>
      <c r="EW518" s="137"/>
      <c r="EX518" s="137"/>
      <c r="EY518" s="3"/>
      <c r="EZ518" s="138"/>
      <c r="FA518" s="2"/>
      <c r="FB518" s="139"/>
      <c r="FC518" s="3"/>
      <c r="FD518" s="3"/>
      <c r="FE518" s="3"/>
      <c r="FF518" s="3"/>
      <c r="FG518" s="3"/>
      <c r="FH518" s="3"/>
      <c r="FI518" s="3"/>
      <c r="FJ518" s="3"/>
      <c r="FK518" s="3"/>
      <c r="FL518" s="3"/>
      <c r="FM518" s="131"/>
      <c r="FN518" s="15"/>
      <c r="FO518" s="99"/>
      <c r="FP518" s="149"/>
      <c r="FQ518" s="134"/>
      <c r="FR518" s="134"/>
      <c r="FS518" s="137"/>
      <c r="FT518" s="150"/>
      <c r="FU518" s="137"/>
      <c r="FV518" s="137"/>
      <c r="FW518" s="3"/>
      <c r="FX518" s="138"/>
      <c r="FY518" s="2"/>
      <c r="FZ518" s="139"/>
      <c r="GA518" s="3"/>
      <c r="GB518" s="3"/>
      <c r="GC518" s="3"/>
      <c r="GD518" s="3"/>
      <c r="GE518" s="3"/>
      <c r="GF518" s="3"/>
      <c r="GG518" s="3"/>
      <c r="GH518" s="3"/>
      <c r="GI518" s="3"/>
      <c r="GJ518" s="3"/>
      <c r="GK518" s="131"/>
      <c r="GL518" s="15"/>
      <c r="GM518" s="99"/>
      <c r="GN518" s="149"/>
      <c r="GO518" s="134"/>
      <c r="GP518" s="134"/>
      <c r="GQ518" s="137"/>
      <c r="GR518" s="150"/>
      <c r="GS518" s="137"/>
      <c r="GT518" s="137"/>
      <c r="GU518" s="3"/>
      <c r="GV518" s="138"/>
      <c r="GW518" s="2"/>
      <c r="GX518" s="139"/>
      <c r="GY518" s="3"/>
      <c r="GZ518" s="3"/>
      <c r="HA518" s="3"/>
      <c r="HB518" s="3"/>
      <c r="HC518" s="3"/>
      <c r="HD518" s="3"/>
      <c r="HE518" s="3"/>
      <c r="HF518" s="3"/>
      <c r="HG518" s="3"/>
      <c r="HH518" s="3"/>
      <c r="HI518" s="131"/>
      <c r="HJ518" s="15"/>
      <c r="HK518" s="99"/>
      <c r="HL518" s="149"/>
      <c r="HM518" s="134"/>
      <c r="HN518" s="134"/>
      <c r="HO518" s="137"/>
      <c r="HP518" s="150"/>
      <c r="HQ518" s="137"/>
      <c r="HR518" s="137"/>
      <c r="HS518" s="3"/>
      <c r="HT518" s="138"/>
      <c r="HU518" s="2"/>
      <c r="HV518" s="139"/>
      <c r="HW518" s="3"/>
      <c r="HX518" s="3"/>
      <c r="HY518" s="3"/>
      <c r="HZ518" s="3"/>
      <c r="IA518" s="3"/>
      <c r="IB518" s="3"/>
      <c r="IC518" s="3"/>
      <c r="ID518" s="3"/>
      <c r="IE518" s="3"/>
      <c r="IF518" s="3"/>
      <c r="IG518" s="131"/>
      <c r="IH518" s="15"/>
      <c r="II518" s="99"/>
      <c r="IJ518" s="149"/>
      <c r="IK518" s="134"/>
      <c r="IL518" s="134"/>
      <c r="IM518" s="137"/>
      <c r="IN518" s="150"/>
      <c r="IO518" s="137"/>
      <c r="IP518" s="137"/>
      <c r="IQ518" s="3"/>
      <c r="IR518" s="138"/>
      <c r="IS518" s="2"/>
      <c r="IT518" s="139"/>
      <c r="IU518" s="3"/>
      <c r="IV518" s="3"/>
    </row>
    <row r="519" spans="1:256" s="125" customFormat="1" ht="13.5" customHeight="1">
      <c r="A519" s="84">
        <v>40</v>
      </c>
      <c r="B519" s="17">
        <v>43087</v>
      </c>
      <c r="C519" s="18" t="s">
        <v>541</v>
      </c>
      <c r="D519" s="19" t="s">
        <v>323</v>
      </c>
      <c r="E519" s="20" t="s">
        <v>564</v>
      </c>
      <c r="F519" s="168" t="s">
        <v>707</v>
      </c>
      <c r="G519" s="63">
        <v>1705</v>
      </c>
      <c r="H519" s="121">
        <f>2130000</f>
        <v>2130000</v>
      </c>
      <c r="I519" s="24"/>
      <c r="J519" s="24">
        <f t="shared" si="47"/>
        <v>2028571.4285714284</v>
      </c>
      <c r="K519" s="24">
        <f t="shared" si="43"/>
        <v>2028571.4285714284</v>
      </c>
      <c r="L519" s="123">
        <v>1</v>
      </c>
      <c r="M519" s="24">
        <f t="shared" si="44"/>
        <v>2028571.4285714284</v>
      </c>
      <c r="N519" s="129">
        <f t="shared" si="45"/>
        <v>0</v>
      </c>
      <c r="O519" s="85" t="s">
        <v>665</v>
      </c>
      <c r="P519" s="3"/>
      <c r="Q519" s="140"/>
      <c r="R519" s="3"/>
      <c r="S519" s="3"/>
      <c r="T519" s="3"/>
      <c r="U519" s="3"/>
      <c r="V519" s="3"/>
      <c r="W519" s="3"/>
      <c r="X519" s="3"/>
      <c r="Y519" s="131"/>
      <c r="Z519" s="15"/>
      <c r="AA519" s="99"/>
      <c r="AB519" s="149"/>
      <c r="AC519" s="134"/>
      <c r="AD519" s="134"/>
      <c r="AE519" s="137"/>
      <c r="AF519" s="150"/>
      <c r="AG519" s="137"/>
      <c r="AH519" s="137"/>
      <c r="AI519" s="3"/>
      <c r="AJ519" s="138"/>
      <c r="AK519" s="2"/>
      <c r="AL519" s="139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131"/>
      <c r="AX519" s="15"/>
      <c r="AY519" s="99"/>
      <c r="AZ519" s="149"/>
      <c r="BA519" s="134"/>
      <c r="BB519" s="134"/>
      <c r="BC519" s="137"/>
      <c r="BD519" s="150"/>
      <c r="BE519" s="137"/>
      <c r="BF519" s="137"/>
      <c r="BG519" s="3"/>
      <c r="BH519" s="138"/>
      <c r="BI519" s="2"/>
      <c r="BJ519" s="139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131"/>
      <c r="BV519" s="15"/>
      <c r="BW519" s="99"/>
      <c r="BX519" s="149"/>
      <c r="BY519" s="134"/>
      <c r="BZ519" s="134"/>
      <c r="CA519" s="137"/>
      <c r="CB519" s="150"/>
      <c r="CC519" s="137"/>
      <c r="CD519" s="137"/>
      <c r="CE519" s="3"/>
      <c r="CF519" s="138"/>
      <c r="CG519" s="2"/>
      <c r="CH519" s="139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131"/>
      <c r="CT519" s="15"/>
      <c r="CU519" s="99"/>
      <c r="CV519" s="149"/>
      <c r="CW519" s="134"/>
      <c r="CX519" s="134"/>
      <c r="CY519" s="137"/>
      <c r="CZ519" s="150"/>
      <c r="DA519" s="137"/>
      <c r="DB519" s="137"/>
      <c r="DC519" s="3"/>
      <c r="DD519" s="138"/>
      <c r="DE519" s="2"/>
      <c r="DF519" s="139"/>
      <c r="DG519" s="3"/>
      <c r="DH519" s="3"/>
      <c r="DI519" s="3"/>
      <c r="DJ519" s="3"/>
      <c r="DK519" s="3"/>
      <c r="DL519" s="3"/>
      <c r="DM519" s="3"/>
      <c r="DN519" s="3"/>
      <c r="DO519" s="3"/>
      <c r="DP519" s="3"/>
      <c r="DQ519" s="131"/>
      <c r="DR519" s="15"/>
      <c r="DS519" s="99"/>
      <c r="DT519" s="149"/>
      <c r="DU519" s="134"/>
      <c r="DV519" s="134"/>
      <c r="DW519" s="137"/>
      <c r="DX519" s="150"/>
      <c r="DY519" s="137"/>
      <c r="DZ519" s="137"/>
      <c r="EA519" s="3"/>
      <c r="EB519" s="138"/>
      <c r="EC519" s="2"/>
      <c r="ED519" s="139"/>
      <c r="EE519" s="3"/>
      <c r="EF519" s="3"/>
      <c r="EG519" s="3"/>
      <c r="EH519" s="3"/>
      <c r="EI519" s="3"/>
      <c r="EJ519" s="3"/>
      <c r="EK519" s="3"/>
      <c r="EL519" s="3"/>
      <c r="EM519" s="3"/>
      <c r="EN519" s="3"/>
      <c r="EO519" s="131"/>
      <c r="EP519" s="15"/>
      <c r="EQ519" s="99"/>
      <c r="ER519" s="149"/>
      <c r="ES519" s="134"/>
      <c r="ET519" s="134"/>
      <c r="EU519" s="137"/>
      <c r="EV519" s="150"/>
      <c r="EW519" s="137"/>
      <c r="EX519" s="137"/>
      <c r="EY519" s="3"/>
      <c r="EZ519" s="138"/>
      <c r="FA519" s="2"/>
      <c r="FB519" s="139"/>
      <c r="FC519" s="3"/>
      <c r="FD519" s="3"/>
      <c r="FE519" s="3"/>
      <c r="FF519" s="3"/>
      <c r="FG519" s="3"/>
      <c r="FH519" s="3"/>
      <c r="FI519" s="3"/>
      <c r="FJ519" s="3"/>
      <c r="FK519" s="3"/>
      <c r="FL519" s="3"/>
      <c r="FM519" s="131"/>
      <c r="FN519" s="15"/>
      <c r="FO519" s="99"/>
      <c r="FP519" s="149"/>
      <c r="FQ519" s="134"/>
      <c r="FR519" s="134"/>
      <c r="FS519" s="137"/>
      <c r="FT519" s="150"/>
      <c r="FU519" s="137"/>
      <c r="FV519" s="137"/>
      <c r="FW519" s="3"/>
      <c r="FX519" s="138"/>
      <c r="FY519" s="2"/>
      <c r="FZ519" s="139"/>
      <c r="GA519" s="3"/>
      <c r="GB519" s="3"/>
      <c r="GC519" s="3"/>
      <c r="GD519" s="3"/>
      <c r="GE519" s="3"/>
      <c r="GF519" s="3"/>
      <c r="GG519" s="3"/>
      <c r="GH519" s="3"/>
      <c r="GI519" s="3"/>
      <c r="GJ519" s="3"/>
      <c r="GK519" s="131"/>
      <c r="GL519" s="15"/>
      <c r="GM519" s="99"/>
      <c r="GN519" s="149"/>
      <c r="GO519" s="134"/>
      <c r="GP519" s="134"/>
      <c r="GQ519" s="137"/>
      <c r="GR519" s="150"/>
      <c r="GS519" s="137"/>
      <c r="GT519" s="137"/>
      <c r="GU519" s="3"/>
      <c r="GV519" s="138"/>
      <c r="GW519" s="2"/>
      <c r="GX519" s="139"/>
      <c r="GY519" s="3"/>
      <c r="GZ519" s="3"/>
      <c r="HA519" s="3"/>
      <c r="HB519" s="3"/>
      <c r="HC519" s="3"/>
      <c r="HD519" s="3"/>
      <c r="HE519" s="3"/>
      <c r="HF519" s="3"/>
      <c r="HG519" s="3"/>
      <c r="HH519" s="3"/>
      <c r="HI519" s="131"/>
      <c r="HJ519" s="15"/>
      <c r="HK519" s="99"/>
      <c r="HL519" s="149"/>
      <c r="HM519" s="134"/>
      <c r="HN519" s="134"/>
      <c r="HO519" s="137"/>
      <c r="HP519" s="150"/>
      <c r="HQ519" s="137"/>
      <c r="HR519" s="137"/>
      <c r="HS519" s="3"/>
      <c r="HT519" s="138"/>
      <c r="HU519" s="2"/>
      <c r="HV519" s="139"/>
      <c r="HW519" s="3"/>
      <c r="HX519" s="3"/>
      <c r="HY519" s="3"/>
      <c r="HZ519" s="3"/>
      <c r="IA519" s="3"/>
      <c r="IB519" s="3"/>
      <c r="IC519" s="3"/>
      <c r="ID519" s="3"/>
      <c r="IE519" s="3"/>
      <c r="IF519" s="3"/>
      <c r="IG519" s="131"/>
      <c r="IH519" s="15"/>
      <c r="II519" s="99"/>
      <c r="IJ519" s="149"/>
      <c r="IK519" s="134"/>
      <c r="IL519" s="134"/>
      <c r="IM519" s="137"/>
      <c r="IN519" s="150"/>
      <c r="IO519" s="137"/>
      <c r="IP519" s="137"/>
      <c r="IQ519" s="3"/>
      <c r="IR519" s="138"/>
      <c r="IS519" s="2"/>
      <c r="IT519" s="139"/>
      <c r="IU519" s="3"/>
      <c r="IV519" s="3"/>
    </row>
    <row r="520" spans="1:256" s="125" customFormat="1" ht="13.5" customHeight="1">
      <c r="A520" s="84">
        <v>41</v>
      </c>
      <c r="B520" s="17">
        <v>43088</v>
      </c>
      <c r="C520" s="18" t="s">
        <v>541</v>
      </c>
      <c r="D520" s="19" t="s">
        <v>323</v>
      </c>
      <c r="E520" s="20" t="s">
        <v>564</v>
      </c>
      <c r="F520" s="168" t="s">
        <v>708</v>
      </c>
      <c r="G520" s="63">
        <v>1705</v>
      </c>
      <c r="H520" s="121">
        <v>2130000</v>
      </c>
      <c r="I520" s="24"/>
      <c r="J520" s="24">
        <f t="shared" si="47"/>
        <v>2028571.4285714284</v>
      </c>
      <c r="K520" s="24">
        <f t="shared" si="43"/>
        <v>2028571.4285714284</v>
      </c>
      <c r="L520" s="123">
        <v>1</v>
      </c>
      <c r="M520" s="24">
        <f t="shared" si="44"/>
        <v>2028571.4285714284</v>
      </c>
      <c r="N520" s="129">
        <f t="shared" si="45"/>
        <v>0</v>
      </c>
      <c r="O520" s="85" t="s">
        <v>665</v>
      </c>
      <c r="P520" s="3"/>
      <c r="Q520" s="140"/>
      <c r="R520" s="3"/>
      <c r="S520" s="3"/>
      <c r="T520" s="3"/>
      <c r="U520" s="3"/>
      <c r="V520" s="3"/>
      <c r="W520" s="3"/>
      <c r="X520" s="3"/>
      <c r="Y520" s="131"/>
      <c r="Z520" s="15"/>
      <c r="AA520" s="99"/>
      <c r="AB520" s="149"/>
      <c r="AC520" s="134"/>
      <c r="AD520" s="134"/>
      <c r="AE520" s="137"/>
      <c r="AF520" s="150"/>
      <c r="AG520" s="137"/>
      <c r="AH520" s="137"/>
      <c r="AI520" s="3"/>
      <c r="AJ520" s="138"/>
      <c r="AK520" s="2"/>
      <c r="AL520" s="139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131"/>
      <c r="AX520" s="15"/>
      <c r="AY520" s="99"/>
      <c r="AZ520" s="149"/>
      <c r="BA520" s="134"/>
      <c r="BB520" s="134"/>
      <c r="BC520" s="137"/>
      <c r="BD520" s="150"/>
      <c r="BE520" s="137"/>
      <c r="BF520" s="137"/>
      <c r="BG520" s="3"/>
      <c r="BH520" s="138"/>
      <c r="BI520" s="2"/>
      <c r="BJ520" s="139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131"/>
      <c r="BV520" s="15"/>
      <c r="BW520" s="99"/>
      <c r="BX520" s="149"/>
      <c r="BY520" s="134"/>
      <c r="BZ520" s="134"/>
      <c r="CA520" s="137"/>
      <c r="CB520" s="150"/>
      <c r="CC520" s="137"/>
      <c r="CD520" s="137"/>
      <c r="CE520" s="3"/>
      <c r="CF520" s="138"/>
      <c r="CG520" s="2"/>
      <c r="CH520" s="139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131"/>
      <c r="CT520" s="15"/>
      <c r="CU520" s="99"/>
      <c r="CV520" s="149"/>
      <c r="CW520" s="134"/>
      <c r="CX520" s="134"/>
      <c r="CY520" s="137"/>
      <c r="CZ520" s="150"/>
      <c r="DA520" s="137"/>
      <c r="DB520" s="137"/>
      <c r="DC520" s="3"/>
      <c r="DD520" s="138"/>
      <c r="DE520" s="2"/>
      <c r="DF520" s="139"/>
      <c r="DG520" s="3"/>
      <c r="DH520" s="3"/>
      <c r="DI520" s="3"/>
      <c r="DJ520" s="3"/>
      <c r="DK520" s="3"/>
      <c r="DL520" s="3"/>
      <c r="DM520" s="3"/>
      <c r="DN520" s="3"/>
      <c r="DO520" s="3"/>
      <c r="DP520" s="3"/>
      <c r="DQ520" s="131"/>
      <c r="DR520" s="15"/>
      <c r="DS520" s="99"/>
      <c r="DT520" s="149"/>
      <c r="DU520" s="134"/>
      <c r="DV520" s="134"/>
      <c r="DW520" s="137"/>
      <c r="DX520" s="150"/>
      <c r="DY520" s="137"/>
      <c r="DZ520" s="137"/>
      <c r="EA520" s="3"/>
      <c r="EB520" s="138"/>
      <c r="EC520" s="2"/>
      <c r="ED520" s="139"/>
      <c r="EE520" s="3"/>
      <c r="EF520" s="3"/>
      <c r="EG520" s="3"/>
      <c r="EH520" s="3"/>
      <c r="EI520" s="3"/>
      <c r="EJ520" s="3"/>
      <c r="EK520" s="3"/>
      <c r="EL520" s="3"/>
      <c r="EM520" s="3"/>
      <c r="EN520" s="3"/>
      <c r="EO520" s="131"/>
      <c r="EP520" s="15"/>
      <c r="EQ520" s="99"/>
      <c r="ER520" s="149"/>
      <c r="ES520" s="134"/>
      <c r="ET520" s="134"/>
      <c r="EU520" s="137"/>
      <c r="EV520" s="150"/>
      <c r="EW520" s="137"/>
      <c r="EX520" s="137"/>
      <c r="EY520" s="3"/>
      <c r="EZ520" s="138"/>
      <c r="FA520" s="2"/>
      <c r="FB520" s="139"/>
      <c r="FC520" s="3"/>
      <c r="FD520" s="3"/>
      <c r="FE520" s="3"/>
      <c r="FF520" s="3"/>
      <c r="FG520" s="3"/>
      <c r="FH520" s="3"/>
      <c r="FI520" s="3"/>
      <c r="FJ520" s="3"/>
      <c r="FK520" s="3"/>
      <c r="FL520" s="3"/>
      <c r="FM520" s="131"/>
      <c r="FN520" s="15"/>
      <c r="FO520" s="99"/>
      <c r="FP520" s="149"/>
      <c r="FQ520" s="134"/>
      <c r="FR520" s="134"/>
      <c r="FS520" s="137"/>
      <c r="FT520" s="150"/>
      <c r="FU520" s="137"/>
      <c r="FV520" s="137"/>
      <c r="FW520" s="3"/>
      <c r="FX520" s="138"/>
      <c r="FY520" s="2"/>
      <c r="FZ520" s="139"/>
      <c r="GA520" s="3"/>
      <c r="GB520" s="3"/>
      <c r="GC520" s="3"/>
      <c r="GD520" s="3"/>
      <c r="GE520" s="3"/>
      <c r="GF520" s="3"/>
      <c r="GG520" s="3"/>
      <c r="GH520" s="3"/>
      <c r="GI520" s="3"/>
      <c r="GJ520" s="3"/>
      <c r="GK520" s="131"/>
      <c r="GL520" s="15"/>
      <c r="GM520" s="99"/>
      <c r="GN520" s="149"/>
      <c r="GO520" s="134"/>
      <c r="GP520" s="134"/>
      <c r="GQ520" s="137"/>
      <c r="GR520" s="150"/>
      <c r="GS520" s="137"/>
      <c r="GT520" s="137"/>
      <c r="GU520" s="3"/>
      <c r="GV520" s="138"/>
      <c r="GW520" s="2"/>
      <c r="GX520" s="139"/>
      <c r="GY520" s="3"/>
      <c r="GZ520" s="3"/>
      <c r="HA520" s="3"/>
      <c r="HB520" s="3"/>
      <c r="HC520" s="3"/>
      <c r="HD520" s="3"/>
      <c r="HE520" s="3"/>
      <c r="HF520" s="3"/>
      <c r="HG520" s="3"/>
      <c r="HH520" s="3"/>
      <c r="HI520" s="131"/>
      <c r="HJ520" s="15"/>
      <c r="HK520" s="99"/>
      <c r="HL520" s="149"/>
      <c r="HM520" s="134"/>
      <c r="HN520" s="134"/>
      <c r="HO520" s="137"/>
      <c r="HP520" s="150"/>
      <c r="HQ520" s="137"/>
      <c r="HR520" s="137"/>
      <c r="HS520" s="3"/>
      <c r="HT520" s="138"/>
      <c r="HU520" s="2"/>
      <c r="HV520" s="139"/>
      <c r="HW520" s="3"/>
      <c r="HX520" s="3"/>
      <c r="HY520" s="3"/>
      <c r="HZ520" s="3"/>
      <c r="IA520" s="3"/>
      <c r="IB520" s="3"/>
      <c r="IC520" s="3"/>
      <c r="ID520" s="3"/>
      <c r="IE520" s="3"/>
      <c r="IF520" s="3"/>
      <c r="IG520" s="131"/>
      <c r="IH520" s="15"/>
      <c r="II520" s="99"/>
      <c r="IJ520" s="149"/>
      <c r="IK520" s="134"/>
      <c r="IL520" s="134"/>
      <c r="IM520" s="137"/>
      <c r="IN520" s="150"/>
      <c r="IO520" s="137"/>
      <c r="IP520" s="137"/>
      <c r="IQ520" s="3"/>
      <c r="IR520" s="138"/>
      <c r="IS520" s="2"/>
      <c r="IT520" s="139"/>
      <c r="IU520" s="3"/>
      <c r="IV520" s="3"/>
    </row>
    <row r="521" spans="1:256" s="125" customFormat="1" ht="13.5" customHeight="1">
      <c r="A521" s="84">
        <v>42</v>
      </c>
      <c r="B521" s="60">
        <v>43094</v>
      </c>
      <c r="C521" s="18" t="s">
        <v>541</v>
      </c>
      <c r="D521" s="19" t="s">
        <v>323</v>
      </c>
      <c r="E521" s="20" t="s">
        <v>709</v>
      </c>
      <c r="F521" s="168" t="s">
        <v>710</v>
      </c>
      <c r="G521" s="63">
        <v>1707</v>
      </c>
      <c r="H521" s="121">
        <f>2630000+13600</f>
        <v>2643600</v>
      </c>
      <c r="I521" s="24"/>
      <c r="J521" s="24">
        <f t="shared" si="47"/>
        <v>2517714.2857142854</v>
      </c>
      <c r="K521" s="24">
        <f t="shared" si="43"/>
        <v>2517714.2857142854</v>
      </c>
      <c r="L521" s="123">
        <v>1</v>
      </c>
      <c r="M521" s="24">
        <f t="shared" si="44"/>
        <v>2517714.2857142854</v>
      </c>
      <c r="N521" s="129">
        <f t="shared" si="45"/>
        <v>0</v>
      </c>
      <c r="O521" s="85" t="s">
        <v>665</v>
      </c>
      <c r="P521" s="3"/>
      <c r="Q521" s="140"/>
      <c r="R521" s="3"/>
      <c r="S521" s="3"/>
      <c r="T521" s="3"/>
      <c r="U521" s="3"/>
      <c r="V521" s="3"/>
      <c r="W521" s="3"/>
      <c r="X521" s="3"/>
      <c r="Y521" s="131"/>
      <c r="Z521" s="15"/>
      <c r="AA521" s="99"/>
      <c r="AB521" s="149"/>
      <c r="AC521" s="134"/>
      <c r="AD521" s="134"/>
      <c r="AE521" s="137"/>
      <c r="AF521" s="150"/>
      <c r="AG521" s="137"/>
      <c r="AH521" s="137"/>
      <c r="AI521" s="3"/>
      <c r="AJ521" s="138"/>
      <c r="AK521" s="2"/>
      <c r="AL521" s="139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131"/>
      <c r="AX521" s="15"/>
      <c r="AY521" s="99"/>
      <c r="AZ521" s="149"/>
      <c r="BA521" s="134"/>
      <c r="BB521" s="134"/>
      <c r="BC521" s="137"/>
      <c r="BD521" s="150"/>
      <c r="BE521" s="137"/>
      <c r="BF521" s="137"/>
      <c r="BG521" s="3"/>
      <c r="BH521" s="138"/>
      <c r="BI521" s="2"/>
      <c r="BJ521" s="139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131"/>
      <c r="BV521" s="15"/>
      <c r="BW521" s="99"/>
      <c r="BX521" s="149"/>
      <c r="BY521" s="134"/>
      <c r="BZ521" s="134"/>
      <c r="CA521" s="137"/>
      <c r="CB521" s="150"/>
      <c r="CC521" s="137"/>
      <c r="CD521" s="137"/>
      <c r="CE521" s="3"/>
      <c r="CF521" s="138"/>
      <c r="CG521" s="2"/>
      <c r="CH521" s="139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131"/>
      <c r="CT521" s="15"/>
      <c r="CU521" s="99"/>
      <c r="CV521" s="149"/>
      <c r="CW521" s="134"/>
      <c r="CX521" s="134"/>
      <c r="CY521" s="137"/>
      <c r="CZ521" s="150"/>
      <c r="DA521" s="137"/>
      <c r="DB521" s="137"/>
      <c r="DC521" s="3"/>
      <c r="DD521" s="138"/>
      <c r="DE521" s="2"/>
      <c r="DF521" s="139"/>
      <c r="DG521" s="3"/>
      <c r="DH521" s="3"/>
      <c r="DI521" s="3"/>
      <c r="DJ521" s="3"/>
      <c r="DK521" s="3"/>
      <c r="DL521" s="3"/>
      <c r="DM521" s="3"/>
      <c r="DN521" s="3"/>
      <c r="DO521" s="3"/>
      <c r="DP521" s="3"/>
      <c r="DQ521" s="131"/>
      <c r="DR521" s="15"/>
      <c r="DS521" s="99"/>
      <c r="DT521" s="149"/>
      <c r="DU521" s="134"/>
      <c r="DV521" s="134"/>
      <c r="DW521" s="137"/>
      <c r="DX521" s="150"/>
      <c r="DY521" s="137"/>
      <c r="DZ521" s="137"/>
      <c r="EA521" s="3"/>
      <c r="EB521" s="138"/>
      <c r="EC521" s="2"/>
      <c r="ED521" s="139"/>
      <c r="EE521" s="3"/>
      <c r="EF521" s="3"/>
      <c r="EG521" s="3"/>
      <c r="EH521" s="3"/>
      <c r="EI521" s="3"/>
      <c r="EJ521" s="3"/>
      <c r="EK521" s="3"/>
      <c r="EL521" s="3"/>
      <c r="EM521" s="3"/>
      <c r="EN521" s="3"/>
      <c r="EO521" s="131"/>
      <c r="EP521" s="15"/>
      <c r="EQ521" s="99"/>
      <c r="ER521" s="149"/>
      <c r="ES521" s="134"/>
      <c r="ET521" s="134"/>
      <c r="EU521" s="137"/>
      <c r="EV521" s="150"/>
      <c r="EW521" s="137"/>
      <c r="EX521" s="137"/>
      <c r="EY521" s="3"/>
      <c r="EZ521" s="138"/>
      <c r="FA521" s="2"/>
      <c r="FB521" s="139"/>
      <c r="FC521" s="3"/>
      <c r="FD521" s="3"/>
      <c r="FE521" s="3"/>
      <c r="FF521" s="3"/>
      <c r="FG521" s="3"/>
      <c r="FH521" s="3"/>
      <c r="FI521" s="3"/>
      <c r="FJ521" s="3"/>
      <c r="FK521" s="3"/>
      <c r="FL521" s="3"/>
      <c r="FM521" s="131"/>
      <c r="FN521" s="15"/>
      <c r="FO521" s="99"/>
      <c r="FP521" s="149"/>
      <c r="FQ521" s="134"/>
      <c r="FR521" s="134"/>
      <c r="FS521" s="137"/>
      <c r="FT521" s="150"/>
      <c r="FU521" s="137"/>
      <c r="FV521" s="137"/>
      <c r="FW521" s="3"/>
      <c r="FX521" s="138"/>
      <c r="FY521" s="2"/>
      <c r="FZ521" s="139"/>
      <c r="GA521" s="3"/>
      <c r="GB521" s="3"/>
      <c r="GC521" s="3"/>
      <c r="GD521" s="3"/>
      <c r="GE521" s="3"/>
      <c r="GF521" s="3"/>
      <c r="GG521" s="3"/>
      <c r="GH521" s="3"/>
      <c r="GI521" s="3"/>
      <c r="GJ521" s="3"/>
      <c r="GK521" s="131"/>
      <c r="GL521" s="15"/>
      <c r="GM521" s="99"/>
      <c r="GN521" s="149"/>
      <c r="GO521" s="134"/>
      <c r="GP521" s="134"/>
      <c r="GQ521" s="137"/>
      <c r="GR521" s="150"/>
      <c r="GS521" s="137"/>
      <c r="GT521" s="137"/>
      <c r="GU521" s="3"/>
      <c r="GV521" s="138"/>
      <c r="GW521" s="2"/>
      <c r="GX521" s="139"/>
      <c r="GY521" s="3"/>
      <c r="GZ521" s="3"/>
      <c r="HA521" s="3"/>
      <c r="HB521" s="3"/>
      <c r="HC521" s="3"/>
      <c r="HD521" s="3"/>
      <c r="HE521" s="3"/>
      <c r="HF521" s="3"/>
      <c r="HG521" s="3"/>
      <c r="HH521" s="3"/>
      <c r="HI521" s="131"/>
      <c r="HJ521" s="15"/>
      <c r="HK521" s="99"/>
      <c r="HL521" s="149"/>
      <c r="HM521" s="134"/>
      <c r="HN521" s="134"/>
      <c r="HO521" s="137"/>
      <c r="HP521" s="150"/>
      <c r="HQ521" s="137"/>
      <c r="HR521" s="137"/>
      <c r="HS521" s="3"/>
      <c r="HT521" s="138"/>
      <c r="HU521" s="2"/>
      <c r="HV521" s="139"/>
      <c r="HW521" s="3"/>
      <c r="HX521" s="3"/>
      <c r="HY521" s="3"/>
      <c r="HZ521" s="3"/>
      <c r="IA521" s="3"/>
      <c r="IB521" s="3"/>
      <c r="IC521" s="3"/>
      <c r="ID521" s="3"/>
      <c r="IE521" s="3"/>
      <c r="IF521" s="3"/>
      <c r="IG521" s="131"/>
      <c r="IH521" s="15"/>
      <c r="II521" s="99"/>
      <c r="IJ521" s="149"/>
      <c r="IK521" s="134"/>
      <c r="IL521" s="134"/>
      <c r="IM521" s="137"/>
      <c r="IN521" s="150"/>
      <c r="IO521" s="137"/>
      <c r="IP521" s="137"/>
      <c r="IQ521" s="3"/>
      <c r="IR521" s="138"/>
      <c r="IS521" s="2"/>
      <c r="IT521" s="139"/>
      <c r="IU521" s="3"/>
      <c r="IV521" s="3"/>
    </row>
    <row r="522" spans="1:256" s="125" customFormat="1" ht="13.5" customHeight="1">
      <c r="A522" s="84">
        <v>43</v>
      </c>
      <c r="B522" s="83">
        <v>43087</v>
      </c>
      <c r="C522" s="18"/>
      <c r="D522" s="19" t="s">
        <v>323</v>
      </c>
      <c r="E522" s="20" t="s">
        <v>330</v>
      </c>
      <c r="F522" s="62" t="s">
        <v>711</v>
      </c>
      <c r="G522" s="63">
        <v>1707</v>
      </c>
      <c r="H522" s="121">
        <v>2440000</v>
      </c>
      <c r="I522" s="24"/>
      <c r="J522" s="24">
        <f t="shared" si="47"/>
        <v>2323809.5238095238</v>
      </c>
      <c r="K522" s="24">
        <f t="shared" si="43"/>
        <v>2323809.5238095238</v>
      </c>
      <c r="L522" s="123">
        <v>1</v>
      </c>
      <c r="M522" s="24">
        <f t="shared" si="44"/>
        <v>2323809.5238095238</v>
      </c>
      <c r="N522" s="129">
        <f t="shared" si="45"/>
        <v>0</v>
      </c>
      <c r="O522" s="85" t="s">
        <v>665</v>
      </c>
      <c r="P522" s="3"/>
      <c r="Q522" s="140"/>
      <c r="R522" s="3"/>
      <c r="S522" s="3"/>
      <c r="T522" s="3"/>
      <c r="U522" s="3"/>
      <c r="V522" s="3"/>
      <c r="W522" s="3"/>
      <c r="X522" s="3"/>
      <c r="Y522" s="131"/>
      <c r="Z522" s="15"/>
      <c r="AA522" s="99"/>
      <c r="AB522" s="149"/>
      <c r="AC522" s="134"/>
      <c r="AD522" s="134"/>
      <c r="AE522" s="137"/>
      <c r="AF522" s="150"/>
      <c r="AG522" s="137"/>
      <c r="AH522" s="137"/>
      <c r="AI522" s="3"/>
      <c r="AJ522" s="138"/>
      <c r="AK522" s="2"/>
      <c r="AL522" s="139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131"/>
      <c r="AX522" s="15"/>
      <c r="AY522" s="99"/>
      <c r="AZ522" s="149"/>
      <c r="BA522" s="134"/>
      <c r="BB522" s="134"/>
      <c r="BC522" s="137"/>
      <c r="BD522" s="150"/>
      <c r="BE522" s="137"/>
      <c r="BF522" s="137"/>
      <c r="BG522" s="3"/>
      <c r="BH522" s="138"/>
      <c r="BI522" s="2"/>
      <c r="BJ522" s="139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131"/>
      <c r="BV522" s="15"/>
      <c r="BW522" s="99"/>
      <c r="BX522" s="149"/>
      <c r="BY522" s="134"/>
      <c r="BZ522" s="134"/>
      <c r="CA522" s="137"/>
      <c r="CB522" s="150"/>
      <c r="CC522" s="137"/>
      <c r="CD522" s="137"/>
      <c r="CE522" s="3"/>
      <c r="CF522" s="138"/>
      <c r="CG522" s="2"/>
      <c r="CH522" s="139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131"/>
      <c r="CT522" s="15"/>
      <c r="CU522" s="99"/>
      <c r="CV522" s="149"/>
      <c r="CW522" s="134"/>
      <c r="CX522" s="134"/>
      <c r="CY522" s="137"/>
      <c r="CZ522" s="150"/>
      <c r="DA522" s="137"/>
      <c r="DB522" s="137"/>
      <c r="DC522" s="3"/>
      <c r="DD522" s="138"/>
      <c r="DE522" s="2"/>
      <c r="DF522" s="139"/>
      <c r="DG522" s="3"/>
      <c r="DH522" s="3"/>
      <c r="DI522" s="3"/>
      <c r="DJ522" s="3"/>
      <c r="DK522" s="3"/>
      <c r="DL522" s="3"/>
      <c r="DM522" s="3"/>
      <c r="DN522" s="3"/>
      <c r="DO522" s="3"/>
      <c r="DP522" s="3"/>
      <c r="DQ522" s="131"/>
      <c r="DR522" s="15"/>
      <c r="DS522" s="99"/>
      <c r="DT522" s="149"/>
      <c r="DU522" s="134"/>
      <c r="DV522" s="134"/>
      <c r="DW522" s="137"/>
      <c r="DX522" s="150"/>
      <c r="DY522" s="137"/>
      <c r="DZ522" s="137"/>
      <c r="EA522" s="3"/>
      <c r="EB522" s="138"/>
      <c r="EC522" s="2"/>
      <c r="ED522" s="139"/>
      <c r="EE522" s="3"/>
      <c r="EF522" s="3"/>
      <c r="EG522" s="3"/>
      <c r="EH522" s="3"/>
      <c r="EI522" s="3"/>
      <c r="EJ522" s="3"/>
      <c r="EK522" s="3"/>
      <c r="EL522" s="3"/>
      <c r="EM522" s="3"/>
      <c r="EN522" s="3"/>
      <c r="EO522" s="131"/>
      <c r="EP522" s="15"/>
      <c r="EQ522" s="99"/>
      <c r="ER522" s="149"/>
      <c r="ES522" s="134"/>
      <c r="ET522" s="134"/>
      <c r="EU522" s="137"/>
      <c r="EV522" s="150"/>
      <c r="EW522" s="137"/>
      <c r="EX522" s="137"/>
      <c r="EY522" s="3"/>
      <c r="EZ522" s="138"/>
      <c r="FA522" s="2"/>
      <c r="FB522" s="139"/>
      <c r="FC522" s="3"/>
      <c r="FD522" s="3"/>
      <c r="FE522" s="3"/>
      <c r="FF522" s="3"/>
      <c r="FG522" s="3"/>
      <c r="FH522" s="3"/>
      <c r="FI522" s="3"/>
      <c r="FJ522" s="3"/>
      <c r="FK522" s="3"/>
      <c r="FL522" s="3"/>
      <c r="FM522" s="131"/>
      <c r="FN522" s="15"/>
      <c r="FO522" s="99"/>
      <c r="FP522" s="149"/>
      <c r="FQ522" s="134"/>
      <c r="FR522" s="134"/>
      <c r="FS522" s="137"/>
      <c r="FT522" s="150"/>
      <c r="FU522" s="137"/>
      <c r="FV522" s="137"/>
      <c r="FW522" s="3"/>
      <c r="FX522" s="138"/>
      <c r="FY522" s="2"/>
      <c r="FZ522" s="139"/>
      <c r="GA522" s="3"/>
      <c r="GB522" s="3"/>
      <c r="GC522" s="3"/>
      <c r="GD522" s="3"/>
      <c r="GE522" s="3"/>
      <c r="GF522" s="3"/>
      <c r="GG522" s="3"/>
      <c r="GH522" s="3"/>
      <c r="GI522" s="3"/>
      <c r="GJ522" s="3"/>
      <c r="GK522" s="131"/>
      <c r="GL522" s="15"/>
      <c r="GM522" s="99"/>
      <c r="GN522" s="149"/>
      <c r="GO522" s="134"/>
      <c r="GP522" s="134"/>
      <c r="GQ522" s="137"/>
      <c r="GR522" s="150"/>
      <c r="GS522" s="137"/>
      <c r="GT522" s="137"/>
      <c r="GU522" s="3"/>
      <c r="GV522" s="138"/>
      <c r="GW522" s="2"/>
      <c r="GX522" s="139"/>
      <c r="GY522" s="3"/>
      <c r="GZ522" s="3"/>
      <c r="HA522" s="3"/>
      <c r="HB522" s="3"/>
      <c r="HC522" s="3"/>
      <c r="HD522" s="3"/>
      <c r="HE522" s="3"/>
      <c r="HF522" s="3"/>
      <c r="HG522" s="3"/>
      <c r="HH522" s="3"/>
      <c r="HI522" s="131"/>
      <c r="HJ522" s="15"/>
      <c r="HK522" s="99"/>
      <c r="HL522" s="149"/>
      <c r="HM522" s="134"/>
      <c r="HN522" s="134"/>
      <c r="HO522" s="137"/>
      <c r="HP522" s="150"/>
      <c r="HQ522" s="137"/>
      <c r="HR522" s="137"/>
      <c r="HS522" s="3"/>
      <c r="HT522" s="138"/>
      <c r="HU522" s="2"/>
      <c r="HV522" s="139"/>
      <c r="HW522" s="3"/>
      <c r="HX522" s="3"/>
      <c r="HY522" s="3"/>
      <c r="HZ522" s="3"/>
      <c r="IA522" s="3"/>
      <c r="IB522" s="3"/>
      <c r="IC522" s="3"/>
      <c r="ID522" s="3"/>
      <c r="IE522" s="3"/>
      <c r="IF522" s="3"/>
      <c r="IG522" s="131"/>
      <c r="IH522" s="15"/>
      <c r="II522" s="99"/>
      <c r="IJ522" s="149"/>
      <c r="IK522" s="134"/>
      <c r="IL522" s="134"/>
      <c r="IM522" s="137"/>
      <c r="IN522" s="150"/>
      <c r="IO522" s="137"/>
      <c r="IP522" s="137"/>
      <c r="IQ522" s="3"/>
      <c r="IR522" s="138"/>
      <c r="IS522" s="2"/>
      <c r="IT522" s="139"/>
      <c r="IU522" s="3"/>
      <c r="IV522" s="3"/>
    </row>
    <row r="523" spans="1:256" s="125" customFormat="1" ht="13.5" customHeight="1">
      <c r="A523" s="84">
        <v>44</v>
      </c>
      <c r="B523" s="56">
        <v>43090</v>
      </c>
      <c r="C523" s="18"/>
      <c r="D523" s="19" t="s">
        <v>323</v>
      </c>
      <c r="E523" s="20" t="s">
        <v>330</v>
      </c>
      <c r="F523" s="82" t="s">
        <v>712</v>
      </c>
      <c r="G523" s="58">
        <v>1708</v>
      </c>
      <c r="H523" s="121">
        <v>2440000</v>
      </c>
      <c r="I523" s="24"/>
      <c r="J523" s="24">
        <f t="shared" si="47"/>
        <v>2323809.5238095238</v>
      </c>
      <c r="K523" s="24">
        <f t="shared" si="43"/>
        <v>2323809.5238095238</v>
      </c>
      <c r="L523" s="123">
        <v>1</v>
      </c>
      <c r="M523" s="24">
        <f t="shared" si="44"/>
        <v>2323809.5238095238</v>
      </c>
      <c r="N523" s="129">
        <f t="shared" si="45"/>
        <v>0</v>
      </c>
      <c r="O523" s="85" t="s">
        <v>665</v>
      </c>
      <c r="P523" s="3"/>
      <c r="Q523" s="140"/>
      <c r="R523" s="3"/>
      <c r="S523" s="3"/>
      <c r="T523" s="3"/>
      <c r="U523" s="3"/>
      <c r="V523" s="3"/>
      <c r="W523" s="3"/>
      <c r="X523" s="3"/>
      <c r="Y523" s="131"/>
      <c r="Z523" s="15"/>
      <c r="AA523" s="99"/>
      <c r="AB523" s="149"/>
      <c r="AC523" s="134"/>
      <c r="AD523" s="134"/>
      <c r="AE523" s="137"/>
      <c r="AF523" s="150"/>
      <c r="AG523" s="137"/>
      <c r="AH523" s="137"/>
      <c r="AI523" s="3"/>
      <c r="AJ523" s="138"/>
      <c r="AK523" s="2"/>
      <c r="AL523" s="139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131"/>
      <c r="AX523" s="15"/>
      <c r="AY523" s="99"/>
      <c r="AZ523" s="149"/>
      <c r="BA523" s="134"/>
      <c r="BB523" s="134"/>
      <c r="BC523" s="137"/>
      <c r="BD523" s="150"/>
      <c r="BE523" s="137"/>
      <c r="BF523" s="137"/>
      <c r="BG523" s="3"/>
      <c r="BH523" s="138"/>
      <c r="BI523" s="2"/>
      <c r="BJ523" s="139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131"/>
      <c r="BV523" s="15"/>
      <c r="BW523" s="99"/>
      <c r="BX523" s="149"/>
      <c r="BY523" s="134"/>
      <c r="BZ523" s="134"/>
      <c r="CA523" s="137"/>
      <c r="CB523" s="150"/>
      <c r="CC523" s="137"/>
      <c r="CD523" s="137"/>
      <c r="CE523" s="3"/>
      <c r="CF523" s="138"/>
      <c r="CG523" s="2"/>
      <c r="CH523" s="139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131"/>
      <c r="CT523" s="15"/>
      <c r="CU523" s="99"/>
      <c r="CV523" s="149"/>
      <c r="CW523" s="134"/>
      <c r="CX523" s="134"/>
      <c r="CY523" s="137"/>
      <c r="CZ523" s="150"/>
      <c r="DA523" s="137"/>
      <c r="DB523" s="137"/>
      <c r="DC523" s="3"/>
      <c r="DD523" s="138"/>
      <c r="DE523" s="2"/>
      <c r="DF523" s="139"/>
      <c r="DG523" s="3"/>
      <c r="DH523" s="3"/>
      <c r="DI523" s="3"/>
      <c r="DJ523" s="3"/>
      <c r="DK523" s="3"/>
      <c r="DL523" s="3"/>
      <c r="DM523" s="3"/>
      <c r="DN523" s="3"/>
      <c r="DO523" s="3"/>
      <c r="DP523" s="3"/>
      <c r="DQ523" s="131"/>
      <c r="DR523" s="15"/>
      <c r="DS523" s="99"/>
      <c r="DT523" s="149"/>
      <c r="DU523" s="134"/>
      <c r="DV523" s="134"/>
      <c r="DW523" s="137"/>
      <c r="DX523" s="150"/>
      <c r="DY523" s="137"/>
      <c r="DZ523" s="137"/>
      <c r="EA523" s="3"/>
      <c r="EB523" s="138"/>
      <c r="EC523" s="2"/>
      <c r="ED523" s="139"/>
      <c r="EE523" s="3"/>
      <c r="EF523" s="3"/>
      <c r="EG523" s="3"/>
      <c r="EH523" s="3"/>
      <c r="EI523" s="3"/>
      <c r="EJ523" s="3"/>
      <c r="EK523" s="3"/>
      <c r="EL523" s="3"/>
      <c r="EM523" s="3"/>
      <c r="EN523" s="3"/>
      <c r="EO523" s="131"/>
      <c r="EP523" s="15"/>
      <c r="EQ523" s="99"/>
      <c r="ER523" s="149"/>
      <c r="ES523" s="134"/>
      <c r="ET523" s="134"/>
      <c r="EU523" s="137"/>
      <c r="EV523" s="150"/>
      <c r="EW523" s="137"/>
      <c r="EX523" s="137"/>
      <c r="EY523" s="3"/>
      <c r="EZ523" s="138"/>
      <c r="FA523" s="2"/>
      <c r="FB523" s="139"/>
      <c r="FC523" s="3"/>
      <c r="FD523" s="3"/>
      <c r="FE523" s="3"/>
      <c r="FF523" s="3"/>
      <c r="FG523" s="3"/>
      <c r="FH523" s="3"/>
      <c r="FI523" s="3"/>
      <c r="FJ523" s="3"/>
      <c r="FK523" s="3"/>
      <c r="FL523" s="3"/>
      <c r="FM523" s="131"/>
      <c r="FN523" s="15"/>
      <c r="FO523" s="99"/>
      <c r="FP523" s="149"/>
      <c r="FQ523" s="134"/>
      <c r="FR523" s="134"/>
      <c r="FS523" s="137"/>
      <c r="FT523" s="150"/>
      <c r="FU523" s="137"/>
      <c r="FV523" s="137"/>
      <c r="FW523" s="3"/>
      <c r="FX523" s="138"/>
      <c r="FY523" s="2"/>
      <c r="FZ523" s="139"/>
      <c r="GA523" s="3"/>
      <c r="GB523" s="3"/>
      <c r="GC523" s="3"/>
      <c r="GD523" s="3"/>
      <c r="GE523" s="3"/>
      <c r="GF523" s="3"/>
      <c r="GG523" s="3"/>
      <c r="GH523" s="3"/>
      <c r="GI523" s="3"/>
      <c r="GJ523" s="3"/>
      <c r="GK523" s="131"/>
      <c r="GL523" s="15"/>
      <c r="GM523" s="99"/>
      <c r="GN523" s="149"/>
      <c r="GO523" s="134"/>
      <c r="GP523" s="134"/>
      <c r="GQ523" s="137"/>
      <c r="GR523" s="150"/>
      <c r="GS523" s="137"/>
      <c r="GT523" s="137"/>
      <c r="GU523" s="3"/>
      <c r="GV523" s="138"/>
      <c r="GW523" s="2"/>
      <c r="GX523" s="139"/>
      <c r="GY523" s="3"/>
      <c r="GZ523" s="3"/>
      <c r="HA523" s="3"/>
      <c r="HB523" s="3"/>
      <c r="HC523" s="3"/>
      <c r="HD523" s="3"/>
      <c r="HE523" s="3"/>
      <c r="HF523" s="3"/>
      <c r="HG523" s="3"/>
      <c r="HH523" s="3"/>
      <c r="HI523" s="131"/>
      <c r="HJ523" s="15"/>
      <c r="HK523" s="99"/>
      <c r="HL523" s="149"/>
      <c r="HM523" s="134"/>
      <c r="HN523" s="134"/>
      <c r="HO523" s="137"/>
      <c r="HP523" s="150"/>
      <c r="HQ523" s="137"/>
      <c r="HR523" s="137"/>
      <c r="HS523" s="3"/>
      <c r="HT523" s="138"/>
      <c r="HU523" s="2"/>
      <c r="HV523" s="139"/>
      <c r="HW523" s="3"/>
      <c r="HX523" s="3"/>
      <c r="HY523" s="3"/>
      <c r="HZ523" s="3"/>
      <c r="IA523" s="3"/>
      <c r="IB523" s="3"/>
      <c r="IC523" s="3"/>
      <c r="ID523" s="3"/>
      <c r="IE523" s="3"/>
      <c r="IF523" s="3"/>
      <c r="IG523" s="131"/>
      <c r="IH523" s="15"/>
      <c r="II523" s="99"/>
      <c r="IJ523" s="149"/>
      <c r="IK523" s="134"/>
      <c r="IL523" s="134"/>
      <c r="IM523" s="137"/>
      <c r="IN523" s="150"/>
      <c r="IO523" s="137"/>
      <c r="IP523" s="137"/>
      <c r="IQ523" s="3"/>
      <c r="IR523" s="138"/>
      <c r="IS523" s="2"/>
      <c r="IT523" s="139"/>
      <c r="IU523" s="3"/>
      <c r="IV523" s="3"/>
    </row>
    <row r="524" spans="1:256" s="125" customFormat="1" ht="13.5" customHeight="1">
      <c r="A524" s="84">
        <v>45</v>
      </c>
      <c r="B524" s="17">
        <v>43095</v>
      </c>
      <c r="C524" s="18"/>
      <c r="D524" s="19" t="s">
        <v>323</v>
      </c>
      <c r="E524" s="20" t="s">
        <v>330</v>
      </c>
      <c r="F524" s="168" t="s">
        <v>713</v>
      </c>
      <c r="G524" s="63">
        <v>1708</v>
      </c>
      <c r="H524" s="121">
        <v>2440000</v>
      </c>
      <c r="I524" s="24"/>
      <c r="J524" s="24">
        <f t="shared" si="47"/>
        <v>2323809.5238095238</v>
      </c>
      <c r="K524" s="24">
        <f t="shared" si="43"/>
        <v>2323809.5238095238</v>
      </c>
      <c r="L524" s="123">
        <v>1</v>
      </c>
      <c r="M524" s="24">
        <f t="shared" si="44"/>
        <v>2323809.5238095238</v>
      </c>
      <c r="N524" s="129">
        <f t="shared" si="45"/>
        <v>0</v>
      </c>
      <c r="O524" s="85" t="s">
        <v>665</v>
      </c>
      <c r="P524" s="3"/>
      <c r="Q524" s="140"/>
      <c r="R524" s="3"/>
      <c r="S524" s="3"/>
      <c r="T524" s="3"/>
      <c r="U524" s="3"/>
      <c r="V524" s="3"/>
      <c r="W524" s="3"/>
      <c r="X524" s="3"/>
      <c r="Y524" s="131"/>
      <c r="Z524" s="15"/>
      <c r="AA524" s="99"/>
      <c r="AB524" s="149"/>
      <c r="AC524" s="134"/>
      <c r="AD524" s="134"/>
      <c r="AE524" s="137"/>
      <c r="AF524" s="150"/>
      <c r="AG524" s="137"/>
      <c r="AH524" s="137"/>
      <c r="AI524" s="3"/>
      <c r="AJ524" s="138"/>
      <c r="AK524" s="2"/>
      <c r="AL524" s="139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131"/>
      <c r="AX524" s="15"/>
      <c r="AY524" s="99"/>
      <c r="AZ524" s="149"/>
      <c r="BA524" s="134"/>
      <c r="BB524" s="134"/>
      <c r="BC524" s="137"/>
      <c r="BD524" s="150"/>
      <c r="BE524" s="137"/>
      <c r="BF524" s="137"/>
      <c r="BG524" s="3"/>
      <c r="BH524" s="138"/>
      <c r="BI524" s="2"/>
      <c r="BJ524" s="139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131"/>
      <c r="BV524" s="15"/>
      <c r="BW524" s="99"/>
      <c r="BX524" s="149"/>
      <c r="BY524" s="134"/>
      <c r="BZ524" s="134"/>
      <c r="CA524" s="137"/>
      <c r="CB524" s="150"/>
      <c r="CC524" s="137"/>
      <c r="CD524" s="137"/>
      <c r="CE524" s="3"/>
      <c r="CF524" s="138"/>
      <c r="CG524" s="2"/>
      <c r="CH524" s="139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131"/>
      <c r="CT524" s="15"/>
      <c r="CU524" s="99"/>
      <c r="CV524" s="149"/>
      <c r="CW524" s="134"/>
      <c r="CX524" s="134"/>
      <c r="CY524" s="137"/>
      <c r="CZ524" s="150"/>
      <c r="DA524" s="137"/>
      <c r="DB524" s="137"/>
      <c r="DC524" s="3"/>
      <c r="DD524" s="138"/>
      <c r="DE524" s="2"/>
      <c r="DF524" s="139"/>
      <c r="DG524" s="3"/>
      <c r="DH524" s="3"/>
      <c r="DI524" s="3"/>
      <c r="DJ524" s="3"/>
      <c r="DK524" s="3"/>
      <c r="DL524" s="3"/>
      <c r="DM524" s="3"/>
      <c r="DN524" s="3"/>
      <c r="DO524" s="3"/>
      <c r="DP524" s="3"/>
      <c r="DQ524" s="131"/>
      <c r="DR524" s="15"/>
      <c r="DS524" s="99"/>
      <c r="DT524" s="149"/>
      <c r="DU524" s="134"/>
      <c r="DV524" s="134"/>
      <c r="DW524" s="137"/>
      <c r="DX524" s="150"/>
      <c r="DY524" s="137"/>
      <c r="DZ524" s="137"/>
      <c r="EA524" s="3"/>
      <c r="EB524" s="138"/>
      <c r="EC524" s="2"/>
      <c r="ED524" s="139"/>
      <c r="EE524" s="3"/>
      <c r="EF524" s="3"/>
      <c r="EG524" s="3"/>
      <c r="EH524" s="3"/>
      <c r="EI524" s="3"/>
      <c r="EJ524" s="3"/>
      <c r="EK524" s="3"/>
      <c r="EL524" s="3"/>
      <c r="EM524" s="3"/>
      <c r="EN524" s="3"/>
      <c r="EO524" s="131"/>
      <c r="EP524" s="15"/>
      <c r="EQ524" s="99"/>
      <c r="ER524" s="149"/>
      <c r="ES524" s="134"/>
      <c r="ET524" s="134"/>
      <c r="EU524" s="137"/>
      <c r="EV524" s="150"/>
      <c r="EW524" s="137"/>
      <c r="EX524" s="137"/>
      <c r="EY524" s="3"/>
      <c r="EZ524" s="138"/>
      <c r="FA524" s="2"/>
      <c r="FB524" s="139"/>
      <c r="FC524" s="3"/>
      <c r="FD524" s="3"/>
      <c r="FE524" s="3"/>
      <c r="FF524" s="3"/>
      <c r="FG524" s="3"/>
      <c r="FH524" s="3"/>
      <c r="FI524" s="3"/>
      <c r="FJ524" s="3"/>
      <c r="FK524" s="3"/>
      <c r="FL524" s="3"/>
      <c r="FM524" s="131"/>
      <c r="FN524" s="15"/>
      <c r="FO524" s="99"/>
      <c r="FP524" s="149"/>
      <c r="FQ524" s="134"/>
      <c r="FR524" s="134"/>
      <c r="FS524" s="137"/>
      <c r="FT524" s="150"/>
      <c r="FU524" s="137"/>
      <c r="FV524" s="137"/>
      <c r="FW524" s="3"/>
      <c r="FX524" s="138"/>
      <c r="FY524" s="2"/>
      <c r="FZ524" s="139"/>
      <c r="GA524" s="3"/>
      <c r="GB524" s="3"/>
      <c r="GC524" s="3"/>
      <c r="GD524" s="3"/>
      <c r="GE524" s="3"/>
      <c r="GF524" s="3"/>
      <c r="GG524" s="3"/>
      <c r="GH524" s="3"/>
      <c r="GI524" s="3"/>
      <c r="GJ524" s="3"/>
      <c r="GK524" s="131"/>
      <c r="GL524" s="15"/>
      <c r="GM524" s="99"/>
      <c r="GN524" s="149"/>
      <c r="GO524" s="134"/>
      <c r="GP524" s="134"/>
      <c r="GQ524" s="137"/>
      <c r="GR524" s="150"/>
      <c r="GS524" s="137"/>
      <c r="GT524" s="137"/>
      <c r="GU524" s="3"/>
      <c r="GV524" s="138"/>
      <c r="GW524" s="2"/>
      <c r="GX524" s="139"/>
      <c r="GY524" s="3"/>
      <c r="GZ524" s="3"/>
      <c r="HA524" s="3"/>
      <c r="HB524" s="3"/>
      <c r="HC524" s="3"/>
      <c r="HD524" s="3"/>
      <c r="HE524" s="3"/>
      <c r="HF524" s="3"/>
      <c r="HG524" s="3"/>
      <c r="HH524" s="3"/>
      <c r="HI524" s="131"/>
      <c r="HJ524" s="15"/>
      <c r="HK524" s="99"/>
      <c r="HL524" s="149"/>
      <c r="HM524" s="134"/>
      <c r="HN524" s="134"/>
      <c r="HO524" s="137"/>
      <c r="HP524" s="150"/>
      <c r="HQ524" s="137"/>
      <c r="HR524" s="137"/>
      <c r="HS524" s="3"/>
      <c r="HT524" s="138"/>
      <c r="HU524" s="2"/>
      <c r="HV524" s="139"/>
      <c r="HW524" s="3"/>
      <c r="HX524" s="3"/>
      <c r="HY524" s="3"/>
      <c r="HZ524" s="3"/>
      <c r="IA524" s="3"/>
      <c r="IB524" s="3"/>
      <c r="IC524" s="3"/>
      <c r="ID524" s="3"/>
      <c r="IE524" s="3"/>
      <c r="IF524" s="3"/>
      <c r="IG524" s="131"/>
      <c r="IH524" s="15"/>
      <c r="II524" s="99"/>
      <c r="IJ524" s="149"/>
      <c r="IK524" s="134"/>
      <c r="IL524" s="134"/>
      <c r="IM524" s="137"/>
      <c r="IN524" s="150"/>
      <c r="IO524" s="137"/>
      <c r="IP524" s="137"/>
      <c r="IQ524" s="3"/>
      <c r="IR524" s="138"/>
      <c r="IS524" s="2"/>
      <c r="IT524" s="139"/>
      <c r="IU524" s="3"/>
      <c r="IV524" s="3"/>
    </row>
    <row r="525" spans="1:256" s="125" customFormat="1" ht="13.5" customHeight="1">
      <c r="A525" s="84">
        <v>46</v>
      </c>
      <c r="B525" s="29">
        <v>43006</v>
      </c>
      <c r="C525" s="18"/>
      <c r="D525" s="19" t="s">
        <v>323</v>
      </c>
      <c r="E525" s="20" t="s">
        <v>341</v>
      </c>
      <c r="F525" s="82" t="s">
        <v>714</v>
      </c>
      <c r="G525" s="58">
        <v>1707</v>
      </c>
      <c r="H525" s="121">
        <v>2641000</v>
      </c>
      <c r="I525" s="24">
        <v>2515238</v>
      </c>
      <c r="J525" s="24"/>
      <c r="K525" s="24">
        <f t="shared" si="43"/>
        <v>2515238</v>
      </c>
      <c r="L525" s="123">
        <v>1</v>
      </c>
      <c r="M525" s="24">
        <f t="shared" si="44"/>
        <v>2515238</v>
      </c>
      <c r="N525" s="129">
        <f t="shared" si="45"/>
        <v>0</v>
      </c>
      <c r="O525" s="85" t="s">
        <v>665</v>
      </c>
      <c r="P525" s="3"/>
      <c r="Q525" s="140"/>
      <c r="R525" s="3"/>
      <c r="S525" s="3"/>
      <c r="T525" s="3"/>
      <c r="U525" s="3"/>
      <c r="V525" s="3"/>
      <c r="W525" s="3"/>
      <c r="X525" s="3"/>
      <c r="Y525" s="131"/>
      <c r="Z525" s="15"/>
      <c r="AA525" s="99"/>
      <c r="AB525" s="149"/>
      <c r="AC525" s="134"/>
      <c r="AD525" s="134"/>
      <c r="AE525" s="137"/>
      <c r="AF525" s="150"/>
      <c r="AG525" s="137"/>
      <c r="AH525" s="137"/>
      <c r="AI525" s="3"/>
      <c r="AJ525" s="138"/>
      <c r="AK525" s="2"/>
      <c r="AL525" s="139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131"/>
      <c r="AX525" s="15"/>
      <c r="AY525" s="99"/>
      <c r="AZ525" s="149"/>
      <c r="BA525" s="134"/>
      <c r="BB525" s="134"/>
      <c r="BC525" s="137"/>
      <c r="BD525" s="150"/>
      <c r="BE525" s="137"/>
      <c r="BF525" s="137"/>
      <c r="BG525" s="3"/>
      <c r="BH525" s="138"/>
      <c r="BI525" s="2"/>
      <c r="BJ525" s="139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131"/>
      <c r="BV525" s="15"/>
      <c r="BW525" s="99"/>
      <c r="BX525" s="149"/>
      <c r="BY525" s="134"/>
      <c r="BZ525" s="134"/>
      <c r="CA525" s="137"/>
      <c r="CB525" s="150"/>
      <c r="CC525" s="137"/>
      <c r="CD525" s="137"/>
      <c r="CE525" s="3"/>
      <c r="CF525" s="138"/>
      <c r="CG525" s="2"/>
      <c r="CH525" s="139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131"/>
      <c r="CT525" s="15"/>
      <c r="CU525" s="99"/>
      <c r="CV525" s="149"/>
      <c r="CW525" s="134"/>
      <c r="CX525" s="134"/>
      <c r="CY525" s="137"/>
      <c r="CZ525" s="150"/>
      <c r="DA525" s="137"/>
      <c r="DB525" s="137"/>
      <c r="DC525" s="3"/>
      <c r="DD525" s="138"/>
      <c r="DE525" s="2"/>
      <c r="DF525" s="139"/>
      <c r="DG525" s="3"/>
      <c r="DH525" s="3"/>
      <c r="DI525" s="3"/>
      <c r="DJ525" s="3"/>
      <c r="DK525" s="3"/>
      <c r="DL525" s="3"/>
      <c r="DM525" s="3"/>
      <c r="DN525" s="3"/>
      <c r="DO525" s="3"/>
      <c r="DP525" s="3"/>
      <c r="DQ525" s="131"/>
      <c r="DR525" s="15"/>
      <c r="DS525" s="99"/>
      <c r="DT525" s="149"/>
      <c r="DU525" s="134"/>
      <c r="DV525" s="134"/>
      <c r="DW525" s="137"/>
      <c r="DX525" s="150"/>
      <c r="DY525" s="137"/>
      <c r="DZ525" s="137"/>
      <c r="EA525" s="3"/>
      <c r="EB525" s="138"/>
      <c r="EC525" s="2"/>
      <c r="ED525" s="139"/>
      <c r="EE525" s="3"/>
      <c r="EF525" s="3"/>
      <c r="EG525" s="3"/>
      <c r="EH525" s="3"/>
      <c r="EI525" s="3"/>
      <c r="EJ525" s="3"/>
      <c r="EK525" s="3"/>
      <c r="EL525" s="3"/>
      <c r="EM525" s="3"/>
      <c r="EN525" s="3"/>
      <c r="EO525" s="131"/>
      <c r="EP525" s="15"/>
      <c r="EQ525" s="99"/>
      <c r="ER525" s="149"/>
      <c r="ES525" s="134"/>
      <c r="ET525" s="134"/>
      <c r="EU525" s="137"/>
      <c r="EV525" s="150"/>
      <c r="EW525" s="137"/>
      <c r="EX525" s="137"/>
      <c r="EY525" s="3"/>
      <c r="EZ525" s="138"/>
      <c r="FA525" s="2"/>
      <c r="FB525" s="139"/>
      <c r="FC525" s="3"/>
      <c r="FD525" s="3"/>
      <c r="FE525" s="3"/>
      <c r="FF525" s="3"/>
      <c r="FG525" s="3"/>
      <c r="FH525" s="3"/>
      <c r="FI525" s="3"/>
      <c r="FJ525" s="3"/>
      <c r="FK525" s="3"/>
      <c r="FL525" s="3"/>
      <c r="FM525" s="131"/>
      <c r="FN525" s="15"/>
      <c r="FO525" s="99"/>
      <c r="FP525" s="149"/>
      <c r="FQ525" s="134"/>
      <c r="FR525" s="134"/>
      <c r="FS525" s="137"/>
      <c r="FT525" s="150"/>
      <c r="FU525" s="137"/>
      <c r="FV525" s="137"/>
      <c r="FW525" s="3"/>
      <c r="FX525" s="138"/>
      <c r="FY525" s="2"/>
      <c r="FZ525" s="139"/>
      <c r="GA525" s="3"/>
      <c r="GB525" s="3"/>
      <c r="GC525" s="3"/>
      <c r="GD525" s="3"/>
      <c r="GE525" s="3"/>
      <c r="GF525" s="3"/>
      <c r="GG525" s="3"/>
      <c r="GH525" s="3"/>
      <c r="GI525" s="3"/>
      <c r="GJ525" s="3"/>
      <c r="GK525" s="131"/>
      <c r="GL525" s="15"/>
      <c r="GM525" s="99"/>
      <c r="GN525" s="149"/>
      <c r="GO525" s="134"/>
      <c r="GP525" s="134"/>
      <c r="GQ525" s="137"/>
      <c r="GR525" s="150"/>
      <c r="GS525" s="137"/>
      <c r="GT525" s="137"/>
      <c r="GU525" s="3"/>
      <c r="GV525" s="138"/>
      <c r="GW525" s="2"/>
      <c r="GX525" s="139"/>
      <c r="GY525" s="3"/>
      <c r="GZ525" s="3"/>
      <c r="HA525" s="3"/>
      <c r="HB525" s="3"/>
      <c r="HC525" s="3"/>
      <c r="HD525" s="3"/>
      <c r="HE525" s="3"/>
      <c r="HF525" s="3"/>
      <c r="HG525" s="3"/>
      <c r="HH525" s="3"/>
      <c r="HI525" s="131"/>
      <c r="HJ525" s="15"/>
      <c r="HK525" s="99"/>
      <c r="HL525" s="149"/>
      <c r="HM525" s="134"/>
      <c r="HN525" s="134"/>
      <c r="HO525" s="137"/>
      <c r="HP525" s="150"/>
      <c r="HQ525" s="137"/>
      <c r="HR525" s="137"/>
      <c r="HS525" s="3"/>
      <c r="HT525" s="138"/>
      <c r="HU525" s="2"/>
      <c r="HV525" s="139"/>
      <c r="HW525" s="3"/>
      <c r="HX525" s="3"/>
      <c r="HY525" s="3"/>
      <c r="HZ525" s="3"/>
      <c r="IA525" s="3"/>
      <c r="IB525" s="3"/>
      <c r="IC525" s="3"/>
      <c r="ID525" s="3"/>
      <c r="IE525" s="3"/>
      <c r="IF525" s="3"/>
      <c r="IG525" s="131"/>
      <c r="IH525" s="15"/>
      <c r="II525" s="99"/>
      <c r="IJ525" s="149"/>
      <c r="IK525" s="134"/>
      <c r="IL525" s="134"/>
      <c r="IM525" s="137"/>
      <c r="IN525" s="150"/>
      <c r="IO525" s="137"/>
      <c r="IP525" s="137"/>
      <c r="IQ525" s="3"/>
      <c r="IR525" s="138"/>
      <c r="IS525" s="2"/>
      <c r="IT525" s="139"/>
      <c r="IU525" s="3"/>
      <c r="IV525" s="3"/>
    </row>
    <row r="526" spans="1:256" s="125" customFormat="1" ht="13.5" customHeight="1">
      <c r="A526" s="84">
        <v>47</v>
      </c>
      <c r="B526" s="60">
        <v>43090</v>
      </c>
      <c r="C526" s="18" t="s">
        <v>647</v>
      </c>
      <c r="D526" s="19" t="s">
        <v>323</v>
      </c>
      <c r="E526" s="20" t="s">
        <v>582</v>
      </c>
      <c r="F526" s="168" t="s">
        <v>715</v>
      </c>
      <c r="G526" s="63">
        <v>1705</v>
      </c>
      <c r="H526" s="121">
        <f>2820000+14800</f>
        <v>2834800</v>
      </c>
      <c r="I526" s="24"/>
      <c r="J526" s="24">
        <f t="shared" ref="J526:J532" si="48">SUM(H526)/1.05</f>
        <v>2699809.5238095238</v>
      </c>
      <c r="K526" s="24">
        <f t="shared" si="43"/>
        <v>2699809.5238095238</v>
      </c>
      <c r="L526" s="123">
        <v>1</v>
      </c>
      <c r="M526" s="24">
        <f t="shared" si="44"/>
        <v>2699809.5238095238</v>
      </c>
      <c r="N526" s="124">
        <f t="shared" si="45"/>
        <v>0</v>
      </c>
      <c r="O526" s="85" t="s">
        <v>665</v>
      </c>
      <c r="P526" s="3"/>
      <c r="Q526" s="140"/>
      <c r="R526" s="3"/>
      <c r="S526" s="3"/>
      <c r="T526" s="3"/>
      <c r="U526" s="3"/>
      <c r="V526" s="3"/>
      <c r="W526" s="3"/>
      <c r="X526" s="3"/>
      <c r="Y526" s="131"/>
      <c r="Z526" s="15"/>
      <c r="AA526" s="99"/>
      <c r="AB526" s="149"/>
      <c r="AC526" s="134"/>
      <c r="AD526" s="134"/>
      <c r="AE526" s="137"/>
      <c r="AF526" s="150"/>
      <c r="AG526" s="137"/>
      <c r="AH526" s="137"/>
      <c r="AI526" s="3"/>
      <c r="AJ526" s="138"/>
      <c r="AK526" s="2"/>
      <c r="AL526" s="139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131"/>
      <c r="AX526" s="15"/>
      <c r="AY526" s="99"/>
      <c r="AZ526" s="149"/>
      <c r="BA526" s="134"/>
      <c r="BB526" s="134"/>
      <c r="BC526" s="137"/>
      <c r="BD526" s="150"/>
      <c r="BE526" s="137"/>
      <c r="BF526" s="137"/>
      <c r="BG526" s="3"/>
      <c r="BH526" s="138"/>
      <c r="BI526" s="2"/>
      <c r="BJ526" s="139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131"/>
      <c r="BV526" s="15"/>
      <c r="BW526" s="99"/>
      <c r="BX526" s="149"/>
      <c r="BY526" s="134"/>
      <c r="BZ526" s="134"/>
      <c r="CA526" s="137"/>
      <c r="CB526" s="150"/>
      <c r="CC526" s="137"/>
      <c r="CD526" s="137"/>
      <c r="CE526" s="3"/>
      <c r="CF526" s="138"/>
      <c r="CG526" s="2"/>
      <c r="CH526" s="139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131"/>
      <c r="CT526" s="15"/>
      <c r="CU526" s="99"/>
      <c r="CV526" s="149"/>
      <c r="CW526" s="134"/>
      <c r="CX526" s="134"/>
      <c r="CY526" s="137"/>
      <c r="CZ526" s="150"/>
      <c r="DA526" s="137"/>
      <c r="DB526" s="137"/>
      <c r="DC526" s="3"/>
      <c r="DD526" s="138"/>
      <c r="DE526" s="2"/>
      <c r="DF526" s="139"/>
      <c r="DG526" s="3"/>
      <c r="DH526" s="3"/>
      <c r="DI526" s="3"/>
      <c r="DJ526" s="3"/>
      <c r="DK526" s="3"/>
      <c r="DL526" s="3"/>
      <c r="DM526" s="3"/>
      <c r="DN526" s="3"/>
      <c r="DO526" s="3"/>
      <c r="DP526" s="3"/>
      <c r="DQ526" s="131"/>
      <c r="DR526" s="15"/>
      <c r="DS526" s="99"/>
      <c r="DT526" s="149"/>
      <c r="DU526" s="134"/>
      <c r="DV526" s="134"/>
      <c r="DW526" s="137"/>
      <c r="DX526" s="150"/>
      <c r="DY526" s="137"/>
      <c r="DZ526" s="137"/>
      <c r="EA526" s="3"/>
      <c r="EB526" s="138"/>
      <c r="EC526" s="2"/>
      <c r="ED526" s="139"/>
      <c r="EE526" s="3"/>
      <c r="EF526" s="3"/>
      <c r="EG526" s="3"/>
      <c r="EH526" s="3"/>
      <c r="EI526" s="3"/>
      <c r="EJ526" s="3"/>
      <c r="EK526" s="3"/>
      <c r="EL526" s="3"/>
      <c r="EM526" s="3"/>
      <c r="EN526" s="3"/>
      <c r="EO526" s="131"/>
      <c r="EP526" s="15"/>
      <c r="EQ526" s="99"/>
      <c r="ER526" s="149"/>
      <c r="ES526" s="134"/>
      <c r="ET526" s="134"/>
      <c r="EU526" s="137"/>
      <c r="EV526" s="150"/>
      <c r="EW526" s="137"/>
      <c r="EX526" s="137"/>
      <c r="EY526" s="3"/>
      <c r="EZ526" s="138"/>
      <c r="FA526" s="2"/>
      <c r="FB526" s="139"/>
      <c r="FC526" s="3"/>
      <c r="FD526" s="3"/>
      <c r="FE526" s="3"/>
      <c r="FF526" s="3"/>
      <c r="FG526" s="3"/>
      <c r="FH526" s="3"/>
      <c r="FI526" s="3"/>
      <c r="FJ526" s="3"/>
      <c r="FK526" s="3"/>
      <c r="FL526" s="3"/>
      <c r="FM526" s="131"/>
      <c r="FN526" s="15"/>
      <c r="FO526" s="99"/>
      <c r="FP526" s="149"/>
      <c r="FQ526" s="134"/>
      <c r="FR526" s="134"/>
      <c r="FS526" s="137"/>
      <c r="FT526" s="150"/>
      <c r="FU526" s="137"/>
      <c r="FV526" s="137"/>
      <c r="FW526" s="3"/>
      <c r="FX526" s="138"/>
      <c r="FY526" s="2"/>
      <c r="FZ526" s="139"/>
      <c r="GA526" s="3"/>
      <c r="GB526" s="3"/>
      <c r="GC526" s="3"/>
      <c r="GD526" s="3"/>
      <c r="GE526" s="3"/>
      <c r="GF526" s="3"/>
      <c r="GG526" s="3"/>
      <c r="GH526" s="3"/>
      <c r="GI526" s="3"/>
      <c r="GJ526" s="3"/>
      <c r="GK526" s="131"/>
      <c r="GL526" s="15"/>
      <c r="GM526" s="99"/>
      <c r="GN526" s="149"/>
      <c r="GO526" s="134"/>
      <c r="GP526" s="134"/>
      <c r="GQ526" s="137"/>
      <c r="GR526" s="150"/>
      <c r="GS526" s="137"/>
      <c r="GT526" s="137"/>
      <c r="GU526" s="3"/>
      <c r="GV526" s="138"/>
      <c r="GW526" s="2"/>
      <c r="GX526" s="139"/>
      <c r="GY526" s="3"/>
      <c r="GZ526" s="3"/>
      <c r="HA526" s="3"/>
      <c r="HB526" s="3"/>
      <c r="HC526" s="3"/>
      <c r="HD526" s="3"/>
      <c r="HE526" s="3"/>
      <c r="HF526" s="3"/>
      <c r="HG526" s="3"/>
      <c r="HH526" s="3"/>
      <c r="HI526" s="131"/>
      <c r="HJ526" s="15"/>
      <c r="HK526" s="99"/>
      <c r="HL526" s="149"/>
      <c r="HM526" s="134"/>
      <c r="HN526" s="134"/>
      <c r="HO526" s="137"/>
      <c r="HP526" s="150"/>
      <c r="HQ526" s="137"/>
      <c r="HR526" s="137"/>
      <c r="HS526" s="3"/>
      <c r="HT526" s="138"/>
      <c r="HU526" s="2"/>
      <c r="HV526" s="139"/>
      <c r="HW526" s="3"/>
      <c r="HX526" s="3"/>
      <c r="HY526" s="3"/>
      <c r="HZ526" s="3"/>
      <c r="IA526" s="3"/>
      <c r="IB526" s="3"/>
      <c r="IC526" s="3"/>
      <c r="ID526" s="3"/>
      <c r="IE526" s="3"/>
      <c r="IF526" s="3"/>
      <c r="IG526" s="131"/>
      <c r="IH526" s="15"/>
      <c r="II526" s="99"/>
      <c r="IJ526" s="149"/>
      <c r="IK526" s="134"/>
      <c r="IL526" s="134"/>
      <c r="IM526" s="137"/>
      <c r="IN526" s="150"/>
      <c r="IO526" s="137"/>
      <c r="IP526" s="137"/>
      <c r="IQ526" s="3"/>
      <c r="IR526" s="138"/>
      <c r="IS526" s="2"/>
      <c r="IT526" s="139"/>
      <c r="IU526" s="3"/>
      <c r="IV526" s="3"/>
    </row>
    <row r="527" spans="1:256" s="125" customFormat="1" ht="13.5" customHeight="1">
      <c r="A527" s="84">
        <v>48</v>
      </c>
      <c r="B527" s="60">
        <v>43089</v>
      </c>
      <c r="C527" s="18" t="s">
        <v>716</v>
      </c>
      <c r="D527" s="19" t="s">
        <v>323</v>
      </c>
      <c r="E527" s="20" t="s">
        <v>717</v>
      </c>
      <c r="F527" s="168" t="s">
        <v>718</v>
      </c>
      <c r="G527" s="63">
        <v>1705</v>
      </c>
      <c r="H527" s="121">
        <f>3000000+15750</f>
        <v>3015750</v>
      </c>
      <c r="I527" s="24"/>
      <c r="J527" s="24">
        <f t="shared" si="48"/>
        <v>2872142.8571428568</v>
      </c>
      <c r="K527" s="24">
        <f t="shared" si="43"/>
        <v>2872142.8571428568</v>
      </c>
      <c r="L527" s="123">
        <v>1</v>
      </c>
      <c r="M527" s="24">
        <f t="shared" si="44"/>
        <v>2872142.8571428568</v>
      </c>
      <c r="N527" s="124">
        <f t="shared" si="45"/>
        <v>0</v>
      </c>
      <c r="O527" s="85" t="s">
        <v>665</v>
      </c>
      <c r="P527" s="3"/>
      <c r="Q527" s="140"/>
      <c r="R527" s="3"/>
      <c r="S527" s="3"/>
      <c r="T527" s="3"/>
      <c r="U527" s="3"/>
      <c r="V527" s="3"/>
      <c r="W527" s="3"/>
      <c r="X527" s="3"/>
      <c r="Y527" s="131"/>
      <c r="Z527" s="15"/>
      <c r="AA527" s="99"/>
      <c r="AB527" s="149"/>
      <c r="AC527" s="134"/>
      <c r="AD527" s="134"/>
      <c r="AE527" s="137"/>
      <c r="AF527" s="150"/>
      <c r="AG527" s="137"/>
      <c r="AH527" s="137"/>
      <c r="AI527" s="3"/>
      <c r="AJ527" s="138"/>
      <c r="AK527" s="2"/>
      <c r="AL527" s="139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131"/>
      <c r="AX527" s="15"/>
      <c r="AY527" s="99"/>
      <c r="AZ527" s="149"/>
      <c r="BA527" s="134"/>
      <c r="BB527" s="134"/>
      <c r="BC527" s="137"/>
      <c r="BD527" s="150"/>
      <c r="BE527" s="137"/>
      <c r="BF527" s="137"/>
      <c r="BG527" s="3"/>
      <c r="BH527" s="138"/>
      <c r="BI527" s="2"/>
      <c r="BJ527" s="139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131"/>
      <c r="BV527" s="15"/>
      <c r="BW527" s="99"/>
      <c r="BX527" s="149"/>
      <c r="BY527" s="134"/>
      <c r="BZ527" s="134"/>
      <c r="CA527" s="137"/>
      <c r="CB527" s="150"/>
      <c r="CC527" s="137"/>
      <c r="CD527" s="137"/>
      <c r="CE527" s="3"/>
      <c r="CF527" s="138"/>
      <c r="CG527" s="2"/>
      <c r="CH527" s="139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131"/>
      <c r="CT527" s="15"/>
      <c r="CU527" s="99"/>
      <c r="CV527" s="149"/>
      <c r="CW527" s="134"/>
      <c r="CX527" s="134"/>
      <c r="CY527" s="137"/>
      <c r="CZ527" s="150"/>
      <c r="DA527" s="137"/>
      <c r="DB527" s="137"/>
      <c r="DC527" s="3"/>
      <c r="DD527" s="138"/>
      <c r="DE527" s="2"/>
      <c r="DF527" s="139"/>
      <c r="DG527" s="3"/>
      <c r="DH527" s="3"/>
      <c r="DI527" s="3"/>
      <c r="DJ527" s="3"/>
      <c r="DK527" s="3"/>
      <c r="DL527" s="3"/>
      <c r="DM527" s="3"/>
      <c r="DN527" s="3"/>
      <c r="DO527" s="3"/>
      <c r="DP527" s="3"/>
      <c r="DQ527" s="131"/>
      <c r="DR527" s="15"/>
      <c r="DS527" s="99"/>
      <c r="DT527" s="149"/>
      <c r="DU527" s="134"/>
      <c r="DV527" s="134"/>
      <c r="DW527" s="137"/>
      <c r="DX527" s="150"/>
      <c r="DY527" s="137"/>
      <c r="DZ527" s="137"/>
      <c r="EA527" s="3"/>
      <c r="EB527" s="138"/>
      <c r="EC527" s="2"/>
      <c r="ED527" s="139"/>
      <c r="EE527" s="3"/>
      <c r="EF527" s="3"/>
      <c r="EG527" s="3"/>
      <c r="EH527" s="3"/>
      <c r="EI527" s="3"/>
      <c r="EJ527" s="3"/>
      <c r="EK527" s="3"/>
      <c r="EL527" s="3"/>
      <c r="EM527" s="3"/>
      <c r="EN527" s="3"/>
      <c r="EO527" s="131"/>
      <c r="EP527" s="15"/>
      <c r="EQ527" s="99"/>
      <c r="ER527" s="149"/>
      <c r="ES527" s="134"/>
      <c r="ET527" s="134"/>
      <c r="EU527" s="137"/>
      <c r="EV527" s="150"/>
      <c r="EW527" s="137"/>
      <c r="EX527" s="137"/>
      <c r="EY527" s="3"/>
      <c r="EZ527" s="138"/>
      <c r="FA527" s="2"/>
      <c r="FB527" s="139"/>
      <c r="FC527" s="3"/>
      <c r="FD527" s="3"/>
      <c r="FE527" s="3"/>
      <c r="FF527" s="3"/>
      <c r="FG527" s="3"/>
      <c r="FH527" s="3"/>
      <c r="FI527" s="3"/>
      <c r="FJ527" s="3"/>
      <c r="FK527" s="3"/>
      <c r="FL527" s="3"/>
      <c r="FM527" s="131"/>
      <c r="FN527" s="15"/>
      <c r="FO527" s="99"/>
      <c r="FP527" s="149"/>
      <c r="FQ527" s="134"/>
      <c r="FR527" s="134"/>
      <c r="FS527" s="137"/>
      <c r="FT527" s="150"/>
      <c r="FU527" s="137"/>
      <c r="FV527" s="137"/>
      <c r="FW527" s="3"/>
      <c r="FX527" s="138"/>
      <c r="FY527" s="2"/>
      <c r="FZ527" s="139"/>
      <c r="GA527" s="3"/>
      <c r="GB527" s="3"/>
      <c r="GC527" s="3"/>
      <c r="GD527" s="3"/>
      <c r="GE527" s="3"/>
      <c r="GF527" s="3"/>
      <c r="GG527" s="3"/>
      <c r="GH527" s="3"/>
      <c r="GI527" s="3"/>
      <c r="GJ527" s="3"/>
      <c r="GK527" s="131"/>
      <c r="GL527" s="15"/>
      <c r="GM527" s="99"/>
      <c r="GN527" s="149"/>
      <c r="GO527" s="134"/>
      <c r="GP527" s="134"/>
      <c r="GQ527" s="137"/>
      <c r="GR527" s="150"/>
      <c r="GS527" s="137"/>
      <c r="GT527" s="137"/>
      <c r="GU527" s="3"/>
      <c r="GV527" s="138"/>
      <c r="GW527" s="2"/>
      <c r="GX527" s="139"/>
      <c r="GY527" s="3"/>
      <c r="GZ527" s="3"/>
      <c r="HA527" s="3"/>
      <c r="HB527" s="3"/>
      <c r="HC527" s="3"/>
      <c r="HD527" s="3"/>
      <c r="HE527" s="3"/>
      <c r="HF527" s="3"/>
      <c r="HG527" s="3"/>
      <c r="HH527" s="3"/>
      <c r="HI527" s="131"/>
      <c r="HJ527" s="15"/>
      <c r="HK527" s="99"/>
      <c r="HL527" s="149"/>
      <c r="HM527" s="134"/>
      <c r="HN527" s="134"/>
      <c r="HO527" s="137"/>
      <c r="HP527" s="150"/>
      <c r="HQ527" s="137"/>
      <c r="HR527" s="137"/>
      <c r="HS527" s="3"/>
      <c r="HT527" s="138"/>
      <c r="HU527" s="2"/>
      <c r="HV527" s="139"/>
      <c r="HW527" s="3"/>
      <c r="HX527" s="3"/>
      <c r="HY527" s="3"/>
      <c r="HZ527" s="3"/>
      <c r="IA527" s="3"/>
      <c r="IB527" s="3"/>
      <c r="IC527" s="3"/>
      <c r="ID527" s="3"/>
      <c r="IE527" s="3"/>
      <c r="IF527" s="3"/>
      <c r="IG527" s="131"/>
      <c r="IH527" s="15"/>
      <c r="II527" s="99"/>
      <c r="IJ527" s="149"/>
      <c r="IK527" s="134"/>
      <c r="IL527" s="134"/>
      <c r="IM527" s="137"/>
      <c r="IN527" s="150"/>
      <c r="IO527" s="137"/>
      <c r="IP527" s="137"/>
      <c r="IQ527" s="3"/>
      <c r="IR527" s="138"/>
      <c r="IS527" s="2"/>
      <c r="IT527" s="139"/>
      <c r="IU527" s="3"/>
      <c r="IV527" s="3"/>
    </row>
    <row r="528" spans="1:256" s="125" customFormat="1" ht="13.5" customHeight="1">
      <c r="A528" s="84">
        <v>49</v>
      </c>
      <c r="B528" s="17">
        <v>43073</v>
      </c>
      <c r="C528" s="18"/>
      <c r="D528" s="19" t="s">
        <v>323</v>
      </c>
      <c r="E528" s="20" t="s">
        <v>353</v>
      </c>
      <c r="F528" s="82" t="s">
        <v>719</v>
      </c>
      <c r="G528" s="58">
        <v>1705</v>
      </c>
      <c r="H528" s="121">
        <v>3000000</v>
      </c>
      <c r="I528" s="24"/>
      <c r="J528" s="24">
        <f t="shared" si="48"/>
        <v>2857142.8571428568</v>
      </c>
      <c r="K528" s="24">
        <f t="shared" si="43"/>
        <v>2857142.8571428568</v>
      </c>
      <c r="L528" s="123">
        <v>1</v>
      </c>
      <c r="M528" s="24">
        <f t="shared" si="44"/>
        <v>2857142.8571428568</v>
      </c>
      <c r="N528" s="124">
        <f t="shared" si="45"/>
        <v>0</v>
      </c>
      <c r="O528" s="85" t="s">
        <v>665</v>
      </c>
      <c r="P528" s="3"/>
      <c r="Q528" s="140"/>
      <c r="R528" s="3"/>
      <c r="S528" s="3"/>
      <c r="T528" s="3"/>
      <c r="U528" s="3"/>
      <c r="V528" s="3"/>
      <c r="W528" s="3"/>
      <c r="X528" s="3"/>
      <c r="Y528" s="131"/>
      <c r="Z528" s="15"/>
      <c r="AA528" s="99"/>
      <c r="AB528" s="149"/>
      <c r="AC528" s="134"/>
      <c r="AD528" s="134"/>
      <c r="AE528" s="137"/>
      <c r="AF528" s="150"/>
      <c r="AG528" s="137"/>
      <c r="AH528" s="137"/>
      <c r="AI528" s="3"/>
      <c r="AJ528" s="138"/>
      <c r="AK528" s="2"/>
      <c r="AL528" s="139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131"/>
      <c r="AX528" s="15"/>
      <c r="AY528" s="99"/>
      <c r="AZ528" s="149"/>
      <c r="BA528" s="134"/>
      <c r="BB528" s="134"/>
      <c r="BC528" s="137"/>
      <c r="BD528" s="150"/>
      <c r="BE528" s="137"/>
      <c r="BF528" s="137"/>
      <c r="BG528" s="3"/>
      <c r="BH528" s="138"/>
      <c r="BI528" s="2"/>
      <c r="BJ528" s="139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131"/>
      <c r="BV528" s="15"/>
      <c r="BW528" s="99"/>
      <c r="BX528" s="149"/>
      <c r="BY528" s="134"/>
      <c r="BZ528" s="134"/>
      <c r="CA528" s="137"/>
      <c r="CB528" s="150"/>
      <c r="CC528" s="137"/>
      <c r="CD528" s="137"/>
      <c r="CE528" s="3"/>
      <c r="CF528" s="138"/>
      <c r="CG528" s="2"/>
      <c r="CH528" s="139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131"/>
      <c r="CT528" s="15"/>
      <c r="CU528" s="99"/>
      <c r="CV528" s="149"/>
      <c r="CW528" s="134"/>
      <c r="CX528" s="134"/>
      <c r="CY528" s="137"/>
      <c r="CZ528" s="150"/>
      <c r="DA528" s="137"/>
      <c r="DB528" s="137"/>
      <c r="DC528" s="3"/>
      <c r="DD528" s="138"/>
      <c r="DE528" s="2"/>
      <c r="DF528" s="139"/>
      <c r="DG528" s="3"/>
      <c r="DH528" s="3"/>
      <c r="DI528" s="3"/>
      <c r="DJ528" s="3"/>
      <c r="DK528" s="3"/>
      <c r="DL528" s="3"/>
      <c r="DM528" s="3"/>
      <c r="DN528" s="3"/>
      <c r="DO528" s="3"/>
      <c r="DP528" s="3"/>
      <c r="DQ528" s="131"/>
      <c r="DR528" s="15"/>
      <c r="DS528" s="99"/>
      <c r="DT528" s="149"/>
      <c r="DU528" s="134"/>
      <c r="DV528" s="134"/>
      <c r="DW528" s="137"/>
      <c r="DX528" s="150"/>
      <c r="DY528" s="137"/>
      <c r="DZ528" s="137"/>
      <c r="EA528" s="3"/>
      <c r="EB528" s="138"/>
      <c r="EC528" s="2"/>
      <c r="ED528" s="139"/>
      <c r="EE528" s="3"/>
      <c r="EF528" s="3"/>
      <c r="EG528" s="3"/>
      <c r="EH528" s="3"/>
      <c r="EI528" s="3"/>
      <c r="EJ528" s="3"/>
      <c r="EK528" s="3"/>
      <c r="EL528" s="3"/>
      <c r="EM528" s="3"/>
      <c r="EN528" s="3"/>
      <c r="EO528" s="131"/>
      <c r="EP528" s="15"/>
      <c r="EQ528" s="99"/>
      <c r="ER528" s="149"/>
      <c r="ES528" s="134"/>
      <c r="ET528" s="134"/>
      <c r="EU528" s="137"/>
      <c r="EV528" s="150"/>
      <c r="EW528" s="137"/>
      <c r="EX528" s="137"/>
      <c r="EY528" s="3"/>
      <c r="EZ528" s="138"/>
      <c r="FA528" s="2"/>
      <c r="FB528" s="139"/>
      <c r="FC528" s="3"/>
      <c r="FD528" s="3"/>
      <c r="FE528" s="3"/>
      <c r="FF528" s="3"/>
      <c r="FG528" s="3"/>
      <c r="FH528" s="3"/>
      <c r="FI528" s="3"/>
      <c r="FJ528" s="3"/>
      <c r="FK528" s="3"/>
      <c r="FL528" s="3"/>
      <c r="FM528" s="131"/>
      <c r="FN528" s="15"/>
      <c r="FO528" s="99"/>
      <c r="FP528" s="149"/>
      <c r="FQ528" s="134"/>
      <c r="FR528" s="134"/>
      <c r="FS528" s="137"/>
      <c r="FT528" s="150"/>
      <c r="FU528" s="137"/>
      <c r="FV528" s="137"/>
      <c r="FW528" s="3"/>
      <c r="FX528" s="138"/>
      <c r="FY528" s="2"/>
      <c r="FZ528" s="139"/>
      <c r="GA528" s="3"/>
      <c r="GB528" s="3"/>
      <c r="GC528" s="3"/>
      <c r="GD528" s="3"/>
      <c r="GE528" s="3"/>
      <c r="GF528" s="3"/>
      <c r="GG528" s="3"/>
      <c r="GH528" s="3"/>
      <c r="GI528" s="3"/>
      <c r="GJ528" s="3"/>
      <c r="GK528" s="131"/>
      <c r="GL528" s="15"/>
      <c r="GM528" s="99"/>
      <c r="GN528" s="149"/>
      <c r="GO528" s="134"/>
      <c r="GP528" s="134"/>
      <c r="GQ528" s="137"/>
      <c r="GR528" s="150"/>
      <c r="GS528" s="137"/>
      <c r="GT528" s="137"/>
      <c r="GU528" s="3"/>
      <c r="GV528" s="138"/>
      <c r="GW528" s="2"/>
      <c r="GX528" s="139"/>
      <c r="GY528" s="3"/>
      <c r="GZ528" s="3"/>
      <c r="HA528" s="3"/>
      <c r="HB528" s="3"/>
      <c r="HC528" s="3"/>
      <c r="HD528" s="3"/>
      <c r="HE528" s="3"/>
      <c r="HF528" s="3"/>
      <c r="HG528" s="3"/>
      <c r="HH528" s="3"/>
      <c r="HI528" s="131"/>
      <c r="HJ528" s="15"/>
      <c r="HK528" s="99"/>
      <c r="HL528" s="149"/>
      <c r="HM528" s="134"/>
      <c r="HN528" s="134"/>
      <c r="HO528" s="137"/>
      <c r="HP528" s="150"/>
      <c r="HQ528" s="137"/>
      <c r="HR528" s="137"/>
      <c r="HS528" s="3"/>
      <c r="HT528" s="138"/>
      <c r="HU528" s="2"/>
      <c r="HV528" s="139"/>
      <c r="HW528" s="3"/>
      <c r="HX528" s="3"/>
      <c r="HY528" s="3"/>
      <c r="HZ528" s="3"/>
      <c r="IA528" s="3"/>
      <c r="IB528" s="3"/>
      <c r="IC528" s="3"/>
      <c r="ID528" s="3"/>
      <c r="IE528" s="3"/>
      <c r="IF528" s="3"/>
      <c r="IG528" s="131"/>
      <c r="IH528" s="15"/>
      <c r="II528" s="99"/>
      <c r="IJ528" s="149"/>
      <c r="IK528" s="134"/>
      <c r="IL528" s="134"/>
      <c r="IM528" s="137"/>
      <c r="IN528" s="150"/>
      <c r="IO528" s="137"/>
      <c r="IP528" s="137"/>
      <c r="IQ528" s="3"/>
      <c r="IR528" s="138"/>
      <c r="IS528" s="2"/>
      <c r="IT528" s="139"/>
      <c r="IU528" s="3"/>
      <c r="IV528" s="3"/>
    </row>
    <row r="529" spans="1:256" s="125" customFormat="1" ht="13.5" customHeight="1">
      <c r="A529" s="84">
        <v>50</v>
      </c>
      <c r="B529" s="29">
        <v>43081</v>
      </c>
      <c r="C529" s="18"/>
      <c r="D529" s="19" t="s">
        <v>323</v>
      </c>
      <c r="E529" s="20" t="s">
        <v>720</v>
      </c>
      <c r="F529" s="57" t="s">
        <v>721</v>
      </c>
      <c r="G529" s="63">
        <v>1709</v>
      </c>
      <c r="H529" s="121">
        <v>3524700</v>
      </c>
      <c r="I529" s="24"/>
      <c r="J529" s="24">
        <f t="shared" si="48"/>
        <v>3356857.1428571427</v>
      </c>
      <c r="K529" s="24">
        <f t="shared" si="43"/>
        <v>3356857.1428571427</v>
      </c>
      <c r="L529" s="123">
        <v>1</v>
      </c>
      <c r="M529" s="24">
        <f t="shared" si="44"/>
        <v>3356857.1428571427</v>
      </c>
      <c r="N529" s="129">
        <f t="shared" si="45"/>
        <v>0</v>
      </c>
      <c r="O529" s="85" t="s">
        <v>665</v>
      </c>
      <c r="P529" s="3"/>
      <c r="Q529" s="140"/>
      <c r="R529" s="3"/>
      <c r="S529" s="3"/>
      <c r="T529" s="3"/>
      <c r="U529" s="3"/>
      <c r="V529" s="3"/>
      <c r="W529" s="3"/>
      <c r="X529" s="3"/>
      <c r="Y529" s="131"/>
      <c r="Z529" s="15"/>
      <c r="AA529" s="99"/>
      <c r="AB529" s="149"/>
      <c r="AC529" s="134"/>
      <c r="AD529" s="134"/>
      <c r="AE529" s="137"/>
      <c r="AF529" s="150"/>
      <c r="AG529" s="137"/>
      <c r="AH529" s="137"/>
      <c r="AI529" s="3"/>
      <c r="AJ529" s="138"/>
      <c r="AK529" s="2"/>
      <c r="AL529" s="139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131"/>
      <c r="AX529" s="15"/>
      <c r="AY529" s="99"/>
      <c r="AZ529" s="149"/>
      <c r="BA529" s="134"/>
      <c r="BB529" s="134"/>
      <c r="BC529" s="137"/>
      <c r="BD529" s="150"/>
      <c r="BE529" s="137"/>
      <c r="BF529" s="137"/>
      <c r="BG529" s="3"/>
      <c r="BH529" s="138"/>
      <c r="BI529" s="2"/>
      <c r="BJ529" s="139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131"/>
      <c r="BV529" s="15"/>
      <c r="BW529" s="99"/>
      <c r="BX529" s="149"/>
      <c r="BY529" s="134"/>
      <c r="BZ529" s="134"/>
      <c r="CA529" s="137"/>
      <c r="CB529" s="150"/>
      <c r="CC529" s="137"/>
      <c r="CD529" s="137"/>
      <c r="CE529" s="3"/>
      <c r="CF529" s="138"/>
      <c r="CG529" s="2"/>
      <c r="CH529" s="139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131"/>
      <c r="CT529" s="15"/>
      <c r="CU529" s="99"/>
      <c r="CV529" s="149"/>
      <c r="CW529" s="134"/>
      <c r="CX529" s="134"/>
      <c r="CY529" s="137"/>
      <c r="CZ529" s="150"/>
      <c r="DA529" s="137"/>
      <c r="DB529" s="137"/>
      <c r="DC529" s="3"/>
      <c r="DD529" s="138"/>
      <c r="DE529" s="2"/>
      <c r="DF529" s="139"/>
      <c r="DG529" s="3"/>
      <c r="DH529" s="3"/>
      <c r="DI529" s="3"/>
      <c r="DJ529" s="3"/>
      <c r="DK529" s="3"/>
      <c r="DL529" s="3"/>
      <c r="DM529" s="3"/>
      <c r="DN529" s="3"/>
      <c r="DO529" s="3"/>
      <c r="DP529" s="3"/>
      <c r="DQ529" s="131"/>
      <c r="DR529" s="15"/>
      <c r="DS529" s="99"/>
      <c r="DT529" s="149"/>
      <c r="DU529" s="134"/>
      <c r="DV529" s="134"/>
      <c r="DW529" s="137"/>
      <c r="DX529" s="150"/>
      <c r="DY529" s="137"/>
      <c r="DZ529" s="137"/>
      <c r="EA529" s="3"/>
      <c r="EB529" s="138"/>
      <c r="EC529" s="2"/>
      <c r="ED529" s="139"/>
      <c r="EE529" s="3"/>
      <c r="EF529" s="3"/>
      <c r="EG529" s="3"/>
      <c r="EH529" s="3"/>
      <c r="EI529" s="3"/>
      <c r="EJ529" s="3"/>
      <c r="EK529" s="3"/>
      <c r="EL529" s="3"/>
      <c r="EM529" s="3"/>
      <c r="EN529" s="3"/>
      <c r="EO529" s="131"/>
      <c r="EP529" s="15"/>
      <c r="EQ529" s="99"/>
      <c r="ER529" s="149"/>
      <c r="ES529" s="134"/>
      <c r="ET529" s="134"/>
      <c r="EU529" s="137"/>
      <c r="EV529" s="150"/>
      <c r="EW529" s="137"/>
      <c r="EX529" s="137"/>
      <c r="EY529" s="3"/>
      <c r="EZ529" s="138"/>
      <c r="FA529" s="2"/>
      <c r="FB529" s="139"/>
      <c r="FC529" s="3"/>
      <c r="FD529" s="3"/>
      <c r="FE529" s="3"/>
      <c r="FF529" s="3"/>
      <c r="FG529" s="3"/>
      <c r="FH529" s="3"/>
      <c r="FI529" s="3"/>
      <c r="FJ529" s="3"/>
      <c r="FK529" s="3"/>
      <c r="FL529" s="3"/>
      <c r="FM529" s="131"/>
      <c r="FN529" s="15"/>
      <c r="FO529" s="99"/>
      <c r="FP529" s="149"/>
      <c r="FQ529" s="134"/>
      <c r="FR529" s="134"/>
      <c r="FS529" s="137"/>
      <c r="FT529" s="150"/>
      <c r="FU529" s="137"/>
      <c r="FV529" s="137"/>
      <c r="FW529" s="3"/>
      <c r="FX529" s="138"/>
      <c r="FY529" s="2"/>
      <c r="FZ529" s="139"/>
      <c r="GA529" s="3"/>
      <c r="GB529" s="3"/>
      <c r="GC529" s="3"/>
      <c r="GD529" s="3"/>
      <c r="GE529" s="3"/>
      <c r="GF529" s="3"/>
      <c r="GG529" s="3"/>
      <c r="GH529" s="3"/>
      <c r="GI529" s="3"/>
      <c r="GJ529" s="3"/>
      <c r="GK529" s="131"/>
      <c r="GL529" s="15"/>
      <c r="GM529" s="99"/>
      <c r="GN529" s="149"/>
      <c r="GO529" s="134"/>
      <c r="GP529" s="134"/>
      <c r="GQ529" s="137"/>
      <c r="GR529" s="150"/>
      <c r="GS529" s="137"/>
      <c r="GT529" s="137"/>
      <c r="GU529" s="3"/>
      <c r="GV529" s="138"/>
      <c r="GW529" s="2"/>
      <c r="GX529" s="139"/>
      <c r="GY529" s="3"/>
      <c r="GZ529" s="3"/>
      <c r="HA529" s="3"/>
      <c r="HB529" s="3"/>
      <c r="HC529" s="3"/>
      <c r="HD529" s="3"/>
      <c r="HE529" s="3"/>
      <c r="HF529" s="3"/>
      <c r="HG529" s="3"/>
      <c r="HH529" s="3"/>
      <c r="HI529" s="131"/>
      <c r="HJ529" s="15"/>
      <c r="HK529" s="99"/>
      <c r="HL529" s="149"/>
      <c r="HM529" s="134"/>
      <c r="HN529" s="134"/>
      <c r="HO529" s="137"/>
      <c r="HP529" s="150"/>
      <c r="HQ529" s="137"/>
      <c r="HR529" s="137"/>
      <c r="HS529" s="3"/>
      <c r="HT529" s="138"/>
      <c r="HU529" s="2"/>
      <c r="HV529" s="139"/>
      <c r="HW529" s="3"/>
      <c r="HX529" s="3"/>
      <c r="HY529" s="3"/>
      <c r="HZ529" s="3"/>
      <c r="IA529" s="3"/>
      <c r="IB529" s="3"/>
      <c r="IC529" s="3"/>
      <c r="ID529" s="3"/>
      <c r="IE529" s="3"/>
      <c r="IF529" s="3"/>
      <c r="IG529" s="131"/>
      <c r="IH529" s="15"/>
      <c r="II529" s="99"/>
      <c r="IJ529" s="149"/>
      <c r="IK529" s="134"/>
      <c r="IL529" s="134"/>
      <c r="IM529" s="137"/>
      <c r="IN529" s="150"/>
      <c r="IO529" s="137"/>
      <c r="IP529" s="137"/>
      <c r="IQ529" s="3"/>
      <c r="IR529" s="138"/>
      <c r="IS529" s="2"/>
      <c r="IT529" s="139"/>
      <c r="IU529" s="3"/>
      <c r="IV529" s="3"/>
    </row>
    <row r="530" spans="1:256" s="125" customFormat="1" ht="13.5" customHeight="1">
      <c r="A530" s="84">
        <v>51</v>
      </c>
      <c r="B530" s="17">
        <v>43095</v>
      </c>
      <c r="C530" s="18" t="s">
        <v>235</v>
      </c>
      <c r="D530" s="19" t="s">
        <v>423</v>
      </c>
      <c r="E530" s="20" t="s">
        <v>722</v>
      </c>
      <c r="F530" s="168" t="s">
        <v>723</v>
      </c>
      <c r="G530" s="63">
        <v>1709</v>
      </c>
      <c r="H530" s="121">
        <f>3310800+17800</f>
        <v>3328600</v>
      </c>
      <c r="I530" s="24"/>
      <c r="J530" s="24">
        <f t="shared" si="48"/>
        <v>3170095.2380952379</v>
      </c>
      <c r="K530" s="24">
        <f t="shared" si="43"/>
        <v>3170095.2380952379</v>
      </c>
      <c r="L530" s="123">
        <v>1</v>
      </c>
      <c r="M530" s="24">
        <f t="shared" si="44"/>
        <v>3170095.2380952379</v>
      </c>
      <c r="N530" s="124">
        <f t="shared" si="45"/>
        <v>0</v>
      </c>
      <c r="O530" s="85" t="s">
        <v>665</v>
      </c>
      <c r="P530" s="3"/>
      <c r="Q530" s="140"/>
      <c r="R530" s="3"/>
      <c r="S530" s="3"/>
      <c r="T530" s="3"/>
      <c r="U530" s="3"/>
      <c r="V530" s="3"/>
      <c r="W530" s="3"/>
      <c r="X530" s="3"/>
      <c r="Y530" s="131"/>
      <c r="Z530" s="15"/>
      <c r="AA530" s="99"/>
      <c r="AB530" s="149"/>
      <c r="AC530" s="134"/>
      <c r="AD530" s="134"/>
      <c r="AE530" s="137"/>
      <c r="AF530" s="150"/>
      <c r="AG530" s="137"/>
      <c r="AH530" s="137"/>
      <c r="AI530" s="3"/>
      <c r="AJ530" s="138"/>
      <c r="AK530" s="2"/>
      <c r="AL530" s="139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131"/>
      <c r="AX530" s="15"/>
      <c r="AY530" s="99"/>
      <c r="AZ530" s="149"/>
      <c r="BA530" s="134"/>
      <c r="BB530" s="134"/>
      <c r="BC530" s="137"/>
      <c r="BD530" s="150"/>
      <c r="BE530" s="137"/>
      <c r="BF530" s="137"/>
      <c r="BG530" s="3"/>
      <c r="BH530" s="138"/>
      <c r="BI530" s="2"/>
      <c r="BJ530" s="139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131"/>
      <c r="BV530" s="15"/>
      <c r="BW530" s="99"/>
      <c r="BX530" s="149"/>
      <c r="BY530" s="134"/>
      <c r="BZ530" s="134"/>
      <c r="CA530" s="137"/>
      <c r="CB530" s="150"/>
      <c r="CC530" s="137"/>
      <c r="CD530" s="137"/>
      <c r="CE530" s="3"/>
      <c r="CF530" s="138"/>
      <c r="CG530" s="2"/>
      <c r="CH530" s="139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131"/>
      <c r="CT530" s="15"/>
      <c r="CU530" s="99"/>
      <c r="CV530" s="149"/>
      <c r="CW530" s="134"/>
      <c r="CX530" s="134"/>
      <c r="CY530" s="137"/>
      <c r="CZ530" s="150"/>
      <c r="DA530" s="137"/>
      <c r="DB530" s="137"/>
      <c r="DC530" s="3"/>
      <c r="DD530" s="138"/>
      <c r="DE530" s="2"/>
      <c r="DF530" s="139"/>
      <c r="DG530" s="3"/>
      <c r="DH530" s="3"/>
      <c r="DI530" s="3"/>
      <c r="DJ530" s="3"/>
      <c r="DK530" s="3"/>
      <c r="DL530" s="3"/>
      <c r="DM530" s="3"/>
      <c r="DN530" s="3"/>
      <c r="DO530" s="3"/>
      <c r="DP530" s="3"/>
      <c r="DQ530" s="131"/>
      <c r="DR530" s="15"/>
      <c r="DS530" s="99"/>
      <c r="DT530" s="149"/>
      <c r="DU530" s="134"/>
      <c r="DV530" s="134"/>
      <c r="DW530" s="137"/>
      <c r="DX530" s="150"/>
      <c r="DY530" s="137"/>
      <c r="DZ530" s="137"/>
      <c r="EA530" s="3"/>
      <c r="EB530" s="138"/>
      <c r="EC530" s="2"/>
      <c r="ED530" s="139"/>
      <c r="EE530" s="3"/>
      <c r="EF530" s="3"/>
      <c r="EG530" s="3"/>
      <c r="EH530" s="3"/>
      <c r="EI530" s="3"/>
      <c r="EJ530" s="3"/>
      <c r="EK530" s="3"/>
      <c r="EL530" s="3"/>
      <c r="EM530" s="3"/>
      <c r="EN530" s="3"/>
      <c r="EO530" s="131"/>
      <c r="EP530" s="15"/>
      <c r="EQ530" s="99"/>
      <c r="ER530" s="149"/>
      <c r="ES530" s="134"/>
      <c r="ET530" s="134"/>
      <c r="EU530" s="137"/>
      <c r="EV530" s="150"/>
      <c r="EW530" s="137"/>
      <c r="EX530" s="137"/>
      <c r="EY530" s="3"/>
      <c r="EZ530" s="138"/>
      <c r="FA530" s="2"/>
      <c r="FB530" s="139"/>
      <c r="FC530" s="3"/>
      <c r="FD530" s="3"/>
      <c r="FE530" s="3"/>
      <c r="FF530" s="3"/>
      <c r="FG530" s="3"/>
      <c r="FH530" s="3"/>
      <c r="FI530" s="3"/>
      <c r="FJ530" s="3"/>
      <c r="FK530" s="3"/>
      <c r="FL530" s="3"/>
      <c r="FM530" s="131"/>
      <c r="FN530" s="15"/>
      <c r="FO530" s="99"/>
      <c r="FP530" s="149"/>
      <c r="FQ530" s="134"/>
      <c r="FR530" s="134"/>
      <c r="FS530" s="137"/>
      <c r="FT530" s="150"/>
      <c r="FU530" s="137"/>
      <c r="FV530" s="137"/>
      <c r="FW530" s="3"/>
      <c r="FX530" s="138"/>
      <c r="FY530" s="2"/>
      <c r="FZ530" s="139"/>
      <c r="GA530" s="3"/>
      <c r="GB530" s="3"/>
      <c r="GC530" s="3"/>
      <c r="GD530" s="3"/>
      <c r="GE530" s="3"/>
      <c r="GF530" s="3"/>
      <c r="GG530" s="3"/>
      <c r="GH530" s="3"/>
      <c r="GI530" s="3"/>
      <c r="GJ530" s="3"/>
      <c r="GK530" s="131"/>
      <c r="GL530" s="15"/>
      <c r="GM530" s="99"/>
      <c r="GN530" s="149"/>
      <c r="GO530" s="134"/>
      <c r="GP530" s="134"/>
      <c r="GQ530" s="137"/>
      <c r="GR530" s="150"/>
      <c r="GS530" s="137"/>
      <c r="GT530" s="137"/>
      <c r="GU530" s="3"/>
      <c r="GV530" s="138"/>
      <c r="GW530" s="2"/>
      <c r="GX530" s="139"/>
      <c r="GY530" s="3"/>
      <c r="GZ530" s="3"/>
      <c r="HA530" s="3"/>
      <c r="HB530" s="3"/>
      <c r="HC530" s="3"/>
      <c r="HD530" s="3"/>
      <c r="HE530" s="3"/>
      <c r="HF530" s="3"/>
      <c r="HG530" s="3"/>
      <c r="HH530" s="3"/>
      <c r="HI530" s="131"/>
      <c r="HJ530" s="15"/>
      <c r="HK530" s="99"/>
      <c r="HL530" s="149"/>
      <c r="HM530" s="134"/>
      <c r="HN530" s="134"/>
      <c r="HO530" s="137"/>
      <c r="HP530" s="150"/>
      <c r="HQ530" s="137"/>
      <c r="HR530" s="137"/>
      <c r="HS530" s="3"/>
      <c r="HT530" s="138"/>
      <c r="HU530" s="2"/>
      <c r="HV530" s="139"/>
      <c r="HW530" s="3"/>
      <c r="HX530" s="3"/>
      <c r="HY530" s="3"/>
      <c r="HZ530" s="3"/>
      <c r="IA530" s="3"/>
      <c r="IB530" s="3"/>
      <c r="IC530" s="3"/>
      <c r="ID530" s="3"/>
      <c r="IE530" s="3"/>
      <c r="IF530" s="3"/>
      <c r="IG530" s="131"/>
      <c r="IH530" s="15"/>
      <c r="II530" s="99"/>
      <c r="IJ530" s="149"/>
      <c r="IK530" s="134"/>
      <c r="IL530" s="134"/>
      <c r="IM530" s="137"/>
      <c r="IN530" s="150"/>
      <c r="IO530" s="137"/>
      <c r="IP530" s="137"/>
      <c r="IQ530" s="3"/>
      <c r="IR530" s="138"/>
      <c r="IS530" s="2"/>
      <c r="IT530" s="139"/>
      <c r="IU530" s="3"/>
      <c r="IV530" s="3"/>
    </row>
    <row r="531" spans="1:256" s="125" customFormat="1" ht="13.5" customHeight="1">
      <c r="A531" s="84">
        <v>52</v>
      </c>
      <c r="B531" s="56">
        <v>43097</v>
      </c>
      <c r="C531" s="18"/>
      <c r="D531" s="19" t="s">
        <v>359</v>
      </c>
      <c r="E531" s="20" t="s">
        <v>360</v>
      </c>
      <c r="F531" s="62" t="s">
        <v>724</v>
      </c>
      <c r="G531" s="63">
        <v>1711</v>
      </c>
      <c r="H531" s="121">
        <f>79200+3572000</f>
        <v>3651200</v>
      </c>
      <c r="I531" s="24"/>
      <c r="J531" s="24">
        <f t="shared" si="48"/>
        <v>3477333.333333333</v>
      </c>
      <c r="K531" s="24">
        <f t="shared" si="43"/>
        <v>3477333.333333333</v>
      </c>
      <c r="L531" s="123">
        <v>1</v>
      </c>
      <c r="M531" s="24">
        <f t="shared" si="44"/>
        <v>3477333.333333333</v>
      </c>
      <c r="N531" s="129">
        <f t="shared" si="45"/>
        <v>0</v>
      </c>
      <c r="O531" s="85" t="s">
        <v>665</v>
      </c>
      <c r="P531" s="3"/>
      <c r="Q531" s="140"/>
      <c r="R531" s="3"/>
      <c r="S531" s="3"/>
      <c r="T531" s="3"/>
      <c r="U531" s="3"/>
      <c r="V531" s="3"/>
      <c r="W531" s="3"/>
      <c r="X531" s="3"/>
      <c r="Y531" s="131"/>
      <c r="Z531" s="15"/>
      <c r="AA531" s="99"/>
      <c r="AB531" s="149"/>
      <c r="AC531" s="134"/>
      <c r="AD531" s="134"/>
      <c r="AE531" s="137"/>
      <c r="AF531" s="150"/>
      <c r="AG531" s="137"/>
      <c r="AH531" s="137"/>
      <c r="AI531" s="3"/>
      <c r="AJ531" s="138"/>
      <c r="AK531" s="2"/>
      <c r="AL531" s="139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131"/>
      <c r="AX531" s="15"/>
      <c r="AY531" s="99"/>
      <c r="AZ531" s="149"/>
      <c r="BA531" s="134"/>
      <c r="BB531" s="134"/>
      <c r="BC531" s="137"/>
      <c r="BD531" s="150"/>
      <c r="BE531" s="137"/>
      <c r="BF531" s="137"/>
      <c r="BG531" s="3"/>
      <c r="BH531" s="138"/>
      <c r="BI531" s="2"/>
      <c r="BJ531" s="139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131"/>
      <c r="BV531" s="15"/>
      <c r="BW531" s="99"/>
      <c r="BX531" s="149"/>
      <c r="BY531" s="134"/>
      <c r="BZ531" s="134"/>
      <c r="CA531" s="137"/>
      <c r="CB531" s="150"/>
      <c r="CC531" s="137"/>
      <c r="CD531" s="137"/>
      <c r="CE531" s="3"/>
      <c r="CF531" s="138"/>
      <c r="CG531" s="2"/>
      <c r="CH531" s="139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131"/>
      <c r="CT531" s="15"/>
      <c r="CU531" s="99"/>
      <c r="CV531" s="149"/>
      <c r="CW531" s="134"/>
      <c r="CX531" s="134"/>
      <c r="CY531" s="137"/>
      <c r="CZ531" s="150"/>
      <c r="DA531" s="137"/>
      <c r="DB531" s="137"/>
      <c r="DC531" s="3"/>
      <c r="DD531" s="138"/>
      <c r="DE531" s="2"/>
      <c r="DF531" s="139"/>
      <c r="DG531" s="3"/>
      <c r="DH531" s="3"/>
      <c r="DI531" s="3"/>
      <c r="DJ531" s="3"/>
      <c r="DK531" s="3"/>
      <c r="DL531" s="3"/>
      <c r="DM531" s="3"/>
      <c r="DN531" s="3"/>
      <c r="DO531" s="3"/>
      <c r="DP531" s="3"/>
      <c r="DQ531" s="131"/>
      <c r="DR531" s="15"/>
      <c r="DS531" s="99"/>
      <c r="DT531" s="149"/>
      <c r="DU531" s="134"/>
      <c r="DV531" s="134"/>
      <c r="DW531" s="137"/>
      <c r="DX531" s="150"/>
      <c r="DY531" s="137"/>
      <c r="DZ531" s="137"/>
      <c r="EA531" s="3"/>
      <c r="EB531" s="138"/>
      <c r="EC531" s="2"/>
      <c r="ED531" s="139"/>
      <c r="EE531" s="3"/>
      <c r="EF531" s="3"/>
      <c r="EG531" s="3"/>
      <c r="EH531" s="3"/>
      <c r="EI531" s="3"/>
      <c r="EJ531" s="3"/>
      <c r="EK531" s="3"/>
      <c r="EL531" s="3"/>
      <c r="EM531" s="3"/>
      <c r="EN531" s="3"/>
      <c r="EO531" s="131"/>
      <c r="EP531" s="15"/>
      <c r="EQ531" s="99"/>
      <c r="ER531" s="149"/>
      <c r="ES531" s="134"/>
      <c r="ET531" s="134"/>
      <c r="EU531" s="137"/>
      <c r="EV531" s="150"/>
      <c r="EW531" s="137"/>
      <c r="EX531" s="137"/>
      <c r="EY531" s="3"/>
      <c r="EZ531" s="138"/>
      <c r="FA531" s="2"/>
      <c r="FB531" s="139"/>
      <c r="FC531" s="3"/>
      <c r="FD531" s="3"/>
      <c r="FE531" s="3"/>
      <c r="FF531" s="3"/>
      <c r="FG531" s="3"/>
      <c r="FH531" s="3"/>
      <c r="FI531" s="3"/>
      <c r="FJ531" s="3"/>
      <c r="FK531" s="3"/>
      <c r="FL531" s="3"/>
      <c r="FM531" s="131"/>
      <c r="FN531" s="15"/>
      <c r="FO531" s="99"/>
      <c r="FP531" s="149"/>
      <c r="FQ531" s="134"/>
      <c r="FR531" s="134"/>
      <c r="FS531" s="137"/>
      <c r="FT531" s="150"/>
      <c r="FU531" s="137"/>
      <c r="FV531" s="137"/>
      <c r="FW531" s="3"/>
      <c r="FX531" s="138"/>
      <c r="FY531" s="2"/>
      <c r="FZ531" s="139"/>
      <c r="GA531" s="3"/>
      <c r="GB531" s="3"/>
      <c r="GC531" s="3"/>
      <c r="GD531" s="3"/>
      <c r="GE531" s="3"/>
      <c r="GF531" s="3"/>
      <c r="GG531" s="3"/>
      <c r="GH531" s="3"/>
      <c r="GI531" s="3"/>
      <c r="GJ531" s="3"/>
      <c r="GK531" s="131"/>
      <c r="GL531" s="15"/>
      <c r="GM531" s="99"/>
      <c r="GN531" s="149"/>
      <c r="GO531" s="134"/>
      <c r="GP531" s="134"/>
      <c r="GQ531" s="137"/>
      <c r="GR531" s="150"/>
      <c r="GS531" s="137"/>
      <c r="GT531" s="137"/>
      <c r="GU531" s="3"/>
      <c r="GV531" s="138"/>
      <c r="GW531" s="2"/>
      <c r="GX531" s="139"/>
      <c r="GY531" s="3"/>
      <c r="GZ531" s="3"/>
      <c r="HA531" s="3"/>
      <c r="HB531" s="3"/>
      <c r="HC531" s="3"/>
      <c r="HD531" s="3"/>
      <c r="HE531" s="3"/>
      <c r="HF531" s="3"/>
      <c r="HG531" s="3"/>
      <c r="HH531" s="3"/>
      <c r="HI531" s="131"/>
      <c r="HJ531" s="15"/>
      <c r="HK531" s="99"/>
      <c r="HL531" s="149"/>
      <c r="HM531" s="134"/>
      <c r="HN531" s="134"/>
      <c r="HO531" s="137"/>
      <c r="HP531" s="150"/>
      <c r="HQ531" s="137"/>
      <c r="HR531" s="137"/>
      <c r="HS531" s="3"/>
      <c r="HT531" s="138"/>
      <c r="HU531" s="2"/>
      <c r="HV531" s="139"/>
      <c r="HW531" s="3"/>
      <c r="HX531" s="3"/>
      <c r="HY531" s="3"/>
      <c r="HZ531" s="3"/>
      <c r="IA531" s="3"/>
      <c r="IB531" s="3"/>
      <c r="IC531" s="3"/>
      <c r="ID531" s="3"/>
      <c r="IE531" s="3"/>
      <c r="IF531" s="3"/>
      <c r="IG531" s="131"/>
      <c r="IH531" s="15"/>
      <c r="II531" s="99"/>
      <c r="IJ531" s="149"/>
      <c r="IK531" s="134"/>
      <c r="IL531" s="134"/>
      <c r="IM531" s="137"/>
      <c r="IN531" s="150"/>
      <c r="IO531" s="137"/>
      <c r="IP531" s="137"/>
      <c r="IQ531" s="3"/>
      <c r="IR531" s="138"/>
      <c r="IS531" s="2"/>
      <c r="IT531" s="139"/>
      <c r="IU531" s="3"/>
      <c r="IV531" s="3"/>
    </row>
    <row r="532" spans="1:256" s="125" customFormat="1" ht="13.5" customHeight="1">
      <c r="A532" s="84">
        <v>53</v>
      </c>
      <c r="B532" s="60">
        <v>43084</v>
      </c>
      <c r="C532" s="18"/>
      <c r="D532" s="19" t="s">
        <v>359</v>
      </c>
      <c r="E532" s="20" t="s">
        <v>363</v>
      </c>
      <c r="F532" s="82" t="s">
        <v>725</v>
      </c>
      <c r="G532" s="58">
        <v>1708</v>
      </c>
      <c r="H532" s="121">
        <v>3478000</v>
      </c>
      <c r="I532" s="24"/>
      <c r="J532" s="24">
        <f t="shared" si="48"/>
        <v>3312380.9523809524</v>
      </c>
      <c r="K532" s="24">
        <f t="shared" si="43"/>
        <v>3312380.9523809524</v>
      </c>
      <c r="L532" s="123">
        <v>1</v>
      </c>
      <c r="M532" s="24">
        <f t="shared" si="44"/>
        <v>3312380.9523809524</v>
      </c>
      <c r="N532" s="129">
        <f t="shared" si="45"/>
        <v>0</v>
      </c>
      <c r="O532" s="85" t="s">
        <v>665</v>
      </c>
      <c r="P532" s="3"/>
      <c r="Q532" s="140"/>
      <c r="R532" s="3"/>
      <c r="S532" s="3"/>
      <c r="T532" s="3"/>
      <c r="U532" s="3"/>
      <c r="V532" s="3"/>
      <c r="W532" s="3"/>
      <c r="X532" s="3"/>
      <c r="Y532" s="131"/>
      <c r="Z532" s="15"/>
      <c r="AA532" s="99"/>
      <c r="AB532" s="149"/>
      <c r="AC532" s="134"/>
      <c r="AD532" s="134"/>
      <c r="AE532" s="137"/>
      <c r="AF532" s="150"/>
      <c r="AG532" s="137"/>
      <c r="AH532" s="137"/>
      <c r="AI532" s="3"/>
      <c r="AJ532" s="138"/>
      <c r="AK532" s="2"/>
      <c r="AL532" s="139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131"/>
      <c r="AX532" s="15"/>
      <c r="AY532" s="99"/>
      <c r="AZ532" s="149"/>
      <c r="BA532" s="134"/>
      <c r="BB532" s="134"/>
      <c r="BC532" s="137"/>
      <c r="BD532" s="150"/>
      <c r="BE532" s="137"/>
      <c r="BF532" s="137"/>
      <c r="BG532" s="3"/>
      <c r="BH532" s="138"/>
      <c r="BI532" s="2"/>
      <c r="BJ532" s="139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131"/>
      <c r="BV532" s="15"/>
      <c r="BW532" s="99"/>
      <c r="BX532" s="149"/>
      <c r="BY532" s="134"/>
      <c r="BZ532" s="134"/>
      <c r="CA532" s="137"/>
      <c r="CB532" s="150"/>
      <c r="CC532" s="137"/>
      <c r="CD532" s="137"/>
      <c r="CE532" s="3"/>
      <c r="CF532" s="138"/>
      <c r="CG532" s="2"/>
      <c r="CH532" s="139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131"/>
      <c r="CT532" s="15"/>
      <c r="CU532" s="99"/>
      <c r="CV532" s="149"/>
      <c r="CW532" s="134"/>
      <c r="CX532" s="134"/>
      <c r="CY532" s="137"/>
      <c r="CZ532" s="150"/>
      <c r="DA532" s="137"/>
      <c r="DB532" s="137"/>
      <c r="DC532" s="3"/>
      <c r="DD532" s="138"/>
      <c r="DE532" s="2"/>
      <c r="DF532" s="139"/>
      <c r="DG532" s="3"/>
      <c r="DH532" s="3"/>
      <c r="DI532" s="3"/>
      <c r="DJ532" s="3"/>
      <c r="DK532" s="3"/>
      <c r="DL532" s="3"/>
      <c r="DM532" s="3"/>
      <c r="DN532" s="3"/>
      <c r="DO532" s="3"/>
      <c r="DP532" s="3"/>
      <c r="DQ532" s="131"/>
      <c r="DR532" s="15"/>
      <c r="DS532" s="99"/>
      <c r="DT532" s="149"/>
      <c r="DU532" s="134"/>
      <c r="DV532" s="134"/>
      <c r="DW532" s="137"/>
      <c r="DX532" s="150"/>
      <c r="DY532" s="137"/>
      <c r="DZ532" s="137"/>
      <c r="EA532" s="3"/>
      <c r="EB532" s="138"/>
      <c r="EC532" s="2"/>
      <c r="ED532" s="139"/>
      <c r="EE532" s="3"/>
      <c r="EF532" s="3"/>
      <c r="EG532" s="3"/>
      <c r="EH532" s="3"/>
      <c r="EI532" s="3"/>
      <c r="EJ532" s="3"/>
      <c r="EK532" s="3"/>
      <c r="EL532" s="3"/>
      <c r="EM532" s="3"/>
      <c r="EN532" s="3"/>
      <c r="EO532" s="131"/>
      <c r="EP532" s="15"/>
      <c r="EQ532" s="99"/>
      <c r="ER532" s="149"/>
      <c r="ES532" s="134"/>
      <c r="ET532" s="134"/>
      <c r="EU532" s="137"/>
      <c r="EV532" s="150"/>
      <c r="EW532" s="137"/>
      <c r="EX532" s="137"/>
      <c r="EY532" s="3"/>
      <c r="EZ532" s="138"/>
      <c r="FA532" s="2"/>
      <c r="FB532" s="139"/>
      <c r="FC532" s="3"/>
      <c r="FD532" s="3"/>
      <c r="FE532" s="3"/>
      <c r="FF532" s="3"/>
      <c r="FG532" s="3"/>
      <c r="FH532" s="3"/>
      <c r="FI532" s="3"/>
      <c r="FJ532" s="3"/>
      <c r="FK532" s="3"/>
      <c r="FL532" s="3"/>
      <c r="FM532" s="131"/>
      <c r="FN532" s="15"/>
      <c r="FO532" s="99"/>
      <c r="FP532" s="149"/>
      <c r="FQ532" s="134"/>
      <c r="FR532" s="134"/>
      <c r="FS532" s="137"/>
      <c r="FT532" s="150"/>
      <c r="FU532" s="137"/>
      <c r="FV532" s="137"/>
      <c r="FW532" s="3"/>
      <c r="FX532" s="138"/>
      <c r="FY532" s="2"/>
      <c r="FZ532" s="139"/>
      <c r="GA532" s="3"/>
      <c r="GB532" s="3"/>
      <c r="GC532" s="3"/>
      <c r="GD532" s="3"/>
      <c r="GE532" s="3"/>
      <c r="GF532" s="3"/>
      <c r="GG532" s="3"/>
      <c r="GH532" s="3"/>
      <c r="GI532" s="3"/>
      <c r="GJ532" s="3"/>
      <c r="GK532" s="131"/>
      <c r="GL532" s="15"/>
      <c r="GM532" s="99"/>
      <c r="GN532" s="149"/>
      <c r="GO532" s="134"/>
      <c r="GP532" s="134"/>
      <c r="GQ532" s="137"/>
      <c r="GR532" s="150"/>
      <c r="GS532" s="137"/>
      <c r="GT532" s="137"/>
      <c r="GU532" s="3"/>
      <c r="GV532" s="138"/>
      <c r="GW532" s="2"/>
      <c r="GX532" s="139"/>
      <c r="GY532" s="3"/>
      <c r="GZ532" s="3"/>
      <c r="HA532" s="3"/>
      <c r="HB532" s="3"/>
      <c r="HC532" s="3"/>
      <c r="HD532" s="3"/>
      <c r="HE532" s="3"/>
      <c r="HF532" s="3"/>
      <c r="HG532" s="3"/>
      <c r="HH532" s="3"/>
      <c r="HI532" s="131"/>
      <c r="HJ532" s="15"/>
      <c r="HK532" s="99"/>
      <c r="HL532" s="149"/>
      <c r="HM532" s="134"/>
      <c r="HN532" s="134"/>
      <c r="HO532" s="137"/>
      <c r="HP532" s="150"/>
      <c r="HQ532" s="137"/>
      <c r="HR532" s="137"/>
      <c r="HS532" s="3"/>
      <c r="HT532" s="138"/>
      <c r="HU532" s="2"/>
      <c r="HV532" s="139"/>
      <c r="HW532" s="3"/>
      <c r="HX532" s="3"/>
      <c r="HY532" s="3"/>
      <c r="HZ532" s="3"/>
      <c r="IA532" s="3"/>
      <c r="IB532" s="3"/>
      <c r="IC532" s="3"/>
      <c r="ID532" s="3"/>
      <c r="IE532" s="3"/>
      <c r="IF532" s="3"/>
      <c r="IG532" s="131"/>
      <c r="IH532" s="15"/>
      <c r="II532" s="99"/>
      <c r="IJ532" s="149"/>
      <c r="IK532" s="134"/>
      <c r="IL532" s="134"/>
      <c r="IM532" s="137"/>
      <c r="IN532" s="150"/>
      <c r="IO532" s="137"/>
      <c r="IP532" s="137"/>
      <c r="IQ532" s="3"/>
      <c r="IR532" s="138"/>
      <c r="IS532" s="2"/>
      <c r="IT532" s="139"/>
      <c r="IU532" s="3"/>
      <c r="IV532" s="3"/>
    </row>
    <row r="533" spans="1:256" s="125" customFormat="1" ht="13.5" customHeight="1">
      <c r="A533" s="84">
        <v>54</v>
      </c>
      <c r="B533" s="60">
        <v>43045</v>
      </c>
      <c r="C533" s="18"/>
      <c r="D533" s="198">
        <v>7</v>
      </c>
      <c r="E533" s="20" t="s">
        <v>363</v>
      </c>
      <c r="F533" s="61" t="s">
        <v>726</v>
      </c>
      <c r="G533" s="63">
        <v>1707</v>
      </c>
      <c r="H533" s="121">
        <v>3478000</v>
      </c>
      <c r="I533" s="24">
        <v>3312381</v>
      </c>
      <c r="J533" s="24"/>
      <c r="K533" s="24">
        <f t="shared" si="43"/>
        <v>3312381</v>
      </c>
      <c r="L533" s="123">
        <v>1</v>
      </c>
      <c r="M533" s="24">
        <f t="shared" si="44"/>
        <v>3312381</v>
      </c>
      <c r="N533" s="129">
        <f t="shared" si="45"/>
        <v>0</v>
      </c>
      <c r="O533" s="85" t="s">
        <v>665</v>
      </c>
      <c r="P533" s="3"/>
      <c r="Q533" s="140"/>
      <c r="R533" s="3"/>
      <c r="S533" s="3"/>
      <c r="T533" s="3"/>
      <c r="U533" s="3"/>
      <c r="V533" s="3"/>
      <c r="W533" s="3"/>
      <c r="X533" s="3"/>
      <c r="Y533" s="131"/>
      <c r="Z533" s="15"/>
      <c r="AA533" s="99"/>
      <c r="AB533" s="149"/>
      <c r="AC533" s="134"/>
      <c r="AD533" s="134"/>
      <c r="AE533" s="137"/>
      <c r="AF533" s="150"/>
      <c r="AG533" s="137"/>
      <c r="AH533" s="137"/>
      <c r="AI533" s="3"/>
      <c r="AJ533" s="138"/>
      <c r="AK533" s="2"/>
      <c r="AL533" s="139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131"/>
      <c r="AX533" s="15"/>
      <c r="AY533" s="99"/>
      <c r="AZ533" s="149"/>
      <c r="BA533" s="134"/>
      <c r="BB533" s="134"/>
      <c r="BC533" s="137"/>
      <c r="BD533" s="150"/>
      <c r="BE533" s="137"/>
      <c r="BF533" s="137"/>
      <c r="BG533" s="3"/>
      <c r="BH533" s="138"/>
      <c r="BI533" s="2"/>
      <c r="BJ533" s="139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131"/>
      <c r="BV533" s="15"/>
      <c r="BW533" s="99"/>
      <c r="BX533" s="149"/>
      <c r="BY533" s="134"/>
      <c r="BZ533" s="134"/>
      <c r="CA533" s="137"/>
      <c r="CB533" s="150"/>
      <c r="CC533" s="137"/>
      <c r="CD533" s="137"/>
      <c r="CE533" s="3"/>
      <c r="CF533" s="138"/>
      <c r="CG533" s="2"/>
      <c r="CH533" s="139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131"/>
      <c r="CT533" s="15"/>
      <c r="CU533" s="99"/>
      <c r="CV533" s="149"/>
      <c r="CW533" s="134"/>
      <c r="CX533" s="134"/>
      <c r="CY533" s="137"/>
      <c r="CZ533" s="150"/>
      <c r="DA533" s="137"/>
      <c r="DB533" s="137"/>
      <c r="DC533" s="3"/>
      <c r="DD533" s="138"/>
      <c r="DE533" s="2"/>
      <c r="DF533" s="139"/>
      <c r="DG533" s="3"/>
      <c r="DH533" s="3"/>
      <c r="DI533" s="3"/>
      <c r="DJ533" s="3"/>
      <c r="DK533" s="3"/>
      <c r="DL533" s="3"/>
      <c r="DM533" s="3"/>
      <c r="DN533" s="3"/>
      <c r="DO533" s="3"/>
      <c r="DP533" s="3"/>
      <c r="DQ533" s="131"/>
      <c r="DR533" s="15"/>
      <c r="DS533" s="99"/>
      <c r="DT533" s="149"/>
      <c r="DU533" s="134"/>
      <c r="DV533" s="134"/>
      <c r="DW533" s="137"/>
      <c r="DX533" s="150"/>
      <c r="DY533" s="137"/>
      <c r="DZ533" s="137"/>
      <c r="EA533" s="3"/>
      <c r="EB533" s="138"/>
      <c r="EC533" s="2"/>
      <c r="ED533" s="139"/>
      <c r="EE533" s="3"/>
      <c r="EF533" s="3"/>
      <c r="EG533" s="3"/>
      <c r="EH533" s="3"/>
      <c r="EI533" s="3"/>
      <c r="EJ533" s="3"/>
      <c r="EK533" s="3"/>
      <c r="EL533" s="3"/>
      <c r="EM533" s="3"/>
      <c r="EN533" s="3"/>
      <c r="EO533" s="131"/>
      <c r="EP533" s="15"/>
      <c r="EQ533" s="99"/>
      <c r="ER533" s="149"/>
      <c r="ES533" s="134"/>
      <c r="ET533" s="134"/>
      <c r="EU533" s="137"/>
      <c r="EV533" s="150"/>
      <c r="EW533" s="137"/>
      <c r="EX533" s="137"/>
      <c r="EY533" s="3"/>
      <c r="EZ533" s="138"/>
      <c r="FA533" s="2"/>
      <c r="FB533" s="139"/>
      <c r="FC533" s="3"/>
      <c r="FD533" s="3"/>
      <c r="FE533" s="3"/>
      <c r="FF533" s="3"/>
      <c r="FG533" s="3"/>
      <c r="FH533" s="3"/>
      <c r="FI533" s="3"/>
      <c r="FJ533" s="3"/>
      <c r="FK533" s="3"/>
      <c r="FL533" s="3"/>
      <c r="FM533" s="131"/>
      <c r="FN533" s="15"/>
      <c r="FO533" s="99"/>
      <c r="FP533" s="149"/>
      <c r="FQ533" s="134"/>
      <c r="FR533" s="134"/>
      <c r="FS533" s="137"/>
      <c r="FT533" s="150"/>
      <c r="FU533" s="137"/>
      <c r="FV533" s="137"/>
      <c r="FW533" s="3"/>
      <c r="FX533" s="138"/>
      <c r="FY533" s="2"/>
      <c r="FZ533" s="139"/>
      <c r="GA533" s="3"/>
      <c r="GB533" s="3"/>
      <c r="GC533" s="3"/>
      <c r="GD533" s="3"/>
      <c r="GE533" s="3"/>
      <c r="GF533" s="3"/>
      <c r="GG533" s="3"/>
      <c r="GH533" s="3"/>
      <c r="GI533" s="3"/>
      <c r="GJ533" s="3"/>
      <c r="GK533" s="131"/>
      <c r="GL533" s="15"/>
      <c r="GM533" s="99"/>
      <c r="GN533" s="149"/>
      <c r="GO533" s="134"/>
      <c r="GP533" s="134"/>
      <c r="GQ533" s="137"/>
      <c r="GR533" s="150"/>
      <c r="GS533" s="137"/>
      <c r="GT533" s="137"/>
      <c r="GU533" s="3"/>
      <c r="GV533" s="138"/>
      <c r="GW533" s="2"/>
      <c r="GX533" s="139"/>
      <c r="GY533" s="3"/>
      <c r="GZ533" s="3"/>
      <c r="HA533" s="3"/>
      <c r="HB533" s="3"/>
      <c r="HC533" s="3"/>
      <c r="HD533" s="3"/>
      <c r="HE533" s="3"/>
      <c r="HF533" s="3"/>
      <c r="HG533" s="3"/>
      <c r="HH533" s="3"/>
      <c r="HI533" s="131"/>
      <c r="HJ533" s="15"/>
      <c r="HK533" s="99"/>
      <c r="HL533" s="149"/>
      <c r="HM533" s="134"/>
      <c r="HN533" s="134"/>
      <c r="HO533" s="137"/>
      <c r="HP533" s="150"/>
      <c r="HQ533" s="137"/>
      <c r="HR533" s="137"/>
      <c r="HS533" s="3"/>
      <c r="HT533" s="138"/>
      <c r="HU533" s="2"/>
      <c r="HV533" s="139"/>
      <c r="HW533" s="3"/>
      <c r="HX533" s="3"/>
      <c r="HY533" s="3"/>
      <c r="HZ533" s="3"/>
      <c r="IA533" s="3"/>
      <c r="IB533" s="3"/>
      <c r="IC533" s="3"/>
      <c r="ID533" s="3"/>
      <c r="IE533" s="3"/>
      <c r="IF533" s="3"/>
      <c r="IG533" s="131"/>
      <c r="IH533" s="15"/>
      <c r="II533" s="99"/>
      <c r="IJ533" s="149"/>
      <c r="IK533" s="134"/>
      <c r="IL533" s="134"/>
      <c r="IM533" s="137"/>
      <c r="IN533" s="150"/>
      <c r="IO533" s="137"/>
      <c r="IP533" s="137"/>
      <c r="IQ533" s="3"/>
      <c r="IR533" s="138"/>
      <c r="IS533" s="2"/>
      <c r="IT533" s="139"/>
      <c r="IU533" s="3"/>
      <c r="IV533" s="3"/>
    </row>
    <row r="534" spans="1:256" s="125" customFormat="1" ht="13.5" customHeight="1">
      <c r="A534" s="84">
        <v>55</v>
      </c>
      <c r="B534" s="56">
        <v>43082</v>
      </c>
      <c r="C534" s="18"/>
      <c r="D534" s="19" t="s">
        <v>359</v>
      </c>
      <c r="E534" s="20" t="s">
        <v>363</v>
      </c>
      <c r="F534" s="82" t="s">
        <v>727</v>
      </c>
      <c r="G534" s="63">
        <v>1707</v>
      </c>
      <c r="H534" s="121">
        <v>3478000</v>
      </c>
      <c r="I534" s="24"/>
      <c r="J534" s="24">
        <f>SUM(H534)/1.05</f>
        <v>3312380.9523809524</v>
      </c>
      <c r="K534" s="24">
        <f t="shared" si="43"/>
        <v>3312380.9523809524</v>
      </c>
      <c r="L534" s="123">
        <v>1</v>
      </c>
      <c r="M534" s="24">
        <f t="shared" si="44"/>
        <v>3312380.9523809524</v>
      </c>
      <c r="N534" s="129">
        <f t="shared" si="45"/>
        <v>0</v>
      </c>
      <c r="O534" s="85" t="s">
        <v>665</v>
      </c>
      <c r="P534" s="3"/>
      <c r="Q534" s="140"/>
      <c r="R534" s="3"/>
      <c r="S534" s="3"/>
      <c r="T534" s="3"/>
      <c r="U534" s="3"/>
      <c r="V534" s="3"/>
      <c r="W534" s="3"/>
      <c r="X534" s="3"/>
      <c r="Y534" s="131"/>
      <c r="Z534" s="15"/>
      <c r="AA534" s="99"/>
      <c r="AB534" s="149"/>
      <c r="AC534" s="134"/>
      <c r="AD534" s="134"/>
      <c r="AE534" s="137"/>
      <c r="AF534" s="150"/>
      <c r="AG534" s="137"/>
      <c r="AH534" s="137"/>
      <c r="AI534" s="3"/>
      <c r="AJ534" s="138"/>
      <c r="AK534" s="2"/>
      <c r="AL534" s="139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131"/>
      <c r="AX534" s="15"/>
      <c r="AY534" s="99"/>
      <c r="AZ534" s="149"/>
      <c r="BA534" s="134"/>
      <c r="BB534" s="134"/>
      <c r="BC534" s="137"/>
      <c r="BD534" s="150"/>
      <c r="BE534" s="137"/>
      <c r="BF534" s="137"/>
      <c r="BG534" s="3"/>
      <c r="BH534" s="138"/>
      <c r="BI534" s="2"/>
      <c r="BJ534" s="139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131"/>
      <c r="BV534" s="15"/>
      <c r="BW534" s="99"/>
      <c r="BX534" s="149"/>
      <c r="BY534" s="134"/>
      <c r="BZ534" s="134"/>
      <c r="CA534" s="137"/>
      <c r="CB534" s="150"/>
      <c r="CC534" s="137"/>
      <c r="CD534" s="137"/>
      <c r="CE534" s="3"/>
      <c r="CF534" s="138"/>
      <c r="CG534" s="2"/>
      <c r="CH534" s="139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131"/>
      <c r="CT534" s="15"/>
      <c r="CU534" s="99"/>
      <c r="CV534" s="149"/>
      <c r="CW534" s="134"/>
      <c r="CX534" s="134"/>
      <c r="CY534" s="137"/>
      <c r="CZ534" s="150"/>
      <c r="DA534" s="137"/>
      <c r="DB534" s="137"/>
      <c r="DC534" s="3"/>
      <c r="DD534" s="138"/>
      <c r="DE534" s="2"/>
      <c r="DF534" s="139"/>
      <c r="DG534" s="3"/>
      <c r="DH534" s="3"/>
      <c r="DI534" s="3"/>
      <c r="DJ534" s="3"/>
      <c r="DK534" s="3"/>
      <c r="DL534" s="3"/>
      <c r="DM534" s="3"/>
      <c r="DN534" s="3"/>
      <c r="DO534" s="3"/>
      <c r="DP534" s="3"/>
      <c r="DQ534" s="131"/>
      <c r="DR534" s="15"/>
      <c r="DS534" s="99"/>
      <c r="DT534" s="149"/>
      <c r="DU534" s="134"/>
      <c r="DV534" s="134"/>
      <c r="DW534" s="137"/>
      <c r="DX534" s="150"/>
      <c r="DY534" s="137"/>
      <c r="DZ534" s="137"/>
      <c r="EA534" s="3"/>
      <c r="EB534" s="138"/>
      <c r="EC534" s="2"/>
      <c r="ED534" s="139"/>
      <c r="EE534" s="3"/>
      <c r="EF534" s="3"/>
      <c r="EG534" s="3"/>
      <c r="EH534" s="3"/>
      <c r="EI534" s="3"/>
      <c r="EJ534" s="3"/>
      <c r="EK534" s="3"/>
      <c r="EL534" s="3"/>
      <c r="EM534" s="3"/>
      <c r="EN534" s="3"/>
      <c r="EO534" s="131"/>
      <c r="EP534" s="15"/>
      <c r="EQ534" s="99"/>
      <c r="ER534" s="149"/>
      <c r="ES534" s="134"/>
      <c r="ET534" s="134"/>
      <c r="EU534" s="137"/>
      <c r="EV534" s="150"/>
      <c r="EW534" s="137"/>
      <c r="EX534" s="137"/>
      <c r="EY534" s="3"/>
      <c r="EZ534" s="138"/>
      <c r="FA534" s="2"/>
      <c r="FB534" s="139"/>
      <c r="FC534" s="3"/>
      <c r="FD534" s="3"/>
      <c r="FE534" s="3"/>
      <c r="FF534" s="3"/>
      <c r="FG534" s="3"/>
      <c r="FH534" s="3"/>
      <c r="FI534" s="3"/>
      <c r="FJ534" s="3"/>
      <c r="FK534" s="3"/>
      <c r="FL534" s="3"/>
      <c r="FM534" s="131"/>
      <c r="FN534" s="15"/>
      <c r="FO534" s="99"/>
      <c r="FP534" s="149"/>
      <c r="FQ534" s="134"/>
      <c r="FR534" s="134"/>
      <c r="FS534" s="137"/>
      <c r="FT534" s="150"/>
      <c r="FU534" s="137"/>
      <c r="FV534" s="137"/>
      <c r="FW534" s="3"/>
      <c r="FX534" s="138"/>
      <c r="FY534" s="2"/>
      <c r="FZ534" s="139"/>
      <c r="GA534" s="3"/>
      <c r="GB534" s="3"/>
      <c r="GC534" s="3"/>
      <c r="GD534" s="3"/>
      <c r="GE534" s="3"/>
      <c r="GF534" s="3"/>
      <c r="GG534" s="3"/>
      <c r="GH534" s="3"/>
      <c r="GI534" s="3"/>
      <c r="GJ534" s="3"/>
      <c r="GK534" s="131"/>
      <c r="GL534" s="15"/>
      <c r="GM534" s="99"/>
      <c r="GN534" s="149"/>
      <c r="GO534" s="134"/>
      <c r="GP534" s="134"/>
      <c r="GQ534" s="137"/>
      <c r="GR534" s="150"/>
      <c r="GS534" s="137"/>
      <c r="GT534" s="137"/>
      <c r="GU534" s="3"/>
      <c r="GV534" s="138"/>
      <c r="GW534" s="2"/>
      <c r="GX534" s="139"/>
      <c r="GY534" s="3"/>
      <c r="GZ534" s="3"/>
      <c r="HA534" s="3"/>
      <c r="HB534" s="3"/>
      <c r="HC534" s="3"/>
      <c r="HD534" s="3"/>
      <c r="HE534" s="3"/>
      <c r="HF534" s="3"/>
      <c r="HG534" s="3"/>
      <c r="HH534" s="3"/>
      <c r="HI534" s="131"/>
      <c r="HJ534" s="15"/>
      <c r="HK534" s="99"/>
      <c r="HL534" s="149"/>
      <c r="HM534" s="134"/>
      <c r="HN534" s="134"/>
      <c r="HO534" s="137"/>
      <c r="HP534" s="150"/>
      <c r="HQ534" s="137"/>
      <c r="HR534" s="137"/>
      <c r="HS534" s="3"/>
      <c r="HT534" s="138"/>
      <c r="HU534" s="2"/>
      <c r="HV534" s="139"/>
      <c r="HW534" s="3"/>
      <c r="HX534" s="3"/>
      <c r="HY534" s="3"/>
      <c r="HZ534" s="3"/>
      <c r="IA534" s="3"/>
      <c r="IB534" s="3"/>
      <c r="IC534" s="3"/>
      <c r="ID534" s="3"/>
      <c r="IE534" s="3"/>
      <c r="IF534" s="3"/>
      <c r="IG534" s="131"/>
      <c r="IH534" s="15"/>
      <c r="II534" s="99"/>
      <c r="IJ534" s="149"/>
      <c r="IK534" s="134"/>
      <c r="IL534" s="134"/>
      <c r="IM534" s="137"/>
      <c r="IN534" s="150"/>
      <c r="IO534" s="137"/>
      <c r="IP534" s="137"/>
      <c r="IQ534" s="3"/>
      <c r="IR534" s="138"/>
      <c r="IS534" s="2"/>
      <c r="IT534" s="139"/>
      <c r="IU534" s="3"/>
      <c r="IV534" s="3"/>
    </row>
    <row r="535" spans="1:256" s="125" customFormat="1" ht="13.5" customHeight="1">
      <c r="A535" s="84">
        <v>56</v>
      </c>
      <c r="B535" s="56">
        <v>42982</v>
      </c>
      <c r="C535" s="18"/>
      <c r="D535" s="19" t="s">
        <v>427</v>
      </c>
      <c r="E535" s="20" t="s">
        <v>428</v>
      </c>
      <c r="F535" s="82" t="s">
        <v>728</v>
      </c>
      <c r="G535" s="63">
        <v>1707</v>
      </c>
      <c r="H535" s="121">
        <v>3152700</v>
      </c>
      <c r="I535" s="24">
        <v>3002571</v>
      </c>
      <c r="J535" s="24"/>
      <c r="K535" s="199">
        <f t="shared" si="43"/>
        <v>3002571</v>
      </c>
      <c r="L535" s="123">
        <v>1</v>
      </c>
      <c r="M535" s="24">
        <f t="shared" si="44"/>
        <v>3002571</v>
      </c>
      <c r="N535" s="129">
        <f t="shared" si="45"/>
        <v>0</v>
      </c>
      <c r="O535" s="85" t="s">
        <v>665</v>
      </c>
      <c r="P535" s="3"/>
      <c r="Q535" s="140"/>
      <c r="R535" s="3"/>
      <c r="S535" s="3"/>
      <c r="T535" s="3"/>
      <c r="U535" s="3"/>
      <c r="V535" s="3"/>
      <c r="W535" s="3"/>
      <c r="X535" s="3"/>
      <c r="Y535" s="131"/>
      <c r="Z535" s="15"/>
      <c r="AA535" s="99"/>
      <c r="AB535" s="149"/>
      <c r="AC535" s="134"/>
      <c r="AD535" s="134"/>
      <c r="AE535" s="137"/>
      <c r="AF535" s="150"/>
      <c r="AG535" s="137"/>
      <c r="AH535" s="137"/>
      <c r="AI535" s="3"/>
      <c r="AJ535" s="138"/>
      <c r="AK535" s="2"/>
      <c r="AL535" s="139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131"/>
      <c r="AX535" s="15"/>
      <c r="AY535" s="99"/>
      <c r="AZ535" s="149"/>
      <c r="BA535" s="134"/>
      <c r="BB535" s="134"/>
      <c r="BC535" s="137"/>
      <c r="BD535" s="150"/>
      <c r="BE535" s="137"/>
      <c r="BF535" s="137"/>
      <c r="BG535" s="3"/>
      <c r="BH535" s="138"/>
      <c r="BI535" s="2"/>
      <c r="BJ535" s="139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131"/>
      <c r="BV535" s="15"/>
      <c r="BW535" s="99"/>
      <c r="BX535" s="149"/>
      <c r="BY535" s="134"/>
      <c r="BZ535" s="134"/>
      <c r="CA535" s="137"/>
      <c r="CB535" s="150"/>
      <c r="CC535" s="137"/>
      <c r="CD535" s="137"/>
      <c r="CE535" s="3"/>
      <c r="CF535" s="138"/>
      <c r="CG535" s="2"/>
      <c r="CH535" s="139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131"/>
      <c r="CT535" s="15"/>
      <c r="CU535" s="99"/>
      <c r="CV535" s="149"/>
      <c r="CW535" s="134"/>
      <c r="CX535" s="134"/>
      <c r="CY535" s="137"/>
      <c r="CZ535" s="150"/>
      <c r="DA535" s="137"/>
      <c r="DB535" s="137"/>
      <c r="DC535" s="3"/>
      <c r="DD535" s="138"/>
      <c r="DE535" s="2"/>
      <c r="DF535" s="139"/>
      <c r="DG535" s="3"/>
      <c r="DH535" s="3"/>
      <c r="DI535" s="3"/>
      <c r="DJ535" s="3"/>
      <c r="DK535" s="3"/>
      <c r="DL535" s="3"/>
      <c r="DM535" s="3"/>
      <c r="DN535" s="3"/>
      <c r="DO535" s="3"/>
      <c r="DP535" s="3"/>
      <c r="DQ535" s="131"/>
      <c r="DR535" s="15"/>
      <c r="DS535" s="99"/>
      <c r="DT535" s="149"/>
      <c r="DU535" s="134"/>
      <c r="DV535" s="134"/>
      <c r="DW535" s="137"/>
      <c r="DX535" s="150"/>
      <c r="DY535" s="137"/>
      <c r="DZ535" s="137"/>
      <c r="EA535" s="3"/>
      <c r="EB535" s="138"/>
      <c r="EC535" s="2"/>
      <c r="ED535" s="139"/>
      <c r="EE535" s="3"/>
      <c r="EF535" s="3"/>
      <c r="EG535" s="3"/>
      <c r="EH535" s="3"/>
      <c r="EI535" s="3"/>
      <c r="EJ535" s="3"/>
      <c r="EK535" s="3"/>
      <c r="EL535" s="3"/>
      <c r="EM535" s="3"/>
      <c r="EN535" s="3"/>
      <c r="EO535" s="131"/>
      <c r="EP535" s="15"/>
      <c r="EQ535" s="99"/>
      <c r="ER535" s="149"/>
      <c r="ES535" s="134"/>
      <c r="ET535" s="134"/>
      <c r="EU535" s="137"/>
      <c r="EV535" s="150"/>
      <c r="EW535" s="137"/>
      <c r="EX535" s="137"/>
      <c r="EY535" s="3"/>
      <c r="EZ535" s="138"/>
      <c r="FA535" s="2"/>
      <c r="FB535" s="139"/>
      <c r="FC535" s="3"/>
      <c r="FD535" s="3"/>
      <c r="FE535" s="3"/>
      <c r="FF535" s="3"/>
      <c r="FG535" s="3"/>
      <c r="FH535" s="3"/>
      <c r="FI535" s="3"/>
      <c r="FJ535" s="3"/>
      <c r="FK535" s="3"/>
      <c r="FL535" s="3"/>
      <c r="FM535" s="131"/>
      <c r="FN535" s="15"/>
      <c r="FO535" s="99"/>
      <c r="FP535" s="149"/>
      <c r="FQ535" s="134"/>
      <c r="FR535" s="134"/>
      <c r="FS535" s="137"/>
      <c r="FT535" s="150"/>
      <c r="FU535" s="137"/>
      <c r="FV535" s="137"/>
      <c r="FW535" s="3"/>
      <c r="FX535" s="138"/>
      <c r="FY535" s="2"/>
      <c r="FZ535" s="139"/>
      <c r="GA535" s="3"/>
      <c r="GB535" s="3"/>
      <c r="GC535" s="3"/>
      <c r="GD535" s="3"/>
      <c r="GE535" s="3"/>
      <c r="GF535" s="3"/>
      <c r="GG535" s="3"/>
      <c r="GH535" s="3"/>
      <c r="GI535" s="3"/>
      <c r="GJ535" s="3"/>
      <c r="GK535" s="131"/>
      <c r="GL535" s="15"/>
      <c r="GM535" s="99"/>
      <c r="GN535" s="149"/>
      <c r="GO535" s="134"/>
      <c r="GP535" s="134"/>
      <c r="GQ535" s="137"/>
      <c r="GR535" s="150"/>
      <c r="GS535" s="137"/>
      <c r="GT535" s="137"/>
      <c r="GU535" s="3"/>
      <c r="GV535" s="138"/>
      <c r="GW535" s="2"/>
      <c r="GX535" s="139"/>
      <c r="GY535" s="3"/>
      <c r="GZ535" s="3"/>
      <c r="HA535" s="3"/>
      <c r="HB535" s="3"/>
      <c r="HC535" s="3"/>
      <c r="HD535" s="3"/>
      <c r="HE535" s="3"/>
      <c r="HF535" s="3"/>
      <c r="HG535" s="3"/>
      <c r="HH535" s="3"/>
      <c r="HI535" s="131"/>
      <c r="HJ535" s="15"/>
      <c r="HK535" s="99"/>
      <c r="HL535" s="149"/>
      <c r="HM535" s="134"/>
      <c r="HN535" s="134"/>
      <c r="HO535" s="137"/>
      <c r="HP535" s="150"/>
      <c r="HQ535" s="137"/>
      <c r="HR535" s="137"/>
      <c r="HS535" s="3"/>
      <c r="HT535" s="138"/>
      <c r="HU535" s="2"/>
      <c r="HV535" s="139"/>
      <c r="HW535" s="3"/>
      <c r="HX535" s="3"/>
      <c r="HY535" s="3"/>
      <c r="HZ535" s="3"/>
      <c r="IA535" s="3"/>
      <c r="IB535" s="3"/>
      <c r="IC535" s="3"/>
      <c r="ID535" s="3"/>
      <c r="IE535" s="3"/>
      <c r="IF535" s="3"/>
      <c r="IG535" s="131"/>
      <c r="IH535" s="15"/>
      <c r="II535" s="99"/>
      <c r="IJ535" s="149"/>
      <c r="IK535" s="134"/>
      <c r="IL535" s="134"/>
      <c r="IM535" s="137"/>
      <c r="IN535" s="150"/>
      <c r="IO535" s="137"/>
      <c r="IP535" s="137"/>
      <c r="IQ535" s="3"/>
      <c r="IR535" s="138"/>
      <c r="IS535" s="2"/>
      <c r="IT535" s="139"/>
      <c r="IU535" s="3"/>
      <c r="IV535" s="3"/>
    </row>
    <row r="536" spans="1:256" s="125" customFormat="1" ht="13.5" customHeight="1">
      <c r="A536" s="84">
        <v>57</v>
      </c>
      <c r="B536" s="60">
        <v>43096</v>
      </c>
      <c r="C536" s="18" t="s">
        <v>226</v>
      </c>
      <c r="D536" s="19" t="s">
        <v>601</v>
      </c>
      <c r="E536" s="20" t="s">
        <v>601</v>
      </c>
      <c r="F536" s="168" t="s">
        <v>729</v>
      </c>
      <c r="G536" s="63">
        <v>1703</v>
      </c>
      <c r="H536" s="121">
        <v>4560000</v>
      </c>
      <c r="I536" s="24"/>
      <c r="J536" s="24">
        <f>SUM(H536)/1.05</f>
        <v>4342857.1428571427</v>
      </c>
      <c r="K536" s="24">
        <f t="shared" si="43"/>
        <v>4342857.1428571427</v>
      </c>
      <c r="L536" s="123">
        <v>1</v>
      </c>
      <c r="M536" s="24">
        <f t="shared" si="44"/>
        <v>4342857.1428571427</v>
      </c>
      <c r="N536" s="129">
        <f t="shared" si="45"/>
        <v>0</v>
      </c>
      <c r="O536" s="85" t="s">
        <v>665</v>
      </c>
      <c r="P536" s="3"/>
      <c r="Q536" s="140"/>
      <c r="R536" s="3"/>
      <c r="S536" s="3"/>
      <c r="T536" s="3"/>
      <c r="U536" s="3"/>
      <c r="V536" s="3"/>
      <c r="W536" s="3"/>
      <c r="X536" s="3"/>
      <c r="Y536" s="131"/>
      <c r="Z536" s="15"/>
      <c r="AA536" s="99"/>
      <c r="AB536" s="149"/>
      <c r="AC536" s="134"/>
      <c r="AD536" s="134"/>
      <c r="AE536" s="137"/>
      <c r="AF536" s="150"/>
      <c r="AG536" s="137"/>
      <c r="AH536" s="137"/>
      <c r="AI536" s="3"/>
      <c r="AJ536" s="138"/>
      <c r="AK536" s="2"/>
      <c r="AL536" s="139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131"/>
      <c r="AX536" s="15"/>
      <c r="AY536" s="99"/>
      <c r="AZ536" s="149"/>
      <c r="BA536" s="134"/>
      <c r="BB536" s="134"/>
      <c r="BC536" s="137"/>
      <c r="BD536" s="150"/>
      <c r="BE536" s="137"/>
      <c r="BF536" s="137"/>
      <c r="BG536" s="3"/>
      <c r="BH536" s="138"/>
      <c r="BI536" s="2"/>
      <c r="BJ536" s="139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131"/>
      <c r="BV536" s="15"/>
      <c r="BW536" s="99"/>
      <c r="BX536" s="149"/>
      <c r="BY536" s="134"/>
      <c r="BZ536" s="134"/>
      <c r="CA536" s="137"/>
      <c r="CB536" s="150"/>
      <c r="CC536" s="137"/>
      <c r="CD536" s="137"/>
      <c r="CE536" s="3"/>
      <c r="CF536" s="138"/>
      <c r="CG536" s="2"/>
      <c r="CH536" s="139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131"/>
      <c r="CT536" s="15"/>
      <c r="CU536" s="99"/>
      <c r="CV536" s="149"/>
      <c r="CW536" s="134"/>
      <c r="CX536" s="134"/>
      <c r="CY536" s="137"/>
      <c r="CZ536" s="150"/>
      <c r="DA536" s="137"/>
      <c r="DB536" s="137"/>
      <c r="DC536" s="3"/>
      <c r="DD536" s="138"/>
      <c r="DE536" s="2"/>
      <c r="DF536" s="139"/>
      <c r="DG536" s="3"/>
      <c r="DH536" s="3"/>
      <c r="DI536" s="3"/>
      <c r="DJ536" s="3"/>
      <c r="DK536" s="3"/>
      <c r="DL536" s="3"/>
      <c r="DM536" s="3"/>
      <c r="DN536" s="3"/>
      <c r="DO536" s="3"/>
      <c r="DP536" s="3"/>
      <c r="DQ536" s="131"/>
      <c r="DR536" s="15"/>
      <c r="DS536" s="99"/>
      <c r="DT536" s="149"/>
      <c r="DU536" s="134"/>
      <c r="DV536" s="134"/>
      <c r="DW536" s="137"/>
      <c r="DX536" s="150"/>
      <c r="DY536" s="137"/>
      <c r="DZ536" s="137"/>
      <c r="EA536" s="3"/>
      <c r="EB536" s="138"/>
      <c r="EC536" s="2"/>
      <c r="ED536" s="139"/>
      <c r="EE536" s="3"/>
      <c r="EF536" s="3"/>
      <c r="EG536" s="3"/>
      <c r="EH536" s="3"/>
      <c r="EI536" s="3"/>
      <c r="EJ536" s="3"/>
      <c r="EK536" s="3"/>
      <c r="EL536" s="3"/>
      <c r="EM536" s="3"/>
      <c r="EN536" s="3"/>
      <c r="EO536" s="131"/>
      <c r="EP536" s="15"/>
      <c r="EQ536" s="99"/>
      <c r="ER536" s="149"/>
      <c r="ES536" s="134"/>
      <c r="ET536" s="134"/>
      <c r="EU536" s="137"/>
      <c r="EV536" s="150"/>
      <c r="EW536" s="137"/>
      <c r="EX536" s="137"/>
      <c r="EY536" s="3"/>
      <c r="EZ536" s="138"/>
      <c r="FA536" s="2"/>
      <c r="FB536" s="139"/>
      <c r="FC536" s="3"/>
      <c r="FD536" s="3"/>
      <c r="FE536" s="3"/>
      <c r="FF536" s="3"/>
      <c r="FG536" s="3"/>
      <c r="FH536" s="3"/>
      <c r="FI536" s="3"/>
      <c r="FJ536" s="3"/>
      <c r="FK536" s="3"/>
      <c r="FL536" s="3"/>
      <c r="FM536" s="131"/>
      <c r="FN536" s="15"/>
      <c r="FO536" s="99"/>
      <c r="FP536" s="149"/>
      <c r="FQ536" s="134"/>
      <c r="FR536" s="134"/>
      <c r="FS536" s="137"/>
      <c r="FT536" s="150"/>
      <c r="FU536" s="137"/>
      <c r="FV536" s="137"/>
      <c r="FW536" s="3"/>
      <c r="FX536" s="138"/>
      <c r="FY536" s="2"/>
      <c r="FZ536" s="139"/>
      <c r="GA536" s="3"/>
      <c r="GB536" s="3"/>
      <c r="GC536" s="3"/>
      <c r="GD536" s="3"/>
      <c r="GE536" s="3"/>
      <c r="GF536" s="3"/>
      <c r="GG536" s="3"/>
      <c r="GH536" s="3"/>
      <c r="GI536" s="3"/>
      <c r="GJ536" s="3"/>
      <c r="GK536" s="131"/>
      <c r="GL536" s="15"/>
      <c r="GM536" s="99"/>
      <c r="GN536" s="149"/>
      <c r="GO536" s="134"/>
      <c r="GP536" s="134"/>
      <c r="GQ536" s="137"/>
      <c r="GR536" s="150"/>
      <c r="GS536" s="137"/>
      <c r="GT536" s="137"/>
      <c r="GU536" s="3"/>
      <c r="GV536" s="138"/>
      <c r="GW536" s="2"/>
      <c r="GX536" s="139"/>
      <c r="GY536" s="3"/>
      <c r="GZ536" s="3"/>
      <c r="HA536" s="3"/>
      <c r="HB536" s="3"/>
      <c r="HC536" s="3"/>
      <c r="HD536" s="3"/>
      <c r="HE536" s="3"/>
      <c r="HF536" s="3"/>
      <c r="HG536" s="3"/>
      <c r="HH536" s="3"/>
      <c r="HI536" s="131"/>
      <c r="HJ536" s="15"/>
      <c r="HK536" s="99"/>
      <c r="HL536" s="149"/>
      <c r="HM536" s="134"/>
      <c r="HN536" s="134"/>
      <c r="HO536" s="137"/>
      <c r="HP536" s="150"/>
      <c r="HQ536" s="137"/>
      <c r="HR536" s="137"/>
      <c r="HS536" s="3"/>
      <c r="HT536" s="138"/>
      <c r="HU536" s="2"/>
      <c r="HV536" s="139"/>
      <c r="HW536" s="3"/>
      <c r="HX536" s="3"/>
      <c r="HY536" s="3"/>
      <c r="HZ536" s="3"/>
      <c r="IA536" s="3"/>
      <c r="IB536" s="3"/>
      <c r="IC536" s="3"/>
      <c r="ID536" s="3"/>
      <c r="IE536" s="3"/>
      <c r="IF536" s="3"/>
      <c r="IG536" s="131"/>
      <c r="IH536" s="15"/>
      <c r="II536" s="99"/>
      <c r="IJ536" s="149"/>
      <c r="IK536" s="134"/>
      <c r="IL536" s="134"/>
      <c r="IM536" s="137"/>
      <c r="IN536" s="150"/>
      <c r="IO536" s="137"/>
      <c r="IP536" s="137"/>
      <c r="IQ536" s="3"/>
      <c r="IR536" s="138"/>
      <c r="IS536" s="2"/>
      <c r="IT536" s="139"/>
      <c r="IU536" s="3"/>
      <c r="IV536" s="3"/>
    </row>
    <row r="537" spans="1:256" s="125" customFormat="1" ht="13.5" customHeight="1">
      <c r="A537" s="84">
        <v>58</v>
      </c>
      <c r="B537" s="60">
        <v>43061</v>
      </c>
      <c r="C537" s="18" t="s">
        <v>235</v>
      </c>
      <c r="D537" s="19" t="s">
        <v>441</v>
      </c>
      <c r="E537" s="20" t="s">
        <v>730</v>
      </c>
      <c r="F537" s="62" t="s">
        <v>731</v>
      </c>
      <c r="G537" s="63">
        <v>1708</v>
      </c>
      <c r="H537" s="121">
        <f>1626200+8650</f>
        <v>1634850</v>
      </c>
      <c r="I537" s="24">
        <v>1557000</v>
      </c>
      <c r="J537" s="24"/>
      <c r="K537" s="24">
        <f t="shared" ref="K537:K601" si="49">I537+J537</f>
        <v>1557000</v>
      </c>
      <c r="L537" s="123">
        <v>1</v>
      </c>
      <c r="M537" s="24">
        <f t="shared" ref="M537:M601" si="50">K537*L537</f>
        <v>1557000</v>
      </c>
      <c r="N537" s="129">
        <f t="shared" ref="N537:N601" si="51">K537-M537</f>
        <v>0</v>
      </c>
      <c r="O537" s="85" t="s">
        <v>665</v>
      </c>
      <c r="P537" s="3"/>
      <c r="Q537" s="140"/>
      <c r="R537" s="3"/>
      <c r="S537" s="3"/>
      <c r="T537" s="3"/>
      <c r="U537" s="3"/>
      <c r="V537" s="3"/>
      <c r="W537" s="3"/>
      <c r="X537" s="3"/>
      <c r="Y537" s="131"/>
      <c r="Z537" s="15"/>
      <c r="AA537" s="99"/>
      <c r="AB537" s="149"/>
      <c r="AC537" s="134"/>
      <c r="AD537" s="134"/>
      <c r="AE537" s="137"/>
      <c r="AF537" s="150"/>
      <c r="AG537" s="137"/>
      <c r="AH537" s="137"/>
      <c r="AI537" s="3"/>
      <c r="AJ537" s="138"/>
      <c r="AK537" s="2"/>
      <c r="AL537" s="139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131"/>
      <c r="AX537" s="15"/>
      <c r="AY537" s="99"/>
      <c r="AZ537" s="149"/>
      <c r="BA537" s="134"/>
      <c r="BB537" s="134"/>
      <c r="BC537" s="137"/>
      <c r="BD537" s="150"/>
      <c r="BE537" s="137"/>
      <c r="BF537" s="137"/>
      <c r="BG537" s="3"/>
      <c r="BH537" s="138"/>
      <c r="BI537" s="2"/>
      <c r="BJ537" s="139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131"/>
      <c r="BV537" s="15"/>
      <c r="BW537" s="99"/>
      <c r="BX537" s="149"/>
      <c r="BY537" s="134"/>
      <c r="BZ537" s="134"/>
      <c r="CA537" s="137"/>
      <c r="CB537" s="150"/>
      <c r="CC537" s="137"/>
      <c r="CD537" s="137"/>
      <c r="CE537" s="3"/>
      <c r="CF537" s="138"/>
      <c r="CG537" s="2"/>
      <c r="CH537" s="139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131"/>
      <c r="CT537" s="15"/>
      <c r="CU537" s="99"/>
      <c r="CV537" s="149"/>
      <c r="CW537" s="134"/>
      <c r="CX537" s="134"/>
      <c r="CY537" s="137"/>
      <c r="CZ537" s="150"/>
      <c r="DA537" s="137"/>
      <c r="DB537" s="137"/>
      <c r="DC537" s="3"/>
      <c r="DD537" s="138"/>
      <c r="DE537" s="2"/>
      <c r="DF537" s="139"/>
      <c r="DG537" s="3"/>
      <c r="DH537" s="3"/>
      <c r="DI537" s="3"/>
      <c r="DJ537" s="3"/>
      <c r="DK537" s="3"/>
      <c r="DL537" s="3"/>
      <c r="DM537" s="3"/>
      <c r="DN537" s="3"/>
      <c r="DO537" s="3"/>
      <c r="DP537" s="3"/>
      <c r="DQ537" s="131"/>
      <c r="DR537" s="15"/>
      <c r="DS537" s="99"/>
      <c r="DT537" s="149"/>
      <c r="DU537" s="134"/>
      <c r="DV537" s="134"/>
      <c r="DW537" s="137"/>
      <c r="DX537" s="150"/>
      <c r="DY537" s="137"/>
      <c r="DZ537" s="137"/>
      <c r="EA537" s="3"/>
      <c r="EB537" s="138"/>
      <c r="EC537" s="2"/>
      <c r="ED537" s="139"/>
      <c r="EE537" s="3"/>
      <c r="EF537" s="3"/>
      <c r="EG537" s="3"/>
      <c r="EH537" s="3"/>
      <c r="EI537" s="3"/>
      <c r="EJ537" s="3"/>
      <c r="EK537" s="3"/>
      <c r="EL537" s="3"/>
      <c r="EM537" s="3"/>
      <c r="EN537" s="3"/>
      <c r="EO537" s="131"/>
      <c r="EP537" s="15"/>
      <c r="EQ537" s="99"/>
      <c r="ER537" s="149"/>
      <c r="ES537" s="134"/>
      <c r="ET537" s="134"/>
      <c r="EU537" s="137"/>
      <c r="EV537" s="150"/>
      <c r="EW537" s="137"/>
      <c r="EX537" s="137"/>
      <c r="EY537" s="3"/>
      <c r="EZ537" s="138"/>
      <c r="FA537" s="2"/>
      <c r="FB537" s="139"/>
      <c r="FC537" s="3"/>
      <c r="FD537" s="3"/>
      <c r="FE537" s="3"/>
      <c r="FF537" s="3"/>
      <c r="FG537" s="3"/>
      <c r="FH537" s="3"/>
      <c r="FI537" s="3"/>
      <c r="FJ537" s="3"/>
      <c r="FK537" s="3"/>
      <c r="FL537" s="3"/>
      <c r="FM537" s="131"/>
      <c r="FN537" s="15"/>
      <c r="FO537" s="99"/>
      <c r="FP537" s="149"/>
      <c r="FQ537" s="134"/>
      <c r="FR537" s="134"/>
      <c r="FS537" s="137"/>
      <c r="FT537" s="150"/>
      <c r="FU537" s="137"/>
      <c r="FV537" s="137"/>
      <c r="FW537" s="3"/>
      <c r="FX537" s="138"/>
      <c r="FY537" s="2"/>
      <c r="FZ537" s="139"/>
      <c r="GA537" s="3"/>
      <c r="GB537" s="3"/>
      <c r="GC537" s="3"/>
      <c r="GD537" s="3"/>
      <c r="GE537" s="3"/>
      <c r="GF537" s="3"/>
      <c r="GG537" s="3"/>
      <c r="GH537" s="3"/>
      <c r="GI537" s="3"/>
      <c r="GJ537" s="3"/>
      <c r="GK537" s="131"/>
      <c r="GL537" s="15"/>
      <c r="GM537" s="99"/>
      <c r="GN537" s="149"/>
      <c r="GO537" s="134"/>
      <c r="GP537" s="134"/>
      <c r="GQ537" s="137"/>
      <c r="GR537" s="150"/>
      <c r="GS537" s="137"/>
      <c r="GT537" s="137"/>
      <c r="GU537" s="3"/>
      <c r="GV537" s="138"/>
      <c r="GW537" s="2"/>
      <c r="GX537" s="139"/>
      <c r="GY537" s="3"/>
      <c r="GZ537" s="3"/>
      <c r="HA537" s="3"/>
      <c r="HB537" s="3"/>
      <c r="HC537" s="3"/>
      <c r="HD537" s="3"/>
      <c r="HE537" s="3"/>
      <c r="HF537" s="3"/>
      <c r="HG537" s="3"/>
      <c r="HH537" s="3"/>
      <c r="HI537" s="131"/>
      <c r="HJ537" s="15"/>
      <c r="HK537" s="99"/>
      <c r="HL537" s="149"/>
      <c r="HM537" s="134"/>
      <c r="HN537" s="134"/>
      <c r="HO537" s="137"/>
      <c r="HP537" s="150"/>
      <c r="HQ537" s="137"/>
      <c r="HR537" s="137"/>
      <c r="HS537" s="3"/>
      <c r="HT537" s="138"/>
      <c r="HU537" s="2"/>
      <c r="HV537" s="139"/>
      <c r="HW537" s="3"/>
      <c r="HX537" s="3"/>
      <c r="HY537" s="3"/>
      <c r="HZ537" s="3"/>
      <c r="IA537" s="3"/>
      <c r="IB537" s="3"/>
      <c r="IC537" s="3"/>
      <c r="ID537" s="3"/>
      <c r="IE537" s="3"/>
      <c r="IF537" s="3"/>
      <c r="IG537" s="131"/>
      <c r="IH537" s="15"/>
      <c r="II537" s="99"/>
      <c r="IJ537" s="149"/>
      <c r="IK537" s="134"/>
      <c r="IL537" s="134"/>
      <c r="IM537" s="137"/>
      <c r="IN537" s="150"/>
      <c r="IO537" s="137"/>
      <c r="IP537" s="137"/>
      <c r="IQ537" s="3"/>
      <c r="IR537" s="138"/>
      <c r="IS537" s="2"/>
      <c r="IT537" s="139"/>
      <c r="IU537" s="3"/>
      <c r="IV537" s="3"/>
    </row>
    <row r="538" spans="1:256" s="125" customFormat="1" ht="13.5" customHeight="1">
      <c r="A538" s="84">
        <v>59</v>
      </c>
      <c r="B538" s="56">
        <v>43035</v>
      </c>
      <c r="C538" s="18"/>
      <c r="D538" s="19" t="s">
        <v>441</v>
      </c>
      <c r="E538" s="20" t="s">
        <v>447</v>
      </c>
      <c r="F538" s="120" t="s">
        <v>732</v>
      </c>
      <c r="G538" s="63">
        <v>1708</v>
      </c>
      <c r="H538" s="121">
        <v>1627500</v>
      </c>
      <c r="I538" s="24">
        <v>1550000</v>
      </c>
      <c r="J538" s="24"/>
      <c r="K538" s="24">
        <f t="shared" si="49"/>
        <v>1550000</v>
      </c>
      <c r="L538" s="123">
        <v>1</v>
      </c>
      <c r="M538" s="24">
        <f t="shared" si="50"/>
        <v>1550000</v>
      </c>
      <c r="N538" s="129">
        <f t="shared" si="51"/>
        <v>0</v>
      </c>
      <c r="O538" s="85" t="s">
        <v>665</v>
      </c>
      <c r="P538" s="3"/>
      <c r="Q538" s="140"/>
      <c r="R538" s="3"/>
      <c r="S538" s="3"/>
      <c r="T538" s="3"/>
      <c r="U538" s="3"/>
      <c r="V538" s="3"/>
      <c r="W538" s="3"/>
      <c r="X538" s="3"/>
      <c r="Y538" s="131"/>
      <c r="Z538" s="15"/>
      <c r="AA538" s="99"/>
      <c r="AB538" s="149"/>
      <c r="AC538" s="134"/>
      <c r="AD538" s="134"/>
      <c r="AE538" s="137"/>
      <c r="AF538" s="150"/>
      <c r="AG538" s="137"/>
      <c r="AH538" s="137"/>
      <c r="AI538" s="3"/>
      <c r="AJ538" s="138"/>
      <c r="AK538" s="2"/>
      <c r="AL538" s="139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131"/>
      <c r="AX538" s="15"/>
      <c r="AY538" s="99"/>
      <c r="AZ538" s="149"/>
      <c r="BA538" s="134"/>
      <c r="BB538" s="134"/>
      <c r="BC538" s="137"/>
      <c r="BD538" s="150"/>
      <c r="BE538" s="137"/>
      <c r="BF538" s="137"/>
      <c r="BG538" s="3"/>
      <c r="BH538" s="138"/>
      <c r="BI538" s="2"/>
      <c r="BJ538" s="139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131"/>
      <c r="BV538" s="15"/>
      <c r="BW538" s="99"/>
      <c r="BX538" s="149"/>
      <c r="BY538" s="134"/>
      <c r="BZ538" s="134"/>
      <c r="CA538" s="137"/>
      <c r="CB538" s="150"/>
      <c r="CC538" s="137"/>
      <c r="CD538" s="137"/>
      <c r="CE538" s="3"/>
      <c r="CF538" s="138"/>
      <c r="CG538" s="2"/>
      <c r="CH538" s="139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131"/>
      <c r="CT538" s="15"/>
      <c r="CU538" s="99"/>
      <c r="CV538" s="149"/>
      <c r="CW538" s="134"/>
      <c r="CX538" s="134"/>
      <c r="CY538" s="137"/>
      <c r="CZ538" s="150"/>
      <c r="DA538" s="137"/>
      <c r="DB538" s="137"/>
      <c r="DC538" s="3"/>
      <c r="DD538" s="138"/>
      <c r="DE538" s="2"/>
      <c r="DF538" s="139"/>
      <c r="DG538" s="3"/>
      <c r="DH538" s="3"/>
      <c r="DI538" s="3"/>
      <c r="DJ538" s="3"/>
      <c r="DK538" s="3"/>
      <c r="DL538" s="3"/>
      <c r="DM538" s="3"/>
      <c r="DN538" s="3"/>
      <c r="DO538" s="3"/>
      <c r="DP538" s="3"/>
      <c r="DQ538" s="131"/>
      <c r="DR538" s="15"/>
      <c r="DS538" s="99"/>
      <c r="DT538" s="149"/>
      <c r="DU538" s="134"/>
      <c r="DV538" s="134"/>
      <c r="DW538" s="137"/>
      <c r="DX538" s="150"/>
      <c r="DY538" s="137"/>
      <c r="DZ538" s="137"/>
      <c r="EA538" s="3"/>
      <c r="EB538" s="138"/>
      <c r="EC538" s="2"/>
      <c r="ED538" s="139"/>
      <c r="EE538" s="3"/>
      <c r="EF538" s="3"/>
      <c r="EG538" s="3"/>
      <c r="EH538" s="3"/>
      <c r="EI538" s="3"/>
      <c r="EJ538" s="3"/>
      <c r="EK538" s="3"/>
      <c r="EL538" s="3"/>
      <c r="EM538" s="3"/>
      <c r="EN538" s="3"/>
      <c r="EO538" s="131"/>
      <c r="EP538" s="15"/>
      <c r="EQ538" s="99"/>
      <c r="ER538" s="149"/>
      <c r="ES538" s="134"/>
      <c r="ET538" s="134"/>
      <c r="EU538" s="137"/>
      <c r="EV538" s="150"/>
      <c r="EW538" s="137"/>
      <c r="EX538" s="137"/>
      <c r="EY538" s="3"/>
      <c r="EZ538" s="138"/>
      <c r="FA538" s="2"/>
      <c r="FB538" s="139"/>
      <c r="FC538" s="3"/>
      <c r="FD538" s="3"/>
      <c r="FE538" s="3"/>
      <c r="FF538" s="3"/>
      <c r="FG538" s="3"/>
      <c r="FH538" s="3"/>
      <c r="FI538" s="3"/>
      <c r="FJ538" s="3"/>
      <c r="FK538" s="3"/>
      <c r="FL538" s="3"/>
      <c r="FM538" s="131"/>
      <c r="FN538" s="15"/>
      <c r="FO538" s="99"/>
      <c r="FP538" s="149"/>
      <c r="FQ538" s="134"/>
      <c r="FR538" s="134"/>
      <c r="FS538" s="137"/>
      <c r="FT538" s="150"/>
      <c r="FU538" s="137"/>
      <c r="FV538" s="137"/>
      <c r="FW538" s="3"/>
      <c r="FX538" s="138"/>
      <c r="FY538" s="2"/>
      <c r="FZ538" s="139"/>
      <c r="GA538" s="3"/>
      <c r="GB538" s="3"/>
      <c r="GC538" s="3"/>
      <c r="GD538" s="3"/>
      <c r="GE538" s="3"/>
      <c r="GF538" s="3"/>
      <c r="GG538" s="3"/>
      <c r="GH538" s="3"/>
      <c r="GI538" s="3"/>
      <c r="GJ538" s="3"/>
      <c r="GK538" s="131"/>
      <c r="GL538" s="15"/>
      <c r="GM538" s="99"/>
      <c r="GN538" s="149"/>
      <c r="GO538" s="134"/>
      <c r="GP538" s="134"/>
      <c r="GQ538" s="137"/>
      <c r="GR538" s="150"/>
      <c r="GS538" s="137"/>
      <c r="GT538" s="137"/>
      <c r="GU538" s="3"/>
      <c r="GV538" s="138"/>
      <c r="GW538" s="2"/>
      <c r="GX538" s="139"/>
      <c r="GY538" s="3"/>
      <c r="GZ538" s="3"/>
      <c r="HA538" s="3"/>
      <c r="HB538" s="3"/>
      <c r="HC538" s="3"/>
      <c r="HD538" s="3"/>
      <c r="HE538" s="3"/>
      <c r="HF538" s="3"/>
      <c r="HG538" s="3"/>
      <c r="HH538" s="3"/>
      <c r="HI538" s="131"/>
      <c r="HJ538" s="15"/>
      <c r="HK538" s="99"/>
      <c r="HL538" s="149"/>
      <c r="HM538" s="134"/>
      <c r="HN538" s="134"/>
      <c r="HO538" s="137"/>
      <c r="HP538" s="150"/>
      <c r="HQ538" s="137"/>
      <c r="HR538" s="137"/>
      <c r="HS538" s="3"/>
      <c r="HT538" s="138"/>
      <c r="HU538" s="2"/>
      <c r="HV538" s="139"/>
      <c r="HW538" s="3"/>
      <c r="HX538" s="3"/>
      <c r="HY538" s="3"/>
      <c r="HZ538" s="3"/>
      <c r="IA538" s="3"/>
      <c r="IB538" s="3"/>
      <c r="IC538" s="3"/>
      <c r="ID538" s="3"/>
      <c r="IE538" s="3"/>
      <c r="IF538" s="3"/>
      <c r="IG538" s="131"/>
      <c r="IH538" s="15"/>
      <c r="II538" s="99"/>
      <c r="IJ538" s="149"/>
      <c r="IK538" s="134"/>
      <c r="IL538" s="134"/>
      <c r="IM538" s="137"/>
      <c r="IN538" s="150"/>
      <c r="IO538" s="137"/>
      <c r="IP538" s="137"/>
      <c r="IQ538" s="3"/>
      <c r="IR538" s="138"/>
      <c r="IS538" s="2"/>
      <c r="IT538" s="139"/>
      <c r="IU538" s="3"/>
      <c r="IV538" s="3"/>
    </row>
    <row r="539" spans="1:256" s="125" customFormat="1" ht="13.5" customHeight="1">
      <c r="A539" s="84">
        <v>60</v>
      </c>
      <c r="B539" s="56">
        <v>43074</v>
      </c>
      <c r="C539" s="18"/>
      <c r="D539" s="19" t="s">
        <v>441</v>
      </c>
      <c r="E539" s="20" t="s">
        <v>447</v>
      </c>
      <c r="F539" s="82" t="s">
        <v>733</v>
      </c>
      <c r="G539" s="58">
        <v>1709</v>
      </c>
      <c r="H539" s="121">
        <v>1626200</v>
      </c>
      <c r="I539" s="24"/>
      <c r="J539" s="24">
        <f t="shared" ref="J539:J558" si="52">SUM(H539)/1.05</f>
        <v>1548761.9047619046</v>
      </c>
      <c r="K539" s="24">
        <f t="shared" si="49"/>
        <v>1548761.9047619046</v>
      </c>
      <c r="L539" s="123">
        <v>1</v>
      </c>
      <c r="M539" s="24">
        <f t="shared" si="50"/>
        <v>1548761.9047619046</v>
      </c>
      <c r="N539" s="129">
        <f t="shared" si="51"/>
        <v>0</v>
      </c>
      <c r="O539" s="85" t="s">
        <v>665</v>
      </c>
      <c r="P539" s="3"/>
      <c r="Q539" s="140"/>
      <c r="R539" s="3"/>
      <c r="S539" s="3"/>
      <c r="T539" s="3"/>
      <c r="U539" s="3"/>
      <c r="V539" s="3"/>
      <c r="W539" s="3"/>
      <c r="X539" s="3"/>
      <c r="Y539" s="131"/>
      <c r="Z539" s="15"/>
      <c r="AA539" s="99"/>
      <c r="AB539" s="149"/>
      <c r="AC539" s="134"/>
      <c r="AD539" s="134"/>
      <c r="AE539" s="137"/>
      <c r="AF539" s="150"/>
      <c r="AG539" s="137"/>
      <c r="AH539" s="137"/>
      <c r="AI539" s="3"/>
      <c r="AJ539" s="138"/>
      <c r="AK539" s="2"/>
      <c r="AL539" s="139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131"/>
      <c r="AX539" s="15"/>
      <c r="AY539" s="99"/>
      <c r="AZ539" s="149"/>
      <c r="BA539" s="134"/>
      <c r="BB539" s="134"/>
      <c r="BC539" s="137"/>
      <c r="BD539" s="150"/>
      <c r="BE539" s="137"/>
      <c r="BF539" s="137"/>
      <c r="BG539" s="3"/>
      <c r="BH539" s="138"/>
      <c r="BI539" s="2"/>
      <c r="BJ539" s="139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131"/>
      <c r="BV539" s="15"/>
      <c r="BW539" s="99"/>
      <c r="BX539" s="149"/>
      <c r="BY539" s="134"/>
      <c r="BZ539" s="134"/>
      <c r="CA539" s="137"/>
      <c r="CB539" s="150"/>
      <c r="CC539" s="137"/>
      <c r="CD539" s="137"/>
      <c r="CE539" s="3"/>
      <c r="CF539" s="138"/>
      <c r="CG539" s="2"/>
      <c r="CH539" s="139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131"/>
      <c r="CT539" s="15"/>
      <c r="CU539" s="99"/>
      <c r="CV539" s="149"/>
      <c r="CW539" s="134"/>
      <c r="CX539" s="134"/>
      <c r="CY539" s="137"/>
      <c r="CZ539" s="150"/>
      <c r="DA539" s="137"/>
      <c r="DB539" s="137"/>
      <c r="DC539" s="3"/>
      <c r="DD539" s="138"/>
      <c r="DE539" s="2"/>
      <c r="DF539" s="139"/>
      <c r="DG539" s="3"/>
      <c r="DH539" s="3"/>
      <c r="DI539" s="3"/>
      <c r="DJ539" s="3"/>
      <c r="DK539" s="3"/>
      <c r="DL539" s="3"/>
      <c r="DM539" s="3"/>
      <c r="DN539" s="3"/>
      <c r="DO539" s="3"/>
      <c r="DP539" s="3"/>
      <c r="DQ539" s="131"/>
      <c r="DR539" s="15"/>
      <c r="DS539" s="99"/>
      <c r="DT539" s="149"/>
      <c r="DU539" s="134"/>
      <c r="DV539" s="134"/>
      <c r="DW539" s="137"/>
      <c r="DX539" s="150"/>
      <c r="DY539" s="137"/>
      <c r="DZ539" s="137"/>
      <c r="EA539" s="3"/>
      <c r="EB539" s="138"/>
      <c r="EC539" s="2"/>
      <c r="ED539" s="139"/>
      <c r="EE539" s="3"/>
      <c r="EF539" s="3"/>
      <c r="EG539" s="3"/>
      <c r="EH539" s="3"/>
      <c r="EI539" s="3"/>
      <c r="EJ539" s="3"/>
      <c r="EK539" s="3"/>
      <c r="EL539" s="3"/>
      <c r="EM539" s="3"/>
      <c r="EN539" s="3"/>
      <c r="EO539" s="131"/>
      <c r="EP539" s="15"/>
      <c r="EQ539" s="99"/>
      <c r="ER539" s="149"/>
      <c r="ES539" s="134"/>
      <c r="ET539" s="134"/>
      <c r="EU539" s="137"/>
      <c r="EV539" s="150"/>
      <c r="EW539" s="137"/>
      <c r="EX539" s="137"/>
      <c r="EY539" s="3"/>
      <c r="EZ539" s="138"/>
      <c r="FA539" s="2"/>
      <c r="FB539" s="139"/>
      <c r="FC539" s="3"/>
      <c r="FD539" s="3"/>
      <c r="FE539" s="3"/>
      <c r="FF539" s="3"/>
      <c r="FG539" s="3"/>
      <c r="FH539" s="3"/>
      <c r="FI539" s="3"/>
      <c r="FJ539" s="3"/>
      <c r="FK539" s="3"/>
      <c r="FL539" s="3"/>
      <c r="FM539" s="131"/>
      <c r="FN539" s="15"/>
      <c r="FO539" s="99"/>
      <c r="FP539" s="149"/>
      <c r="FQ539" s="134"/>
      <c r="FR539" s="134"/>
      <c r="FS539" s="137"/>
      <c r="FT539" s="150"/>
      <c r="FU539" s="137"/>
      <c r="FV539" s="137"/>
      <c r="FW539" s="3"/>
      <c r="FX539" s="138"/>
      <c r="FY539" s="2"/>
      <c r="FZ539" s="139"/>
      <c r="GA539" s="3"/>
      <c r="GB539" s="3"/>
      <c r="GC539" s="3"/>
      <c r="GD539" s="3"/>
      <c r="GE539" s="3"/>
      <c r="GF539" s="3"/>
      <c r="GG539" s="3"/>
      <c r="GH539" s="3"/>
      <c r="GI539" s="3"/>
      <c r="GJ539" s="3"/>
      <c r="GK539" s="131"/>
      <c r="GL539" s="15"/>
      <c r="GM539" s="99"/>
      <c r="GN539" s="149"/>
      <c r="GO539" s="134"/>
      <c r="GP539" s="134"/>
      <c r="GQ539" s="137"/>
      <c r="GR539" s="150"/>
      <c r="GS539" s="137"/>
      <c r="GT539" s="137"/>
      <c r="GU539" s="3"/>
      <c r="GV539" s="138"/>
      <c r="GW539" s="2"/>
      <c r="GX539" s="139"/>
      <c r="GY539" s="3"/>
      <c r="GZ539" s="3"/>
      <c r="HA539" s="3"/>
      <c r="HB539" s="3"/>
      <c r="HC539" s="3"/>
      <c r="HD539" s="3"/>
      <c r="HE539" s="3"/>
      <c r="HF539" s="3"/>
      <c r="HG539" s="3"/>
      <c r="HH539" s="3"/>
      <c r="HI539" s="131"/>
      <c r="HJ539" s="15"/>
      <c r="HK539" s="99"/>
      <c r="HL539" s="149"/>
      <c r="HM539" s="134"/>
      <c r="HN539" s="134"/>
      <c r="HO539" s="137"/>
      <c r="HP539" s="150"/>
      <c r="HQ539" s="137"/>
      <c r="HR539" s="137"/>
      <c r="HS539" s="3"/>
      <c r="HT539" s="138"/>
      <c r="HU539" s="2"/>
      <c r="HV539" s="139"/>
      <c r="HW539" s="3"/>
      <c r="HX539" s="3"/>
      <c r="HY539" s="3"/>
      <c r="HZ539" s="3"/>
      <c r="IA539" s="3"/>
      <c r="IB539" s="3"/>
      <c r="IC539" s="3"/>
      <c r="ID539" s="3"/>
      <c r="IE539" s="3"/>
      <c r="IF539" s="3"/>
      <c r="IG539" s="131"/>
      <c r="IH539" s="15"/>
      <c r="II539" s="99"/>
      <c r="IJ539" s="149"/>
      <c r="IK539" s="134"/>
      <c r="IL539" s="134"/>
      <c r="IM539" s="137"/>
      <c r="IN539" s="150"/>
      <c r="IO539" s="137"/>
      <c r="IP539" s="137"/>
      <c r="IQ539" s="3"/>
      <c r="IR539" s="138"/>
      <c r="IS539" s="2"/>
      <c r="IT539" s="139"/>
      <c r="IU539" s="3"/>
      <c r="IV539" s="3"/>
    </row>
    <row r="540" spans="1:256" s="125" customFormat="1" ht="13.5" customHeight="1">
      <c r="A540" s="84">
        <v>61</v>
      </c>
      <c r="B540" s="56">
        <v>43082</v>
      </c>
      <c r="C540" s="18"/>
      <c r="D540" s="19" t="s">
        <v>441</v>
      </c>
      <c r="E540" s="20" t="s">
        <v>447</v>
      </c>
      <c r="F540" s="62" t="s">
        <v>734</v>
      </c>
      <c r="G540" s="63">
        <v>1709</v>
      </c>
      <c r="H540" s="121">
        <v>1626200</v>
      </c>
      <c r="I540" s="24"/>
      <c r="J540" s="24">
        <f t="shared" si="52"/>
        <v>1548761.9047619046</v>
      </c>
      <c r="K540" s="24">
        <f t="shared" si="49"/>
        <v>1548761.9047619046</v>
      </c>
      <c r="L540" s="123">
        <v>1</v>
      </c>
      <c r="M540" s="24">
        <f t="shared" si="50"/>
        <v>1548761.9047619046</v>
      </c>
      <c r="N540" s="129">
        <f t="shared" si="51"/>
        <v>0</v>
      </c>
      <c r="O540" s="85" t="s">
        <v>665</v>
      </c>
      <c r="P540" s="3"/>
      <c r="Q540" s="140"/>
      <c r="R540" s="3"/>
      <c r="S540" s="3"/>
      <c r="T540" s="3"/>
      <c r="U540" s="3"/>
      <c r="V540" s="3"/>
      <c r="W540" s="3"/>
      <c r="X540" s="3"/>
      <c r="Y540" s="131"/>
      <c r="Z540" s="15"/>
      <c r="AA540" s="99"/>
      <c r="AB540" s="149"/>
      <c r="AC540" s="134"/>
      <c r="AD540" s="134"/>
      <c r="AE540" s="137"/>
      <c r="AF540" s="150"/>
      <c r="AG540" s="137"/>
      <c r="AH540" s="137"/>
      <c r="AI540" s="3"/>
      <c r="AJ540" s="138"/>
      <c r="AK540" s="2"/>
      <c r="AL540" s="139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131"/>
      <c r="AX540" s="15"/>
      <c r="AY540" s="99"/>
      <c r="AZ540" s="149"/>
      <c r="BA540" s="134"/>
      <c r="BB540" s="134"/>
      <c r="BC540" s="137"/>
      <c r="BD540" s="150"/>
      <c r="BE540" s="137"/>
      <c r="BF540" s="137"/>
      <c r="BG540" s="3"/>
      <c r="BH540" s="138"/>
      <c r="BI540" s="2"/>
      <c r="BJ540" s="139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131"/>
      <c r="BV540" s="15"/>
      <c r="BW540" s="99"/>
      <c r="BX540" s="149"/>
      <c r="BY540" s="134"/>
      <c r="BZ540" s="134"/>
      <c r="CA540" s="137"/>
      <c r="CB540" s="150"/>
      <c r="CC540" s="137"/>
      <c r="CD540" s="137"/>
      <c r="CE540" s="3"/>
      <c r="CF540" s="138"/>
      <c r="CG540" s="2"/>
      <c r="CH540" s="139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131"/>
      <c r="CT540" s="15"/>
      <c r="CU540" s="99"/>
      <c r="CV540" s="149"/>
      <c r="CW540" s="134"/>
      <c r="CX540" s="134"/>
      <c r="CY540" s="137"/>
      <c r="CZ540" s="150"/>
      <c r="DA540" s="137"/>
      <c r="DB540" s="137"/>
      <c r="DC540" s="3"/>
      <c r="DD540" s="138"/>
      <c r="DE540" s="2"/>
      <c r="DF540" s="139"/>
      <c r="DG540" s="3"/>
      <c r="DH540" s="3"/>
      <c r="DI540" s="3"/>
      <c r="DJ540" s="3"/>
      <c r="DK540" s="3"/>
      <c r="DL540" s="3"/>
      <c r="DM540" s="3"/>
      <c r="DN540" s="3"/>
      <c r="DO540" s="3"/>
      <c r="DP540" s="3"/>
      <c r="DQ540" s="131"/>
      <c r="DR540" s="15"/>
      <c r="DS540" s="99"/>
      <c r="DT540" s="149"/>
      <c r="DU540" s="134"/>
      <c r="DV540" s="134"/>
      <c r="DW540" s="137"/>
      <c r="DX540" s="150"/>
      <c r="DY540" s="137"/>
      <c r="DZ540" s="137"/>
      <c r="EA540" s="3"/>
      <c r="EB540" s="138"/>
      <c r="EC540" s="2"/>
      <c r="ED540" s="139"/>
      <c r="EE540" s="3"/>
      <c r="EF540" s="3"/>
      <c r="EG540" s="3"/>
      <c r="EH540" s="3"/>
      <c r="EI540" s="3"/>
      <c r="EJ540" s="3"/>
      <c r="EK540" s="3"/>
      <c r="EL540" s="3"/>
      <c r="EM540" s="3"/>
      <c r="EN540" s="3"/>
      <c r="EO540" s="131"/>
      <c r="EP540" s="15"/>
      <c r="EQ540" s="99"/>
      <c r="ER540" s="149"/>
      <c r="ES540" s="134"/>
      <c r="ET540" s="134"/>
      <c r="EU540" s="137"/>
      <c r="EV540" s="150"/>
      <c r="EW540" s="137"/>
      <c r="EX540" s="137"/>
      <c r="EY540" s="3"/>
      <c r="EZ540" s="138"/>
      <c r="FA540" s="2"/>
      <c r="FB540" s="139"/>
      <c r="FC540" s="3"/>
      <c r="FD540" s="3"/>
      <c r="FE540" s="3"/>
      <c r="FF540" s="3"/>
      <c r="FG540" s="3"/>
      <c r="FH540" s="3"/>
      <c r="FI540" s="3"/>
      <c r="FJ540" s="3"/>
      <c r="FK540" s="3"/>
      <c r="FL540" s="3"/>
      <c r="FM540" s="131"/>
      <c r="FN540" s="15"/>
      <c r="FO540" s="99"/>
      <c r="FP540" s="149"/>
      <c r="FQ540" s="134"/>
      <c r="FR540" s="134"/>
      <c r="FS540" s="137"/>
      <c r="FT540" s="150"/>
      <c r="FU540" s="137"/>
      <c r="FV540" s="137"/>
      <c r="FW540" s="3"/>
      <c r="FX540" s="138"/>
      <c r="FY540" s="2"/>
      <c r="FZ540" s="139"/>
      <c r="GA540" s="3"/>
      <c r="GB540" s="3"/>
      <c r="GC540" s="3"/>
      <c r="GD540" s="3"/>
      <c r="GE540" s="3"/>
      <c r="GF540" s="3"/>
      <c r="GG540" s="3"/>
      <c r="GH540" s="3"/>
      <c r="GI540" s="3"/>
      <c r="GJ540" s="3"/>
      <c r="GK540" s="131"/>
      <c r="GL540" s="15"/>
      <c r="GM540" s="99"/>
      <c r="GN540" s="149"/>
      <c r="GO540" s="134"/>
      <c r="GP540" s="134"/>
      <c r="GQ540" s="137"/>
      <c r="GR540" s="150"/>
      <c r="GS540" s="137"/>
      <c r="GT540" s="137"/>
      <c r="GU540" s="3"/>
      <c r="GV540" s="138"/>
      <c r="GW540" s="2"/>
      <c r="GX540" s="139"/>
      <c r="GY540" s="3"/>
      <c r="GZ540" s="3"/>
      <c r="HA540" s="3"/>
      <c r="HB540" s="3"/>
      <c r="HC540" s="3"/>
      <c r="HD540" s="3"/>
      <c r="HE540" s="3"/>
      <c r="HF540" s="3"/>
      <c r="HG540" s="3"/>
      <c r="HH540" s="3"/>
      <c r="HI540" s="131"/>
      <c r="HJ540" s="15"/>
      <c r="HK540" s="99"/>
      <c r="HL540" s="149"/>
      <c r="HM540" s="134"/>
      <c r="HN540" s="134"/>
      <c r="HO540" s="137"/>
      <c r="HP540" s="150"/>
      <c r="HQ540" s="137"/>
      <c r="HR540" s="137"/>
      <c r="HS540" s="3"/>
      <c r="HT540" s="138"/>
      <c r="HU540" s="2"/>
      <c r="HV540" s="139"/>
      <c r="HW540" s="3"/>
      <c r="HX540" s="3"/>
      <c r="HY540" s="3"/>
      <c r="HZ540" s="3"/>
      <c r="IA540" s="3"/>
      <c r="IB540" s="3"/>
      <c r="IC540" s="3"/>
      <c r="ID540" s="3"/>
      <c r="IE540" s="3"/>
      <c r="IF540" s="3"/>
      <c r="IG540" s="131"/>
      <c r="IH540" s="15"/>
      <c r="II540" s="99"/>
      <c r="IJ540" s="149"/>
      <c r="IK540" s="134"/>
      <c r="IL540" s="134"/>
      <c r="IM540" s="137"/>
      <c r="IN540" s="150"/>
      <c r="IO540" s="137"/>
      <c r="IP540" s="137"/>
      <c r="IQ540" s="3"/>
      <c r="IR540" s="138"/>
      <c r="IS540" s="2"/>
      <c r="IT540" s="139"/>
      <c r="IU540" s="3"/>
      <c r="IV540" s="3"/>
    </row>
    <row r="541" spans="1:256" s="125" customFormat="1" ht="13.5" customHeight="1">
      <c r="A541" s="84">
        <v>62</v>
      </c>
      <c r="B541" s="56">
        <v>43096</v>
      </c>
      <c r="C541" s="18"/>
      <c r="D541" s="19" t="s">
        <v>441</v>
      </c>
      <c r="E541" s="20" t="s">
        <v>447</v>
      </c>
      <c r="F541" s="62" t="s">
        <v>735</v>
      </c>
      <c r="G541" s="63">
        <v>1710</v>
      </c>
      <c r="H541" s="121">
        <v>1626200</v>
      </c>
      <c r="I541" s="24"/>
      <c r="J541" s="24">
        <f t="shared" si="52"/>
        <v>1548761.9047619046</v>
      </c>
      <c r="K541" s="24">
        <f t="shared" si="49"/>
        <v>1548761.9047619046</v>
      </c>
      <c r="L541" s="123">
        <v>1</v>
      </c>
      <c r="M541" s="24">
        <f t="shared" si="50"/>
        <v>1548761.9047619046</v>
      </c>
      <c r="N541" s="129">
        <f t="shared" si="51"/>
        <v>0</v>
      </c>
      <c r="O541" s="85" t="s">
        <v>665</v>
      </c>
      <c r="P541" s="3"/>
      <c r="Q541" s="140"/>
      <c r="R541" s="3"/>
      <c r="S541" s="3"/>
      <c r="T541" s="3"/>
      <c r="U541" s="3"/>
      <c r="V541" s="3"/>
      <c r="W541" s="3"/>
      <c r="X541" s="3"/>
      <c r="Y541" s="131"/>
      <c r="Z541" s="15"/>
      <c r="AA541" s="99"/>
      <c r="AB541" s="149"/>
      <c r="AC541" s="134"/>
      <c r="AD541" s="134"/>
      <c r="AE541" s="137"/>
      <c r="AF541" s="150"/>
      <c r="AG541" s="137"/>
      <c r="AH541" s="137"/>
      <c r="AI541" s="3"/>
      <c r="AJ541" s="138"/>
      <c r="AK541" s="2"/>
      <c r="AL541" s="139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131"/>
      <c r="AX541" s="15"/>
      <c r="AY541" s="99"/>
      <c r="AZ541" s="149"/>
      <c r="BA541" s="134"/>
      <c r="BB541" s="134"/>
      <c r="BC541" s="137"/>
      <c r="BD541" s="150"/>
      <c r="BE541" s="137"/>
      <c r="BF541" s="137"/>
      <c r="BG541" s="3"/>
      <c r="BH541" s="138"/>
      <c r="BI541" s="2"/>
      <c r="BJ541" s="139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131"/>
      <c r="BV541" s="15"/>
      <c r="BW541" s="99"/>
      <c r="BX541" s="149"/>
      <c r="BY541" s="134"/>
      <c r="BZ541" s="134"/>
      <c r="CA541" s="137"/>
      <c r="CB541" s="150"/>
      <c r="CC541" s="137"/>
      <c r="CD541" s="137"/>
      <c r="CE541" s="3"/>
      <c r="CF541" s="138"/>
      <c r="CG541" s="2"/>
      <c r="CH541" s="139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131"/>
      <c r="CT541" s="15"/>
      <c r="CU541" s="99"/>
      <c r="CV541" s="149"/>
      <c r="CW541" s="134"/>
      <c r="CX541" s="134"/>
      <c r="CY541" s="137"/>
      <c r="CZ541" s="150"/>
      <c r="DA541" s="137"/>
      <c r="DB541" s="137"/>
      <c r="DC541" s="3"/>
      <c r="DD541" s="138"/>
      <c r="DE541" s="2"/>
      <c r="DF541" s="139"/>
      <c r="DG541" s="3"/>
      <c r="DH541" s="3"/>
      <c r="DI541" s="3"/>
      <c r="DJ541" s="3"/>
      <c r="DK541" s="3"/>
      <c r="DL541" s="3"/>
      <c r="DM541" s="3"/>
      <c r="DN541" s="3"/>
      <c r="DO541" s="3"/>
      <c r="DP541" s="3"/>
      <c r="DQ541" s="131"/>
      <c r="DR541" s="15"/>
      <c r="DS541" s="99"/>
      <c r="DT541" s="149"/>
      <c r="DU541" s="134"/>
      <c r="DV541" s="134"/>
      <c r="DW541" s="137"/>
      <c r="DX541" s="150"/>
      <c r="DY541" s="137"/>
      <c r="DZ541" s="137"/>
      <c r="EA541" s="3"/>
      <c r="EB541" s="138"/>
      <c r="EC541" s="2"/>
      <c r="ED541" s="139"/>
      <c r="EE541" s="3"/>
      <c r="EF541" s="3"/>
      <c r="EG541" s="3"/>
      <c r="EH541" s="3"/>
      <c r="EI541" s="3"/>
      <c r="EJ541" s="3"/>
      <c r="EK541" s="3"/>
      <c r="EL541" s="3"/>
      <c r="EM541" s="3"/>
      <c r="EN541" s="3"/>
      <c r="EO541" s="131"/>
      <c r="EP541" s="15"/>
      <c r="EQ541" s="99"/>
      <c r="ER541" s="149"/>
      <c r="ES541" s="134"/>
      <c r="ET541" s="134"/>
      <c r="EU541" s="137"/>
      <c r="EV541" s="150"/>
      <c r="EW541" s="137"/>
      <c r="EX541" s="137"/>
      <c r="EY541" s="3"/>
      <c r="EZ541" s="138"/>
      <c r="FA541" s="2"/>
      <c r="FB541" s="139"/>
      <c r="FC541" s="3"/>
      <c r="FD541" s="3"/>
      <c r="FE541" s="3"/>
      <c r="FF541" s="3"/>
      <c r="FG541" s="3"/>
      <c r="FH541" s="3"/>
      <c r="FI541" s="3"/>
      <c r="FJ541" s="3"/>
      <c r="FK541" s="3"/>
      <c r="FL541" s="3"/>
      <c r="FM541" s="131"/>
      <c r="FN541" s="15"/>
      <c r="FO541" s="99"/>
      <c r="FP541" s="149"/>
      <c r="FQ541" s="134"/>
      <c r="FR541" s="134"/>
      <c r="FS541" s="137"/>
      <c r="FT541" s="150"/>
      <c r="FU541" s="137"/>
      <c r="FV541" s="137"/>
      <c r="FW541" s="3"/>
      <c r="FX541" s="138"/>
      <c r="FY541" s="2"/>
      <c r="FZ541" s="139"/>
      <c r="GA541" s="3"/>
      <c r="GB541" s="3"/>
      <c r="GC541" s="3"/>
      <c r="GD541" s="3"/>
      <c r="GE541" s="3"/>
      <c r="GF541" s="3"/>
      <c r="GG541" s="3"/>
      <c r="GH541" s="3"/>
      <c r="GI541" s="3"/>
      <c r="GJ541" s="3"/>
      <c r="GK541" s="131"/>
      <c r="GL541" s="15"/>
      <c r="GM541" s="99"/>
      <c r="GN541" s="149"/>
      <c r="GO541" s="134"/>
      <c r="GP541" s="134"/>
      <c r="GQ541" s="137"/>
      <c r="GR541" s="150"/>
      <c r="GS541" s="137"/>
      <c r="GT541" s="137"/>
      <c r="GU541" s="3"/>
      <c r="GV541" s="138"/>
      <c r="GW541" s="2"/>
      <c r="GX541" s="139"/>
      <c r="GY541" s="3"/>
      <c r="GZ541" s="3"/>
      <c r="HA541" s="3"/>
      <c r="HB541" s="3"/>
      <c r="HC541" s="3"/>
      <c r="HD541" s="3"/>
      <c r="HE541" s="3"/>
      <c r="HF541" s="3"/>
      <c r="HG541" s="3"/>
      <c r="HH541" s="3"/>
      <c r="HI541" s="131"/>
      <c r="HJ541" s="15"/>
      <c r="HK541" s="99"/>
      <c r="HL541" s="149"/>
      <c r="HM541" s="134"/>
      <c r="HN541" s="134"/>
      <c r="HO541" s="137"/>
      <c r="HP541" s="150"/>
      <c r="HQ541" s="137"/>
      <c r="HR541" s="137"/>
      <c r="HS541" s="3"/>
      <c r="HT541" s="138"/>
      <c r="HU541" s="2"/>
      <c r="HV541" s="139"/>
      <c r="HW541" s="3"/>
      <c r="HX541" s="3"/>
      <c r="HY541" s="3"/>
      <c r="HZ541" s="3"/>
      <c r="IA541" s="3"/>
      <c r="IB541" s="3"/>
      <c r="IC541" s="3"/>
      <c r="ID541" s="3"/>
      <c r="IE541" s="3"/>
      <c r="IF541" s="3"/>
      <c r="IG541" s="131"/>
      <c r="IH541" s="15"/>
      <c r="II541" s="99"/>
      <c r="IJ541" s="149"/>
      <c r="IK541" s="134"/>
      <c r="IL541" s="134"/>
      <c r="IM541" s="137"/>
      <c r="IN541" s="150"/>
      <c r="IO541" s="137"/>
      <c r="IP541" s="137"/>
      <c r="IQ541" s="3"/>
      <c r="IR541" s="138"/>
      <c r="IS541" s="2"/>
      <c r="IT541" s="139"/>
      <c r="IU541" s="3"/>
      <c r="IV541" s="3"/>
    </row>
    <row r="542" spans="1:256" s="125" customFormat="1" ht="13.5" customHeight="1">
      <c r="A542" s="84">
        <v>63</v>
      </c>
      <c r="B542" s="60">
        <v>43081</v>
      </c>
      <c r="C542" s="18"/>
      <c r="D542" s="19" t="s">
        <v>461</v>
      </c>
      <c r="E542" s="20" t="s">
        <v>462</v>
      </c>
      <c r="F542" s="82" t="s">
        <v>736</v>
      </c>
      <c r="G542" s="63">
        <v>1709</v>
      </c>
      <c r="H542" s="121">
        <f>25000+2289200+130000</f>
        <v>2444200</v>
      </c>
      <c r="I542" s="24"/>
      <c r="J542" s="24">
        <f t="shared" si="52"/>
        <v>2327809.5238095238</v>
      </c>
      <c r="K542" s="24">
        <f t="shared" si="49"/>
        <v>2327809.5238095238</v>
      </c>
      <c r="L542" s="123">
        <v>1</v>
      </c>
      <c r="M542" s="24">
        <f t="shared" si="50"/>
        <v>2327809.5238095238</v>
      </c>
      <c r="N542" s="129">
        <f t="shared" si="51"/>
        <v>0</v>
      </c>
      <c r="O542" s="85" t="s">
        <v>665</v>
      </c>
      <c r="P542" s="3"/>
      <c r="Q542" s="140"/>
      <c r="R542" s="3"/>
      <c r="S542" s="3"/>
      <c r="T542" s="3"/>
      <c r="U542" s="3"/>
      <c r="V542" s="3"/>
      <c r="W542" s="3"/>
      <c r="X542" s="3"/>
      <c r="Y542" s="131"/>
      <c r="Z542" s="15"/>
      <c r="AA542" s="99"/>
      <c r="AB542" s="149"/>
      <c r="AC542" s="134"/>
      <c r="AD542" s="134"/>
      <c r="AE542" s="137"/>
      <c r="AF542" s="150"/>
      <c r="AG542" s="137"/>
      <c r="AH542" s="137"/>
      <c r="AI542" s="3"/>
      <c r="AJ542" s="138"/>
      <c r="AK542" s="2"/>
      <c r="AL542" s="139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131"/>
      <c r="AX542" s="15"/>
      <c r="AY542" s="99"/>
      <c r="AZ542" s="149"/>
      <c r="BA542" s="134"/>
      <c r="BB542" s="134"/>
      <c r="BC542" s="137"/>
      <c r="BD542" s="150"/>
      <c r="BE542" s="137"/>
      <c r="BF542" s="137"/>
      <c r="BG542" s="3"/>
      <c r="BH542" s="138"/>
      <c r="BI542" s="2"/>
      <c r="BJ542" s="139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131"/>
      <c r="BV542" s="15"/>
      <c r="BW542" s="99"/>
      <c r="BX542" s="149"/>
      <c r="BY542" s="134"/>
      <c r="BZ542" s="134"/>
      <c r="CA542" s="137"/>
      <c r="CB542" s="150"/>
      <c r="CC542" s="137"/>
      <c r="CD542" s="137"/>
      <c r="CE542" s="3"/>
      <c r="CF542" s="138"/>
      <c r="CG542" s="2"/>
      <c r="CH542" s="139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131"/>
      <c r="CT542" s="15"/>
      <c r="CU542" s="99"/>
      <c r="CV542" s="149"/>
      <c r="CW542" s="134"/>
      <c r="CX542" s="134"/>
      <c r="CY542" s="137"/>
      <c r="CZ542" s="150"/>
      <c r="DA542" s="137"/>
      <c r="DB542" s="137"/>
      <c r="DC542" s="3"/>
      <c r="DD542" s="138"/>
      <c r="DE542" s="2"/>
      <c r="DF542" s="139"/>
      <c r="DG542" s="3"/>
      <c r="DH542" s="3"/>
      <c r="DI542" s="3"/>
      <c r="DJ542" s="3"/>
      <c r="DK542" s="3"/>
      <c r="DL542" s="3"/>
      <c r="DM542" s="3"/>
      <c r="DN542" s="3"/>
      <c r="DO542" s="3"/>
      <c r="DP542" s="3"/>
      <c r="DQ542" s="131"/>
      <c r="DR542" s="15"/>
      <c r="DS542" s="99"/>
      <c r="DT542" s="149"/>
      <c r="DU542" s="134"/>
      <c r="DV542" s="134"/>
      <c r="DW542" s="137"/>
      <c r="DX542" s="150"/>
      <c r="DY542" s="137"/>
      <c r="DZ542" s="137"/>
      <c r="EA542" s="3"/>
      <c r="EB542" s="138"/>
      <c r="EC542" s="2"/>
      <c r="ED542" s="139"/>
      <c r="EE542" s="3"/>
      <c r="EF542" s="3"/>
      <c r="EG542" s="3"/>
      <c r="EH542" s="3"/>
      <c r="EI542" s="3"/>
      <c r="EJ542" s="3"/>
      <c r="EK542" s="3"/>
      <c r="EL542" s="3"/>
      <c r="EM542" s="3"/>
      <c r="EN542" s="3"/>
      <c r="EO542" s="131"/>
      <c r="EP542" s="15"/>
      <c r="EQ542" s="99"/>
      <c r="ER542" s="149"/>
      <c r="ES542" s="134"/>
      <c r="ET542" s="134"/>
      <c r="EU542" s="137"/>
      <c r="EV542" s="150"/>
      <c r="EW542" s="137"/>
      <c r="EX542" s="137"/>
      <c r="EY542" s="3"/>
      <c r="EZ542" s="138"/>
      <c r="FA542" s="2"/>
      <c r="FB542" s="139"/>
      <c r="FC542" s="3"/>
      <c r="FD542" s="3"/>
      <c r="FE542" s="3"/>
      <c r="FF542" s="3"/>
      <c r="FG542" s="3"/>
      <c r="FH542" s="3"/>
      <c r="FI542" s="3"/>
      <c r="FJ542" s="3"/>
      <c r="FK542" s="3"/>
      <c r="FL542" s="3"/>
      <c r="FM542" s="131"/>
      <c r="FN542" s="15"/>
      <c r="FO542" s="99"/>
      <c r="FP542" s="149"/>
      <c r="FQ542" s="134"/>
      <c r="FR542" s="134"/>
      <c r="FS542" s="137"/>
      <c r="FT542" s="150"/>
      <c r="FU542" s="137"/>
      <c r="FV542" s="137"/>
      <c r="FW542" s="3"/>
      <c r="FX542" s="138"/>
      <c r="FY542" s="2"/>
      <c r="FZ542" s="139"/>
      <c r="GA542" s="3"/>
      <c r="GB542" s="3"/>
      <c r="GC542" s="3"/>
      <c r="GD542" s="3"/>
      <c r="GE542" s="3"/>
      <c r="GF542" s="3"/>
      <c r="GG542" s="3"/>
      <c r="GH542" s="3"/>
      <c r="GI542" s="3"/>
      <c r="GJ542" s="3"/>
      <c r="GK542" s="131"/>
      <c r="GL542" s="15"/>
      <c r="GM542" s="99"/>
      <c r="GN542" s="149"/>
      <c r="GO542" s="134"/>
      <c r="GP542" s="134"/>
      <c r="GQ542" s="137"/>
      <c r="GR542" s="150"/>
      <c r="GS542" s="137"/>
      <c r="GT542" s="137"/>
      <c r="GU542" s="3"/>
      <c r="GV542" s="138"/>
      <c r="GW542" s="2"/>
      <c r="GX542" s="139"/>
      <c r="GY542" s="3"/>
      <c r="GZ542" s="3"/>
      <c r="HA542" s="3"/>
      <c r="HB542" s="3"/>
      <c r="HC542" s="3"/>
      <c r="HD542" s="3"/>
      <c r="HE542" s="3"/>
      <c r="HF542" s="3"/>
      <c r="HG542" s="3"/>
      <c r="HH542" s="3"/>
      <c r="HI542" s="131"/>
      <c r="HJ542" s="15"/>
      <c r="HK542" s="99"/>
      <c r="HL542" s="149"/>
      <c r="HM542" s="134"/>
      <c r="HN542" s="134"/>
      <c r="HO542" s="137"/>
      <c r="HP542" s="150"/>
      <c r="HQ542" s="137"/>
      <c r="HR542" s="137"/>
      <c r="HS542" s="3"/>
      <c r="HT542" s="138"/>
      <c r="HU542" s="2"/>
      <c r="HV542" s="139"/>
      <c r="HW542" s="3"/>
      <c r="HX542" s="3"/>
      <c r="HY542" s="3"/>
      <c r="HZ542" s="3"/>
      <c r="IA542" s="3"/>
      <c r="IB542" s="3"/>
      <c r="IC542" s="3"/>
      <c r="ID542" s="3"/>
      <c r="IE542" s="3"/>
      <c r="IF542" s="3"/>
      <c r="IG542" s="131"/>
      <c r="IH542" s="15"/>
      <c r="II542" s="99"/>
      <c r="IJ542" s="149"/>
      <c r="IK542" s="134"/>
      <c r="IL542" s="134"/>
      <c r="IM542" s="137"/>
      <c r="IN542" s="150"/>
      <c r="IO542" s="137"/>
      <c r="IP542" s="137"/>
      <c r="IQ542" s="3"/>
      <c r="IR542" s="138"/>
      <c r="IS542" s="2"/>
      <c r="IT542" s="139"/>
      <c r="IU542" s="3"/>
      <c r="IV542" s="3"/>
    </row>
    <row r="543" spans="1:256" s="125" customFormat="1" ht="13.5" customHeight="1">
      <c r="A543" s="84">
        <v>64</v>
      </c>
      <c r="B543" s="56">
        <v>43082</v>
      </c>
      <c r="C543" s="18"/>
      <c r="D543" s="19" t="s">
        <v>461</v>
      </c>
      <c r="E543" s="20" t="s">
        <v>462</v>
      </c>
      <c r="F543" s="82" t="s">
        <v>737</v>
      </c>
      <c r="G543" s="58">
        <v>1709</v>
      </c>
      <c r="H543" s="121">
        <f>130000+2289200</f>
        <v>2419200</v>
      </c>
      <c r="I543" s="24"/>
      <c r="J543" s="24">
        <f t="shared" si="52"/>
        <v>2304000</v>
      </c>
      <c r="K543" s="24">
        <f t="shared" si="49"/>
        <v>2304000</v>
      </c>
      <c r="L543" s="123">
        <v>1</v>
      </c>
      <c r="M543" s="24">
        <f t="shared" si="50"/>
        <v>2304000</v>
      </c>
      <c r="N543" s="129">
        <f t="shared" si="51"/>
        <v>0</v>
      </c>
      <c r="O543" s="85" t="s">
        <v>665</v>
      </c>
      <c r="P543" s="3"/>
      <c r="Q543" s="140"/>
      <c r="R543" s="3"/>
      <c r="S543" s="3"/>
      <c r="T543" s="3"/>
      <c r="U543" s="3"/>
      <c r="V543" s="3"/>
      <c r="W543" s="3"/>
      <c r="X543" s="3"/>
      <c r="Y543" s="131"/>
      <c r="Z543" s="15"/>
      <c r="AA543" s="99"/>
      <c r="AB543" s="149"/>
      <c r="AC543" s="134"/>
      <c r="AD543" s="134"/>
      <c r="AE543" s="137"/>
      <c r="AF543" s="150"/>
      <c r="AG543" s="137"/>
      <c r="AH543" s="137"/>
      <c r="AI543" s="3"/>
      <c r="AJ543" s="138"/>
      <c r="AK543" s="2"/>
      <c r="AL543" s="139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131"/>
      <c r="AX543" s="15"/>
      <c r="AY543" s="99"/>
      <c r="AZ543" s="149"/>
      <c r="BA543" s="134"/>
      <c r="BB543" s="134"/>
      <c r="BC543" s="137"/>
      <c r="BD543" s="150"/>
      <c r="BE543" s="137"/>
      <c r="BF543" s="137"/>
      <c r="BG543" s="3"/>
      <c r="BH543" s="138"/>
      <c r="BI543" s="2"/>
      <c r="BJ543" s="139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131"/>
      <c r="BV543" s="15"/>
      <c r="BW543" s="99"/>
      <c r="BX543" s="149"/>
      <c r="BY543" s="134"/>
      <c r="BZ543" s="134"/>
      <c r="CA543" s="137"/>
      <c r="CB543" s="150"/>
      <c r="CC543" s="137"/>
      <c r="CD543" s="137"/>
      <c r="CE543" s="3"/>
      <c r="CF543" s="138"/>
      <c r="CG543" s="2"/>
      <c r="CH543" s="139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131"/>
      <c r="CT543" s="15"/>
      <c r="CU543" s="99"/>
      <c r="CV543" s="149"/>
      <c r="CW543" s="134"/>
      <c r="CX543" s="134"/>
      <c r="CY543" s="137"/>
      <c r="CZ543" s="150"/>
      <c r="DA543" s="137"/>
      <c r="DB543" s="137"/>
      <c r="DC543" s="3"/>
      <c r="DD543" s="138"/>
      <c r="DE543" s="2"/>
      <c r="DF543" s="139"/>
      <c r="DG543" s="3"/>
      <c r="DH543" s="3"/>
      <c r="DI543" s="3"/>
      <c r="DJ543" s="3"/>
      <c r="DK543" s="3"/>
      <c r="DL543" s="3"/>
      <c r="DM543" s="3"/>
      <c r="DN543" s="3"/>
      <c r="DO543" s="3"/>
      <c r="DP543" s="3"/>
      <c r="DQ543" s="131"/>
      <c r="DR543" s="15"/>
      <c r="DS543" s="99"/>
      <c r="DT543" s="149"/>
      <c r="DU543" s="134"/>
      <c r="DV543" s="134"/>
      <c r="DW543" s="137"/>
      <c r="DX543" s="150"/>
      <c r="DY543" s="137"/>
      <c r="DZ543" s="137"/>
      <c r="EA543" s="3"/>
      <c r="EB543" s="138"/>
      <c r="EC543" s="2"/>
      <c r="ED543" s="139"/>
      <c r="EE543" s="3"/>
      <c r="EF543" s="3"/>
      <c r="EG543" s="3"/>
      <c r="EH543" s="3"/>
      <c r="EI543" s="3"/>
      <c r="EJ543" s="3"/>
      <c r="EK543" s="3"/>
      <c r="EL543" s="3"/>
      <c r="EM543" s="3"/>
      <c r="EN543" s="3"/>
      <c r="EO543" s="131"/>
      <c r="EP543" s="15"/>
      <c r="EQ543" s="99"/>
      <c r="ER543" s="149"/>
      <c r="ES543" s="134"/>
      <c r="ET543" s="134"/>
      <c r="EU543" s="137"/>
      <c r="EV543" s="150"/>
      <c r="EW543" s="137"/>
      <c r="EX543" s="137"/>
      <c r="EY543" s="3"/>
      <c r="EZ543" s="138"/>
      <c r="FA543" s="2"/>
      <c r="FB543" s="139"/>
      <c r="FC543" s="3"/>
      <c r="FD543" s="3"/>
      <c r="FE543" s="3"/>
      <c r="FF543" s="3"/>
      <c r="FG543" s="3"/>
      <c r="FH543" s="3"/>
      <c r="FI543" s="3"/>
      <c r="FJ543" s="3"/>
      <c r="FK543" s="3"/>
      <c r="FL543" s="3"/>
      <c r="FM543" s="131"/>
      <c r="FN543" s="15"/>
      <c r="FO543" s="99"/>
      <c r="FP543" s="149"/>
      <c r="FQ543" s="134"/>
      <c r="FR543" s="134"/>
      <c r="FS543" s="137"/>
      <c r="FT543" s="150"/>
      <c r="FU543" s="137"/>
      <c r="FV543" s="137"/>
      <c r="FW543" s="3"/>
      <c r="FX543" s="138"/>
      <c r="FY543" s="2"/>
      <c r="FZ543" s="139"/>
      <c r="GA543" s="3"/>
      <c r="GB543" s="3"/>
      <c r="GC543" s="3"/>
      <c r="GD543" s="3"/>
      <c r="GE543" s="3"/>
      <c r="GF543" s="3"/>
      <c r="GG543" s="3"/>
      <c r="GH543" s="3"/>
      <c r="GI543" s="3"/>
      <c r="GJ543" s="3"/>
      <c r="GK543" s="131"/>
      <c r="GL543" s="15"/>
      <c r="GM543" s="99"/>
      <c r="GN543" s="149"/>
      <c r="GO543" s="134"/>
      <c r="GP543" s="134"/>
      <c r="GQ543" s="137"/>
      <c r="GR543" s="150"/>
      <c r="GS543" s="137"/>
      <c r="GT543" s="137"/>
      <c r="GU543" s="3"/>
      <c r="GV543" s="138"/>
      <c r="GW543" s="2"/>
      <c r="GX543" s="139"/>
      <c r="GY543" s="3"/>
      <c r="GZ543" s="3"/>
      <c r="HA543" s="3"/>
      <c r="HB543" s="3"/>
      <c r="HC543" s="3"/>
      <c r="HD543" s="3"/>
      <c r="HE543" s="3"/>
      <c r="HF543" s="3"/>
      <c r="HG543" s="3"/>
      <c r="HH543" s="3"/>
      <c r="HI543" s="131"/>
      <c r="HJ543" s="15"/>
      <c r="HK543" s="99"/>
      <c r="HL543" s="149"/>
      <c r="HM543" s="134"/>
      <c r="HN543" s="134"/>
      <c r="HO543" s="137"/>
      <c r="HP543" s="150"/>
      <c r="HQ543" s="137"/>
      <c r="HR543" s="137"/>
      <c r="HS543" s="3"/>
      <c r="HT543" s="138"/>
      <c r="HU543" s="2"/>
      <c r="HV543" s="139"/>
      <c r="HW543" s="3"/>
      <c r="HX543" s="3"/>
      <c r="HY543" s="3"/>
      <c r="HZ543" s="3"/>
      <c r="IA543" s="3"/>
      <c r="IB543" s="3"/>
      <c r="IC543" s="3"/>
      <c r="ID543" s="3"/>
      <c r="IE543" s="3"/>
      <c r="IF543" s="3"/>
      <c r="IG543" s="131"/>
      <c r="IH543" s="15"/>
      <c r="II543" s="99"/>
      <c r="IJ543" s="149"/>
      <c r="IK543" s="134"/>
      <c r="IL543" s="134"/>
      <c r="IM543" s="137"/>
      <c r="IN543" s="150"/>
      <c r="IO543" s="137"/>
      <c r="IP543" s="137"/>
      <c r="IQ543" s="3"/>
      <c r="IR543" s="138"/>
      <c r="IS543" s="2"/>
      <c r="IT543" s="139"/>
      <c r="IU543" s="3"/>
      <c r="IV543" s="3"/>
    </row>
    <row r="544" spans="1:256" s="125" customFormat="1" ht="13.5" customHeight="1">
      <c r="A544" s="84">
        <v>65</v>
      </c>
      <c r="B544" s="60">
        <v>43081</v>
      </c>
      <c r="C544" s="18"/>
      <c r="D544" s="19" t="s">
        <v>461</v>
      </c>
      <c r="E544" s="20" t="s">
        <v>462</v>
      </c>
      <c r="F544" s="120" t="s">
        <v>738</v>
      </c>
      <c r="G544" s="63">
        <v>1709</v>
      </c>
      <c r="H544" s="121">
        <f>25000+2289200+130000</f>
        <v>2444200</v>
      </c>
      <c r="I544" s="24"/>
      <c r="J544" s="24">
        <f t="shared" si="52"/>
        <v>2327809.5238095238</v>
      </c>
      <c r="K544" s="199">
        <f t="shared" si="49"/>
        <v>2327809.5238095238</v>
      </c>
      <c r="L544" s="123">
        <v>1</v>
      </c>
      <c r="M544" s="24">
        <f t="shared" si="50"/>
        <v>2327809.5238095238</v>
      </c>
      <c r="N544" s="129">
        <f t="shared" si="51"/>
        <v>0</v>
      </c>
      <c r="O544" s="85" t="s">
        <v>665</v>
      </c>
      <c r="P544" s="3"/>
      <c r="Q544" s="140"/>
      <c r="R544" s="3"/>
      <c r="S544" s="3"/>
      <c r="T544" s="3"/>
      <c r="U544" s="3"/>
      <c r="V544" s="3"/>
      <c r="W544" s="3"/>
      <c r="X544" s="3"/>
      <c r="Y544" s="131"/>
      <c r="Z544" s="15"/>
      <c r="AA544" s="99"/>
      <c r="AB544" s="149"/>
      <c r="AC544" s="134"/>
      <c r="AD544" s="134"/>
      <c r="AE544" s="137"/>
      <c r="AF544" s="150"/>
      <c r="AG544" s="137"/>
      <c r="AH544" s="137"/>
      <c r="AI544" s="3"/>
      <c r="AJ544" s="138"/>
      <c r="AK544" s="2"/>
      <c r="AL544" s="139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131"/>
      <c r="AX544" s="15"/>
      <c r="AY544" s="99"/>
      <c r="AZ544" s="149"/>
      <c r="BA544" s="134"/>
      <c r="BB544" s="134"/>
      <c r="BC544" s="137"/>
      <c r="BD544" s="150"/>
      <c r="BE544" s="137"/>
      <c r="BF544" s="137"/>
      <c r="BG544" s="3"/>
      <c r="BH544" s="138"/>
      <c r="BI544" s="2"/>
      <c r="BJ544" s="139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131"/>
      <c r="BV544" s="15"/>
      <c r="BW544" s="99"/>
      <c r="BX544" s="149"/>
      <c r="BY544" s="134"/>
      <c r="BZ544" s="134"/>
      <c r="CA544" s="137"/>
      <c r="CB544" s="150"/>
      <c r="CC544" s="137"/>
      <c r="CD544" s="137"/>
      <c r="CE544" s="3"/>
      <c r="CF544" s="138"/>
      <c r="CG544" s="2"/>
      <c r="CH544" s="139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131"/>
      <c r="CT544" s="15"/>
      <c r="CU544" s="99"/>
      <c r="CV544" s="149"/>
      <c r="CW544" s="134"/>
      <c r="CX544" s="134"/>
      <c r="CY544" s="137"/>
      <c r="CZ544" s="150"/>
      <c r="DA544" s="137"/>
      <c r="DB544" s="137"/>
      <c r="DC544" s="3"/>
      <c r="DD544" s="138"/>
      <c r="DE544" s="2"/>
      <c r="DF544" s="139"/>
      <c r="DG544" s="3"/>
      <c r="DH544" s="3"/>
      <c r="DI544" s="3"/>
      <c r="DJ544" s="3"/>
      <c r="DK544" s="3"/>
      <c r="DL544" s="3"/>
      <c r="DM544" s="3"/>
      <c r="DN544" s="3"/>
      <c r="DO544" s="3"/>
      <c r="DP544" s="3"/>
      <c r="DQ544" s="131"/>
      <c r="DR544" s="15"/>
      <c r="DS544" s="99"/>
      <c r="DT544" s="149"/>
      <c r="DU544" s="134"/>
      <c r="DV544" s="134"/>
      <c r="DW544" s="137"/>
      <c r="DX544" s="150"/>
      <c r="DY544" s="137"/>
      <c r="DZ544" s="137"/>
      <c r="EA544" s="3"/>
      <c r="EB544" s="138"/>
      <c r="EC544" s="2"/>
      <c r="ED544" s="139"/>
      <c r="EE544" s="3"/>
      <c r="EF544" s="3"/>
      <c r="EG544" s="3"/>
      <c r="EH544" s="3"/>
      <c r="EI544" s="3"/>
      <c r="EJ544" s="3"/>
      <c r="EK544" s="3"/>
      <c r="EL544" s="3"/>
      <c r="EM544" s="3"/>
      <c r="EN544" s="3"/>
      <c r="EO544" s="131"/>
      <c r="EP544" s="15"/>
      <c r="EQ544" s="99"/>
      <c r="ER544" s="149"/>
      <c r="ES544" s="134"/>
      <c r="ET544" s="134"/>
      <c r="EU544" s="137"/>
      <c r="EV544" s="150"/>
      <c r="EW544" s="137"/>
      <c r="EX544" s="137"/>
      <c r="EY544" s="3"/>
      <c r="EZ544" s="138"/>
      <c r="FA544" s="2"/>
      <c r="FB544" s="139"/>
      <c r="FC544" s="3"/>
      <c r="FD544" s="3"/>
      <c r="FE544" s="3"/>
      <c r="FF544" s="3"/>
      <c r="FG544" s="3"/>
      <c r="FH544" s="3"/>
      <c r="FI544" s="3"/>
      <c r="FJ544" s="3"/>
      <c r="FK544" s="3"/>
      <c r="FL544" s="3"/>
      <c r="FM544" s="131"/>
      <c r="FN544" s="15"/>
      <c r="FO544" s="99"/>
      <c r="FP544" s="149"/>
      <c r="FQ544" s="134"/>
      <c r="FR544" s="134"/>
      <c r="FS544" s="137"/>
      <c r="FT544" s="150"/>
      <c r="FU544" s="137"/>
      <c r="FV544" s="137"/>
      <c r="FW544" s="3"/>
      <c r="FX544" s="138"/>
      <c r="FY544" s="2"/>
      <c r="FZ544" s="139"/>
      <c r="GA544" s="3"/>
      <c r="GB544" s="3"/>
      <c r="GC544" s="3"/>
      <c r="GD544" s="3"/>
      <c r="GE544" s="3"/>
      <c r="GF544" s="3"/>
      <c r="GG544" s="3"/>
      <c r="GH544" s="3"/>
      <c r="GI544" s="3"/>
      <c r="GJ544" s="3"/>
      <c r="GK544" s="131"/>
      <c r="GL544" s="15"/>
      <c r="GM544" s="99"/>
      <c r="GN544" s="149"/>
      <c r="GO544" s="134"/>
      <c r="GP544" s="134"/>
      <c r="GQ544" s="137"/>
      <c r="GR544" s="150"/>
      <c r="GS544" s="137"/>
      <c r="GT544" s="137"/>
      <c r="GU544" s="3"/>
      <c r="GV544" s="138"/>
      <c r="GW544" s="2"/>
      <c r="GX544" s="139"/>
      <c r="GY544" s="3"/>
      <c r="GZ544" s="3"/>
      <c r="HA544" s="3"/>
      <c r="HB544" s="3"/>
      <c r="HC544" s="3"/>
      <c r="HD544" s="3"/>
      <c r="HE544" s="3"/>
      <c r="HF544" s="3"/>
      <c r="HG544" s="3"/>
      <c r="HH544" s="3"/>
      <c r="HI544" s="131"/>
      <c r="HJ544" s="15"/>
      <c r="HK544" s="99"/>
      <c r="HL544" s="149"/>
      <c r="HM544" s="134"/>
      <c r="HN544" s="134"/>
      <c r="HO544" s="137"/>
      <c r="HP544" s="150"/>
      <c r="HQ544" s="137"/>
      <c r="HR544" s="137"/>
      <c r="HS544" s="3"/>
      <c r="HT544" s="138"/>
      <c r="HU544" s="2"/>
      <c r="HV544" s="139"/>
      <c r="HW544" s="3"/>
      <c r="HX544" s="3"/>
      <c r="HY544" s="3"/>
      <c r="HZ544" s="3"/>
      <c r="IA544" s="3"/>
      <c r="IB544" s="3"/>
      <c r="IC544" s="3"/>
      <c r="ID544" s="3"/>
      <c r="IE544" s="3"/>
      <c r="IF544" s="3"/>
      <c r="IG544" s="131"/>
      <c r="IH544" s="15"/>
      <c r="II544" s="99"/>
      <c r="IJ544" s="149"/>
      <c r="IK544" s="134"/>
      <c r="IL544" s="134"/>
      <c r="IM544" s="137"/>
      <c r="IN544" s="150"/>
      <c r="IO544" s="137"/>
      <c r="IP544" s="137"/>
      <c r="IQ544" s="3"/>
      <c r="IR544" s="138"/>
      <c r="IS544" s="2"/>
      <c r="IT544" s="139"/>
      <c r="IU544" s="3"/>
      <c r="IV544" s="3"/>
    </row>
    <row r="545" spans="1:256" s="125" customFormat="1" ht="13.5" customHeight="1">
      <c r="A545" s="84">
        <v>66</v>
      </c>
      <c r="B545" s="60">
        <v>43081</v>
      </c>
      <c r="C545" s="18"/>
      <c r="D545" s="19" t="s">
        <v>461</v>
      </c>
      <c r="E545" s="20" t="s">
        <v>467</v>
      </c>
      <c r="F545" s="62" t="s">
        <v>739</v>
      </c>
      <c r="G545" s="63">
        <v>1709</v>
      </c>
      <c r="H545" s="121">
        <f>25000+2648100</f>
        <v>2673100</v>
      </c>
      <c r="I545" s="24"/>
      <c r="J545" s="24">
        <f t="shared" si="52"/>
        <v>2545809.5238095238</v>
      </c>
      <c r="K545" s="24">
        <f t="shared" si="49"/>
        <v>2545809.5238095238</v>
      </c>
      <c r="L545" s="123">
        <v>1</v>
      </c>
      <c r="M545" s="24">
        <f t="shared" si="50"/>
        <v>2545809.5238095238</v>
      </c>
      <c r="N545" s="129">
        <f t="shared" si="51"/>
        <v>0</v>
      </c>
      <c r="O545" s="85" t="s">
        <v>665</v>
      </c>
      <c r="P545" s="3"/>
      <c r="Q545" s="140"/>
      <c r="R545" s="3"/>
      <c r="S545" s="3"/>
      <c r="T545" s="3"/>
      <c r="U545" s="3"/>
      <c r="V545" s="3"/>
      <c r="W545" s="3"/>
      <c r="X545" s="3"/>
      <c r="Y545" s="131"/>
      <c r="Z545" s="15"/>
      <c r="AA545" s="99"/>
      <c r="AB545" s="149"/>
      <c r="AC545" s="134"/>
      <c r="AD545" s="134"/>
      <c r="AE545" s="137"/>
      <c r="AF545" s="150"/>
      <c r="AG545" s="137"/>
      <c r="AH545" s="137"/>
      <c r="AI545" s="3"/>
      <c r="AJ545" s="138"/>
      <c r="AK545" s="2"/>
      <c r="AL545" s="139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131"/>
      <c r="AX545" s="15"/>
      <c r="AY545" s="99"/>
      <c r="AZ545" s="149"/>
      <c r="BA545" s="134"/>
      <c r="BB545" s="134"/>
      <c r="BC545" s="137"/>
      <c r="BD545" s="150"/>
      <c r="BE545" s="137"/>
      <c r="BF545" s="137"/>
      <c r="BG545" s="3"/>
      <c r="BH545" s="138"/>
      <c r="BI545" s="2"/>
      <c r="BJ545" s="139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131"/>
      <c r="BV545" s="15"/>
      <c r="BW545" s="99"/>
      <c r="BX545" s="149"/>
      <c r="BY545" s="134"/>
      <c r="BZ545" s="134"/>
      <c r="CA545" s="137"/>
      <c r="CB545" s="150"/>
      <c r="CC545" s="137"/>
      <c r="CD545" s="137"/>
      <c r="CE545" s="3"/>
      <c r="CF545" s="138"/>
      <c r="CG545" s="2"/>
      <c r="CH545" s="139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131"/>
      <c r="CT545" s="15"/>
      <c r="CU545" s="99"/>
      <c r="CV545" s="149"/>
      <c r="CW545" s="134"/>
      <c r="CX545" s="134"/>
      <c r="CY545" s="137"/>
      <c r="CZ545" s="150"/>
      <c r="DA545" s="137"/>
      <c r="DB545" s="137"/>
      <c r="DC545" s="3"/>
      <c r="DD545" s="138"/>
      <c r="DE545" s="2"/>
      <c r="DF545" s="139"/>
      <c r="DG545" s="3"/>
      <c r="DH545" s="3"/>
      <c r="DI545" s="3"/>
      <c r="DJ545" s="3"/>
      <c r="DK545" s="3"/>
      <c r="DL545" s="3"/>
      <c r="DM545" s="3"/>
      <c r="DN545" s="3"/>
      <c r="DO545" s="3"/>
      <c r="DP545" s="3"/>
      <c r="DQ545" s="131"/>
      <c r="DR545" s="15"/>
      <c r="DS545" s="99"/>
      <c r="DT545" s="149"/>
      <c r="DU545" s="134"/>
      <c r="DV545" s="134"/>
      <c r="DW545" s="137"/>
      <c r="DX545" s="150"/>
      <c r="DY545" s="137"/>
      <c r="DZ545" s="137"/>
      <c r="EA545" s="3"/>
      <c r="EB545" s="138"/>
      <c r="EC545" s="2"/>
      <c r="ED545" s="139"/>
      <c r="EE545" s="3"/>
      <c r="EF545" s="3"/>
      <c r="EG545" s="3"/>
      <c r="EH545" s="3"/>
      <c r="EI545" s="3"/>
      <c r="EJ545" s="3"/>
      <c r="EK545" s="3"/>
      <c r="EL545" s="3"/>
      <c r="EM545" s="3"/>
      <c r="EN545" s="3"/>
      <c r="EO545" s="131"/>
      <c r="EP545" s="15"/>
      <c r="EQ545" s="99"/>
      <c r="ER545" s="149"/>
      <c r="ES545" s="134"/>
      <c r="ET545" s="134"/>
      <c r="EU545" s="137"/>
      <c r="EV545" s="150"/>
      <c r="EW545" s="137"/>
      <c r="EX545" s="137"/>
      <c r="EY545" s="3"/>
      <c r="EZ545" s="138"/>
      <c r="FA545" s="2"/>
      <c r="FB545" s="139"/>
      <c r="FC545" s="3"/>
      <c r="FD545" s="3"/>
      <c r="FE545" s="3"/>
      <c r="FF545" s="3"/>
      <c r="FG545" s="3"/>
      <c r="FH545" s="3"/>
      <c r="FI545" s="3"/>
      <c r="FJ545" s="3"/>
      <c r="FK545" s="3"/>
      <c r="FL545" s="3"/>
      <c r="FM545" s="131"/>
      <c r="FN545" s="15"/>
      <c r="FO545" s="99"/>
      <c r="FP545" s="149"/>
      <c r="FQ545" s="134"/>
      <c r="FR545" s="134"/>
      <c r="FS545" s="137"/>
      <c r="FT545" s="150"/>
      <c r="FU545" s="137"/>
      <c r="FV545" s="137"/>
      <c r="FW545" s="3"/>
      <c r="FX545" s="138"/>
      <c r="FY545" s="2"/>
      <c r="FZ545" s="139"/>
      <c r="GA545" s="3"/>
      <c r="GB545" s="3"/>
      <c r="GC545" s="3"/>
      <c r="GD545" s="3"/>
      <c r="GE545" s="3"/>
      <c r="GF545" s="3"/>
      <c r="GG545" s="3"/>
      <c r="GH545" s="3"/>
      <c r="GI545" s="3"/>
      <c r="GJ545" s="3"/>
      <c r="GK545" s="131"/>
      <c r="GL545" s="15"/>
      <c r="GM545" s="99"/>
      <c r="GN545" s="149"/>
      <c r="GO545" s="134"/>
      <c r="GP545" s="134"/>
      <c r="GQ545" s="137"/>
      <c r="GR545" s="150"/>
      <c r="GS545" s="137"/>
      <c r="GT545" s="137"/>
      <c r="GU545" s="3"/>
      <c r="GV545" s="138"/>
      <c r="GW545" s="2"/>
      <c r="GX545" s="139"/>
      <c r="GY545" s="3"/>
      <c r="GZ545" s="3"/>
      <c r="HA545" s="3"/>
      <c r="HB545" s="3"/>
      <c r="HC545" s="3"/>
      <c r="HD545" s="3"/>
      <c r="HE545" s="3"/>
      <c r="HF545" s="3"/>
      <c r="HG545" s="3"/>
      <c r="HH545" s="3"/>
      <c r="HI545" s="131"/>
      <c r="HJ545" s="15"/>
      <c r="HK545" s="99"/>
      <c r="HL545" s="149"/>
      <c r="HM545" s="134"/>
      <c r="HN545" s="134"/>
      <c r="HO545" s="137"/>
      <c r="HP545" s="150"/>
      <c r="HQ545" s="137"/>
      <c r="HR545" s="137"/>
      <c r="HS545" s="3"/>
      <c r="HT545" s="138"/>
      <c r="HU545" s="2"/>
      <c r="HV545" s="139"/>
      <c r="HW545" s="3"/>
      <c r="HX545" s="3"/>
      <c r="HY545" s="3"/>
      <c r="HZ545" s="3"/>
      <c r="IA545" s="3"/>
      <c r="IB545" s="3"/>
      <c r="IC545" s="3"/>
      <c r="ID545" s="3"/>
      <c r="IE545" s="3"/>
      <c r="IF545" s="3"/>
      <c r="IG545" s="131"/>
      <c r="IH545" s="15"/>
      <c r="II545" s="99"/>
      <c r="IJ545" s="149"/>
      <c r="IK545" s="134"/>
      <c r="IL545" s="134"/>
      <c r="IM545" s="137"/>
      <c r="IN545" s="150"/>
      <c r="IO545" s="137"/>
      <c r="IP545" s="137"/>
      <c r="IQ545" s="3"/>
      <c r="IR545" s="138"/>
      <c r="IS545" s="2"/>
      <c r="IT545" s="139"/>
      <c r="IU545" s="3"/>
      <c r="IV545" s="3"/>
    </row>
    <row r="546" spans="1:256" s="125" customFormat="1" ht="13.5" customHeight="1">
      <c r="A546" s="84">
        <v>67</v>
      </c>
      <c r="B546" s="83">
        <v>43081</v>
      </c>
      <c r="C546" s="18"/>
      <c r="D546" s="19" t="s">
        <v>461</v>
      </c>
      <c r="E546" s="20" t="s">
        <v>467</v>
      </c>
      <c r="F546" s="82" t="s">
        <v>740</v>
      </c>
      <c r="G546" s="63">
        <v>1709</v>
      </c>
      <c r="H546" s="121">
        <f>25000+2648100</f>
        <v>2673100</v>
      </c>
      <c r="I546" s="24"/>
      <c r="J546" s="24">
        <f t="shared" si="52"/>
        <v>2545809.5238095238</v>
      </c>
      <c r="K546" s="24">
        <f t="shared" si="49"/>
        <v>2545809.5238095238</v>
      </c>
      <c r="L546" s="123">
        <v>1</v>
      </c>
      <c r="M546" s="24">
        <f t="shared" si="50"/>
        <v>2545809.5238095238</v>
      </c>
      <c r="N546" s="129">
        <f t="shared" si="51"/>
        <v>0</v>
      </c>
      <c r="O546" s="85" t="s">
        <v>665</v>
      </c>
      <c r="P546" s="3"/>
      <c r="Q546" s="140"/>
      <c r="R546" s="3"/>
      <c r="S546" s="3"/>
      <c r="T546" s="3"/>
      <c r="U546" s="3"/>
      <c r="V546" s="3"/>
      <c r="W546" s="3"/>
      <c r="X546" s="3"/>
      <c r="Y546" s="131"/>
      <c r="Z546" s="15"/>
      <c r="AA546" s="99"/>
      <c r="AB546" s="149"/>
      <c r="AC546" s="134"/>
      <c r="AD546" s="134"/>
      <c r="AE546" s="137"/>
      <c r="AF546" s="150"/>
      <c r="AG546" s="137"/>
      <c r="AH546" s="137"/>
      <c r="AI546" s="3"/>
      <c r="AJ546" s="138"/>
      <c r="AK546" s="2"/>
      <c r="AL546" s="139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131"/>
      <c r="AX546" s="15"/>
      <c r="AY546" s="99"/>
      <c r="AZ546" s="149"/>
      <c r="BA546" s="134"/>
      <c r="BB546" s="134"/>
      <c r="BC546" s="137"/>
      <c r="BD546" s="150"/>
      <c r="BE546" s="137"/>
      <c r="BF546" s="137"/>
      <c r="BG546" s="3"/>
      <c r="BH546" s="138"/>
      <c r="BI546" s="2"/>
      <c r="BJ546" s="139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131"/>
      <c r="BV546" s="15"/>
      <c r="BW546" s="99"/>
      <c r="BX546" s="149"/>
      <c r="BY546" s="134"/>
      <c r="BZ546" s="134"/>
      <c r="CA546" s="137"/>
      <c r="CB546" s="150"/>
      <c r="CC546" s="137"/>
      <c r="CD546" s="137"/>
      <c r="CE546" s="3"/>
      <c r="CF546" s="138"/>
      <c r="CG546" s="2"/>
      <c r="CH546" s="139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131"/>
      <c r="CT546" s="15"/>
      <c r="CU546" s="99"/>
      <c r="CV546" s="149"/>
      <c r="CW546" s="134"/>
      <c r="CX546" s="134"/>
      <c r="CY546" s="137"/>
      <c r="CZ546" s="150"/>
      <c r="DA546" s="137"/>
      <c r="DB546" s="137"/>
      <c r="DC546" s="3"/>
      <c r="DD546" s="138"/>
      <c r="DE546" s="2"/>
      <c r="DF546" s="139"/>
      <c r="DG546" s="3"/>
      <c r="DH546" s="3"/>
      <c r="DI546" s="3"/>
      <c r="DJ546" s="3"/>
      <c r="DK546" s="3"/>
      <c r="DL546" s="3"/>
      <c r="DM546" s="3"/>
      <c r="DN546" s="3"/>
      <c r="DO546" s="3"/>
      <c r="DP546" s="3"/>
      <c r="DQ546" s="131"/>
      <c r="DR546" s="15"/>
      <c r="DS546" s="99"/>
      <c r="DT546" s="149"/>
      <c r="DU546" s="134"/>
      <c r="DV546" s="134"/>
      <c r="DW546" s="137"/>
      <c r="DX546" s="150"/>
      <c r="DY546" s="137"/>
      <c r="DZ546" s="137"/>
      <c r="EA546" s="3"/>
      <c r="EB546" s="138"/>
      <c r="EC546" s="2"/>
      <c r="ED546" s="139"/>
      <c r="EE546" s="3"/>
      <c r="EF546" s="3"/>
      <c r="EG546" s="3"/>
      <c r="EH546" s="3"/>
      <c r="EI546" s="3"/>
      <c r="EJ546" s="3"/>
      <c r="EK546" s="3"/>
      <c r="EL546" s="3"/>
      <c r="EM546" s="3"/>
      <c r="EN546" s="3"/>
      <c r="EO546" s="131"/>
      <c r="EP546" s="15"/>
      <c r="EQ546" s="99"/>
      <c r="ER546" s="149"/>
      <c r="ES546" s="134"/>
      <c r="ET546" s="134"/>
      <c r="EU546" s="137"/>
      <c r="EV546" s="150"/>
      <c r="EW546" s="137"/>
      <c r="EX546" s="137"/>
      <c r="EY546" s="3"/>
      <c r="EZ546" s="138"/>
      <c r="FA546" s="2"/>
      <c r="FB546" s="139"/>
      <c r="FC546" s="3"/>
      <c r="FD546" s="3"/>
      <c r="FE546" s="3"/>
      <c r="FF546" s="3"/>
      <c r="FG546" s="3"/>
      <c r="FH546" s="3"/>
      <c r="FI546" s="3"/>
      <c r="FJ546" s="3"/>
      <c r="FK546" s="3"/>
      <c r="FL546" s="3"/>
      <c r="FM546" s="131"/>
      <c r="FN546" s="15"/>
      <c r="FO546" s="99"/>
      <c r="FP546" s="149"/>
      <c r="FQ546" s="134"/>
      <c r="FR546" s="134"/>
      <c r="FS546" s="137"/>
      <c r="FT546" s="150"/>
      <c r="FU546" s="137"/>
      <c r="FV546" s="137"/>
      <c r="FW546" s="3"/>
      <c r="FX546" s="138"/>
      <c r="FY546" s="2"/>
      <c r="FZ546" s="139"/>
      <c r="GA546" s="3"/>
      <c r="GB546" s="3"/>
      <c r="GC546" s="3"/>
      <c r="GD546" s="3"/>
      <c r="GE546" s="3"/>
      <c r="GF546" s="3"/>
      <c r="GG546" s="3"/>
      <c r="GH546" s="3"/>
      <c r="GI546" s="3"/>
      <c r="GJ546" s="3"/>
      <c r="GK546" s="131"/>
      <c r="GL546" s="15"/>
      <c r="GM546" s="99"/>
      <c r="GN546" s="149"/>
      <c r="GO546" s="134"/>
      <c r="GP546" s="134"/>
      <c r="GQ546" s="137"/>
      <c r="GR546" s="150"/>
      <c r="GS546" s="137"/>
      <c r="GT546" s="137"/>
      <c r="GU546" s="3"/>
      <c r="GV546" s="138"/>
      <c r="GW546" s="2"/>
      <c r="GX546" s="139"/>
      <c r="GY546" s="3"/>
      <c r="GZ546" s="3"/>
      <c r="HA546" s="3"/>
      <c r="HB546" s="3"/>
      <c r="HC546" s="3"/>
      <c r="HD546" s="3"/>
      <c r="HE546" s="3"/>
      <c r="HF546" s="3"/>
      <c r="HG546" s="3"/>
      <c r="HH546" s="3"/>
      <c r="HI546" s="131"/>
      <c r="HJ546" s="15"/>
      <c r="HK546" s="99"/>
      <c r="HL546" s="149"/>
      <c r="HM546" s="134"/>
      <c r="HN546" s="134"/>
      <c r="HO546" s="137"/>
      <c r="HP546" s="150"/>
      <c r="HQ546" s="137"/>
      <c r="HR546" s="137"/>
      <c r="HS546" s="3"/>
      <c r="HT546" s="138"/>
      <c r="HU546" s="2"/>
      <c r="HV546" s="139"/>
      <c r="HW546" s="3"/>
      <c r="HX546" s="3"/>
      <c r="HY546" s="3"/>
      <c r="HZ546" s="3"/>
      <c r="IA546" s="3"/>
      <c r="IB546" s="3"/>
      <c r="IC546" s="3"/>
      <c r="ID546" s="3"/>
      <c r="IE546" s="3"/>
      <c r="IF546" s="3"/>
      <c r="IG546" s="131"/>
      <c r="IH546" s="15"/>
      <c r="II546" s="99"/>
      <c r="IJ546" s="149"/>
      <c r="IK546" s="134"/>
      <c r="IL546" s="134"/>
      <c r="IM546" s="137"/>
      <c r="IN546" s="150"/>
      <c r="IO546" s="137"/>
      <c r="IP546" s="137"/>
      <c r="IQ546" s="3"/>
      <c r="IR546" s="138"/>
      <c r="IS546" s="2"/>
      <c r="IT546" s="139"/>
      <c r="IU546" s="3"/>
      <c r="IV546" s="3"/>
    </row>
    <row r="547" spans="1:256" s="125" customFormat="1" ht="13.5" customHeight="1">
      <c r="A547" s="84">
        <v>68</v>
      </c>
      <c r="B547" s="60">
        <v>43095</v>
      </c>
      <c r="C547" s="18"/>
      <c r="D547" s="19" t="s">
        <v>461</v>
      </c>
      <c r="E547" s="20" t="s">
        <v>467</v>
      </c>
      <c r="F547" s="168" t="s">
        <v>741</v>
      </c>
      <c r="G547" s="63">
        <v>1710</v>
      </c>
      <c r="H547" s="121">
        <v>2648100</v>
      </c>
      <c r="I547" s="24"/>
      <c r="J547" s="24">
        <f t="shared" si="52"/>
        <v>2522000</v>
      </c>
      <c r="K547" s="24">
        <f t="shared" si="49"/>
        <v>2522000</v>
      </c>
      <c r="L547" s="123">
        <v>1</v>
      </c>
      <c r="M547" s="24">
        <f t="shared" si="50"/>
        <v>2522000</v>
      </c>
      <c r="N547" s="129">
        <f t="shared" si="51"/>
        <v>0</v>
      </c>
      <c r="O547" s="85" t="s">
        <v>665</v>
      </c>
      <c r="P547" s="3"/>
      <c r="Q547" s="140"/>
      <c r="R547" s="3"/>
      <c r="S547" s="3"/>
      <c r="T547" s="3"/>
      <c r="U547" s="3"/>
      <c r="V547" s="3"/>
      <c r="W547" s="3"/>
      <c r="X547" s="3"/>
      <c r="Y547" s="131"/>
      <c r="Z547" s="15"/>
      <c r="AA547" s="99"/>
      <c r="AB547" s="149"/>
      <c r="AC547" s="134"/>
      <c r="AD547" s="134"/>
      <c r="AE547" s="137"/>
      <c r="AF547" s="150"/>
      <c r="AG547" s="137"/>
      <c r="AH547" s="137"/>
      <c r="AI547" s="3"/>
      <c r="AJ547" s="138"/>
      <c r="AK547" s="2"/>
      <c r="AL547" s="139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131"/>
      <c r="AX547" s="15"/>
      <c r="AY547" s="99"/>
      <c r="AZ547" s="149"/>
      <c r="BA547" s="134"/>
      <c r="BB547" s="134"/>
      <c r="BC547" s="137"/>
      <c r="BD547" s="150"/>
      <c r="BE547" s="137"/>
      <c r="BF547" s="137"/>
      <c r="BG547" s="3"/>
      <c r="BH547" s="138"/>
      <c r="BI547" s="2"/>
      <c r="BJ547" s="139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131"/>
      <c r="BV547" s="15"/>
      <c r="BW547" s="99"/>
      <c r="BX547" s="149"/>
      <c r="BY547" s="134"/>
      <c r="BZ547" s="134"/>
      <c r="CA547" s="137"/>
      <c r="CB547" s="150"/>
      <c r="CC547" s="137"/>
      <c r="CD547" s="137"/>
      <c r="CE547" s="3"/>
      <c r="CF547" s="138"/>
      <c r="CG547" s="2"/>
      <c r="CH547" s="139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131"/>
      <c r="CT547" s="15"/>
      <c r="CU547" s="99"/>
      <c r="CV547" s="149"/>
      <c r="CW547" s="134"/>
      <c r="CX547" s="134"/>
      <c r="CY547" s="137"/>
      <c r="CZ547" s="150"/>
      <c r="DA547" s="137"/>
      <c r="DB547" s="137"/>
      <c r="DC547" s="3"/>
      <c r="DD547" s="138"/>
      <c r="DE547" s="2"/>
      <c r="DF547" s="139"/>
      <c r="DG547" s="3"/>
      <c r="DH547" s="3"/>
      <c r="DI547" s="3"/>
      <c r="DJ547" s="3"/>
      <c r="DK547" s="3"/>
      <c r="DL547" s="3"/>
      <c r="DM547" s="3"/>
      <c r="DN547" s="3"/>
      <c r="DO547" s="3"/>
      <c r="DP547" s="3"/>
      <c r="DQ547" s="131"/>
      <c r="DR547" s="15"/>
      <c r="DS547" s="99"/>
      <c r="DT547" s="149"/>
      <c r="DU547" s="134"/>
      <c r="DV547" s="134"/>
      <c r="DW547" s="137"/>
      <c r="DX547" s="150"/>
      <c r="DY547" s="137"/>
      <c r="DZ547" s="137"/>
      <c r="EA547" s="3"/>
      <c r="EB547" s="138"/>
      <c r="EC547" s="2"/>
      <c r="ED547" s="139"/>
      <c r="EE547" s="3"/>
      <c r="EF547" s="3"/>
      <c r="EG547" s="3"/>
      <c r="EH547" s="3"/>
      <c r="EI547" s="3"/>
      <c r="EJ547" s="3"/>
      <c r="EK547" s="3"/>
      <c r="EL547" s="3"/>
      <c r="EM547" s="3"/>
      <c r="EN547" s="3"/>
      <c r="EO547" s="131"/>
      <c r="EP547" s="15"/>
      <c r="EQ547" s="99"/>
      <c r="ER547" s="149"/>
      <c r="ES547" s="134"/>
      <c r="ET547" s="134"/>
      <c r="EU547" s="137"/>
      <c r="EV547" s="150"/>
      <c r="EW547" s="137"/>
      <c r="EX547" s="137"/>
      <c r="EY547" s="3"/>
      <c r="EZ547" s="138"/>
      <c r="FA547" s="2"/>
      <c r="FB547" s="139"/>
      <c r="FC547" s="3"/>
      <c r="FD547" s="3"/>
      <c r="FE547" s="3"/>
      <c r="FF547" s="3"/>
      <c r="FG547" s="3"/>
      <c r="FH547" s="3"/>
      <c r="FI547" s="3"/>
      <c r="FJ547" s="3"/>
      <c r="FK547" s="3"/>
      <c r="FL547" s="3"/>
      <c r="FM547" s="131"/>
      <c r="FN547" s="15"/>
      <c r="FO547" s="99"/>
      <c r="FP547" s="149"/>
      <c r="FQ547" s="134"/>
      <c r="FR547" s="134"/>
      <c r="FS547" s="137"/>
      <c r="FT547" s="150"/>
      <c r="FU547" s="137"/>
      <c r="FV547" s="137"/>
      <c r="FW547" s="3"/>
      <c r="FX547" s="138"/>
      <c r="FY547" s="2"/>
      <c r="FZ547" s="139"/>
      <c r="GA547" s="3"/>
      <c r="GB547" s="3"/>
      <c r="GC547" s="3"/>
      <c r="GD547" s="3"/>
      <c r="GE547" s="3"/>
      <c r="GF547" s="3"/>
      <c r="GG547" s="3"/>
      <c r="GH547" s="3"/>
      <c r="GI547" s="3"/>
      <c r="GJ547" s="3"/>
      <c r="GK547" s="131"/>
      <c r="GL547" s="15"/>
      <c r="GM547" s="99"/>
      <c r="GN547" s="149"/>
      <c r="GO547" s="134"/>
      <c r="GP547" s="134"/>
      <c r="GQ547" s="137"/>
      <c r="GR547" s="150"/>
      <c r="GS547" s="137"/>
      <c r="GT547" s="137"/>
      <c r="GU547" s="3"/>
      <c r="GV547" s="138"/>
      <c r="GW547" s="2"/>
      <c r="GX547" s="139"/>
      <c r="GY547" s="3"/>
      <c r="GZ547" s="3"/>
      <c r="HA547" s="3"/>
      <c r="HB547" s="3"/>
      <c r="HC547" s="3"/>
      <c r="HD547" s="3"/>
      <c r="HE547" s="3"/>
      <c r="HF547" s="3"/>
      <c r="HG547" s="3"/>
      <c r="HH547" s="3"/>
      <c r="HI547" s="131"/>
      <c r="HJ547" s="15"/>
      <c r="HK547" s="99"/>
      <c r="HL547" s="149"/>
      <c r="HM547" s="134"/>
      <c r="HN547" s="134"/>
      <c r="HO547" s="137"/>
      <c r="HP547" s="150"/>
      <c r="HQ547" s="137"/>
      <c r="HR547" s="137"/>
      <c r="HS547" s="3"/>
      <c r="HT547" s="138"/>
      <c r="HU547" s="2"/>
      <c r="HV547" s="139"/>
      <c r="HW547" s="3"/>
      <c r="HX547" s="3"/>
      <c r="HY547" s="3"/>
      <c r="HZ547" s="3"/>
      <c r="IA547" s="3"/>
      <c r="IB547" s="3"/>
      <c r="IC547" s="3"/>
      <c r="ID547" s="3"/>
      <c r="IE547" s="3"/>
      <c r="IF547" s="3"/>
      <c r="IG547" s="131"/>
      <c r="IH547" s="15"/>
      <c r="II547" s="99"/>
      <c r="IJ547" s="149"/>
      <c r="IK547" s="134"/>
      <c r="IL547" s="134"/>
      <c r="IM547" s="137"/>
      <c r="IN547" s="150"/>
      <c r="IO547" s="137"/>
      <c r="IP547" s="137"/>
      <c r="IQ547" s="3"/>
      <c r="IR547" s="138"/>
      <c r="IS547" s="2"/>
      <c r="IT547" s="139"/>
      <c r="IU547" s="3"/>
      <c r="IV547" s="3"/>
    </row>
    <row r="548" spans="1:256" s="125" customFormat="1" ht="13.5" customHeight="1">
      <c r="A548" s="84">
        <v>69</v>
      </c>
      <c r="B548" s="60">
        <v>43095</v>
      </c>
      <c r="C548" s="18"/>
      <c r="D548" s="19" t="s">
        <v>461</v>
      </c>
      <c r="E548" s="20" t="s">
        <v>467</v>
      </c>
      <c r="F548" s="168" t="s">
        <v>742</v>
      </c>
      <c r="G548" s="63">
        <v>1710</v>
      </c>
      <c r="H548" s="121">
        <f>165600+2648100</f>
        <v>2813700</v>
      </c>
      <c r="I548" s="24"/>
      <c r="J548" s="24">
        <f t="shared" si="52"/>
        <v>2679714.2857142854</v>
      </c>
      <c r="K548" s="24">
        <f t="shared" si="49"/>
        <v>2679714.2857142854</v>
      </c>
      <c r="L548" s="123">
        <v>1</v>
      </c>
      <c r="M548" s="24">
        <f t="shared" si="50"/>
        <v>2679714.2857142854</v>
      </c>
      <c r="N548" s="129">
        <f t="shared" si="51"/>
        <v>0</v>
      </c>
      <c r="O548" s="85" t="s">
        <v>665</v>
      </c>
      <c r="P548" s="3"/>
      <c r="Q548" s="140"/>
      <c r="R548" s="3"/>
      <c r="S548" s="3"/>
      <c r="T548" s="3"/>
      <c r="U548" s="3"/>
      <c r="V548" s="3"/>
      <c r="W548" s="3"/>
      <c r="X548" s="3"/>
      <c r="Y548" s="131"/>
      <c r="Z548" s="15"/>
      <c r="AA548" s="99"/>
      <c r="AB548" s="149"/>
      <c r="AC548" s="134"/>
      <c r="AD548" s="134"/>
      <c r="AE548" s="137"/>
      <c r="AF548" s="150"/>
      <c r="AG548" s="137"/>
      <c r="AH548" s="137"/>
      <c r="AI548" s="3"/>
      <c r="AJ548" s="138"/>
      <c r="AK548" s="2"/>
      <c r="AL548" s="139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131"/>
      <c r="AX548" s="15"/>
      <c r="AY548" s="99"/>
      <c r="AZ548" s="149"/>
      <c r="BA548" s="134"/>
      <c r="BB548" s="134"/>
      <c r="BC548" s="137"/>
      <c r="BD548" s="150"/>
      <c r="BE548" s="137"/>
      <c r="BF548" s="137"/>
      <c r="BG548" s="3"/>
      <c r="BH548" s="138"/>
      <c r="BI548" s="2"/>
      <c r="BJ548" s="139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131"/>
      <c r="BV548" s="15"/>
      <c r="BW548" s="99"/>
      <c r="BX548" s="149"/>
      <c r="BY548" s="134"/>
      <c r="BZ548" s="134"/>
      <c r="CA548" s="137"/>
      <c r="CB548" s="150"/>
      <c r="CC548" s="137"/>
      <c r="CD548" s="137"/>
      <c r="CE548" s="3"/>
      <c r="CF548" s="138"/>
      <c r="CG548" s="2"/>
      <c r="CH548" s="139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131"/>
      <c r="CT548" s="15"/>
      <c r="CU548" s="99"/>
      <c r="CV548" s="149"/>
      <c r="CW548" s="134"/>
      <c r="CX548" s="134"/>
      <c r="CY548" s="137"/>
      <c r="CZ548" s="150"/>
      <c r="DA548" s="137"/>
      <c r="DB548" s="137"/>
      <c r="DC548" s="3"/>
      <c r="DD548" s="138"/>
      <c r="DE548" s="2"/>
      <c r="DF548" s="139"/>
      <c r="DG548" s="3"/>
      <c r="DH548" s="3"/>
      <c r="DI548" s="3"/>
      <c r="DJ548" s="3"/>
      <c r="DK548" s="3"/>
      <c r="DL548" s="3"/>
      <c r="DM548" s="3"/>
      <c r="DN548" s="3"/>
      <c r="DO548" s="3"/>
      <c r="DP548" s="3"/>
      <c r="DQ548" s="131"/>
      <c r="DR548" s="15"/>
      <c r="DS548" s="99"/>
      <c r="DT548" s="149"/>
      <c r="DU548" s="134"/>
      <c r="DV548" s="134"/>
      <c r="DW548" s="137"/>
      <c r="DX548" s="150"/>
      <c r="DY548" s="137"/>
      <c r="DZ548" s="137"/>
      <c r="EA548" s="3"/>
      <c r="EB548" s="138"/>
      <c r="EC548" s="2"/>
      <c r="ED548" s="139"/>
      <c r="EE548" s="3"/>
      <c r="EF548" s="3"/>
      <c r="EG548" s="3"/>
      <c r="EH548" s="3"/>
      <c r="EI548" s="3"/>
      <c r="EJ548" s="3"/>
      <c r="EK548" s="3"/>
      <c r="EL548" s="3"/>
      <c r="EM548" s="3"/>
      <c r="EN548" s="3"/>
      <c r="EO548" s="131"/>
      <c r="EP548" s="15"/>
      <c r="EQ548" s="99"/>
      <c r="ER548" s="149"/>
      <c r="ES548" s="134"/>
      <c r="ET548" s="134"/>
      <c r="EU548" s="137"/>
      <c r="EV548" s="150"/>
      <c r="EW548" s="137"/>
      <c r="EX548" s="137"/>
      <c r="EY548" s="3"/>
      <c r="EZ548" s="138"/>
      <c r="FA548" s="2"/>
      <c r="FB548" s="139"/>
      <c r="FC548" s="3"/>
      <c r="FD548" s="3"/>
      <c r="FE548" s="3"/>
      <c r="FF548" s="3"/>
      <c r="FG548" s="3"/>
      <c r="FH548" s="3"/>
      <c r="FI548" s="3"/>
      <c r="FJ548" s="3"/>
      <c r="FK548" s="3"/>
      <c r="FL548" s="3"/>
      <c r="FM548" s="131"/>
      <c r="FN548" s="15"/>
      <c r="FO548" s="99"/>
      <c r="FP548" s="149"/>
      <c r="FQ548" s="134"/>
      <c r="FR548" s="134"/>
      <c r="FS548" s="137"/>
      <c r="FT548" s="150"/>
      <c r="FU548" s="137"/>
      <c r="FV548" s="137"/>
      <c r="FW548" s="3"/>
      <c r="FX548" s="138"/>
      <c r="FY548" s="2"/>
      <c r="FZ548" s="139"/>
      <c r="GA548" s="3"/>
      <c r="GB548" s="3"/>
      <c r="GC548" s="3"/>
      <c r="GD548" s="3"/>
      <c r="GE548" s="3"/>
      <c r="GF548" s="3"/>
      <c r="GG548" s="3"/>
      <c r="GH548" s="3"/>
      <c r="GI548" s="3"/>
      <c r="GJ548" s="3"/>
      <c r="GK548" s="131"/>
      <c r="GL548" s="15"/>
      <c r="GM548" s="99"/>
      <c r="GN548" s="149"/>
      <c r="GO548" s="134"/>
      <c r="GP548" s="134"/>
      <c r="GQ548" s="137"/>
      <c r="GR548" s="150"/>
      <c r="GS548" s="137"/>
      <c r="GT548" s="137"/>
      <c r="GU548" s="3"/>
      <c r="GV548" s="138"/>
      <c r="GW548" s="2"/>
      <c r="GX548" s="139"/>
      <c r="GY548" s="3"/>
      <c r="GZ548" s="3"/>
      <c r="HA548" s="3"/>
      <c r="HB548" s="3"/>
      <c r="HC548" s="3"/>
      <c r="HD548" s="3"/>
      <c r="HE548" s="3"/>
      <c r="HF548" s="3"/>
      <c r="HG548" s="3"/>
      <c r="HH548" s="3"/>
      <c r="HI548" s="131"/>
      <c r="HJ548" s="15"/>
      <c r="HK548" s="99"/>
      <c r="HL548" s="149"/>
      <c r="HM548" s="134"/>
      <c r="HN548" s="134"/>
      <c r="HO548" s="137"/>
      <c r="HP548" s="150"/>
      <c r="HQ548" s="137"/>
      <c r="HR548" s="137"/>
      <c r="HS548" s="3"/>
      <c r="HT548" s="138"/>
      <c r="HU548" s="2"/>
      <c r="HV548" s="139"/>
      <c r="HW548" s="3"/>
      <c r="HX548" s="3"/>
      <c r="HY548" s="3"/>
      <c r="HZ548" s="3"/>
      <c r="IA548" s="3"/>
      <c r="IB548" s="3"/>
      <c r="IC548" s="3"/>
      <c r="ID548" s="3"/>
      <c r="IE548" s="3"/>
      <c r="IF548" s="3"/>
      <c r="IG548" s="131"/>
      <c r="IH548" s="15"/>
      <c r="II548" s="99"/>
      <c r="IJ548" s="149"/>
      <c r="IK548" s="134"/>
      <c r="IL548" s="134"/>
      <c r="IM548" s="137"/>
      <c r="IN548" s="150"/>
      <c r="IO548" s="137"/>
      <c r="IP548" s="137"/>
      <c r="IQ548" s="3"/>
      <c r="IR548" s="138"/>
      <c r="IS548" s="2"/>
      <c r="IT548" s="139"/>
      <c r="IU548" s="3"/>
      <c r="IV548" s="3"/>
    </row>
    <row r="549" spans="1:256" s="125" customFormat="1" ht="13.5" customHeight="1">
      <c r="A549" s="84">
        <v>70</v>
      </c>
      <c r="B549" s="56">
        <v>43073</v>
      </c>
      <c r="C549" s="18"/>
      <c r="D549" s="19" t="s">
        <v>472</v>
      </c>
      <c r="E549" s="20" t="s">
        <v>473</v>
      </c>
      <c r="F549" s="82" t="s">
        <v>743</v>
      </c>
      <c r="G549" s="58">
        <v>1708</v>
      </c>
      <c r="H549" s="121">
        <v>2246600</v>
      </c>
      <c r="I549" s="24"/>
      <c r="J549" s="24">
        <f t="shared" si="52"/>
        <v>2139619.0476190476</v>
      </c>
      <c r="K549" s="24">
        <f t="shared" si="49"/>
        <v>2139619.0476190476</v>
      </c>
      <c r="L549" s="123">
        <v>1</v>
      </c>
      <c r="M549" s="24">
        <f t="shared" si="50"/>
        <v>2139619.0476190476</v>
      </c>
      <c r="N549" s="129">
        <f t="shared" si="51"/>
        <v>0</v>
      </c>
      <c r="O549" s="85" t="s">
        <v>665</v>
      </c>
      <c r="P549" s="3"/>
      <c r="Q549" s="140"/>
      <c r="R549" s="3"/>
      <c r="S549" s="3"/>
      <c r="T549" s="3"/>
      <c r="U549" s="3"/>
      <c r="V549" s="3"/>
      <c r="W549" s="3"/>
      <c r="X549" s="3"/>
      <c r="Y549" s="131"/>
      <c r="Z549" s="15"/>
      <c r="AA549" s="99"/>
      <c r="AB549" s="149"/>
      <c r="AC549" s="134"/>
      <c r="AD549" s="134"/>
      <c r="AE549" s="137"/>
      <c r="AF549" s="150"/>
      <c r="AG549" s="137"/>
      <c r="AH549" s="137"/>
      <c r="AI549" s="3"/>
      <c r="AJ549" s="138"/>
      <c r="AK549" s="2"/>
      <c r="AL549" s="139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131"/>
      <c r="AX549" s="15"/>
      <c r="AY549" s="99"/>
      <c r="AZ549" s="149"/>
      <c r="BA549" s="134"/>
      <c r="BB549" s="134"/>
      <c r="BC549" s="137"/>
      <c r="BD549" s="150"/>
      <c r="BE549" s="137"/>
      <c r="BF549" s="137"/>
      <c r="BG549" s="3"/>
      <c r="BH549" s="138"/>
      <c r="BI549" s="2"/>
      <c r="BJ549" s="139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131"/>
      <c r="BV549" s="15"/>
      <c r="BW549" s="99"/>
      <c r="BX549" s="149"/>
      <c r="BY549" s="134"/>
      <c r="BZ549" s="134"/>
      <c r="CA549" s="137"/>
      <c r="CB549" s="150"/>
      <c r="CC549" s="137"/>
      <c r="CD549" s="137"/>
      <c r="CE549" s="3"/>
      <c r="CF549" s="138"/>
      <c r="CG549" s="2"/>
      <c r="CH549" s="139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131"/>
      <c r="CT549" s="15"/>
      <c r="CU549" s="99"/>
      <c r="CV549" s="149"/>
      <c r="CW549" s="134"/>
      <c r="CX549" s="134"/>
      <c r="CY549" s="137"/>
      <c r="CZ549" s="150"/>
      <c r="DA549" s="137"/>
      <c r="DB549" s="137"/>
      <c r="DC549" s="3"/>
      <c r="DD549" s="138"/>
      <c r="DE549" s="2"/>
      <c r="DF549" s="139"/>
      <c r="DG549" s="3"/>
      <c r="DH549" s="3"/>
      <c r="DI549" s="3"/>
      <c r="DJ549" s="3"/>
      <c r="DK549" s="3"/>
      <c r="DL549" s="3"/>
      <c r="DM549" s="3"/>
      <c r="DN549" s="3"/>
      <c r="DO549" s="3"/>
      <c r="DP549" s="3"/>
      <c r="DQ549" s="131"/>
      <c r="DR549" s="15"/>
      <c r="DS549" s="99"/>
      <c r="DT549" s="149"/>
      <c r="DU549" s="134"/>
      <c r="DV549" s="134"/>
      <c r="DW549" s="137"/>
      <c r="DX549" s="150"/>
      <c r="DY549" s="137"/>
      <c r="DZ549" s="137"/>
      <c r="EA549" s="3"/>
      <c r="EB549" s="138"/>
      <c r="EC549" s="2"/>
      <c r="ED549" s="139"/>
      <c r="EE549" s="3"/>
      <c r="EF549" s="3"/>
      <c r="EG549" s="3"/>
      <c r="EH549" s="3"/>
      <c r="EI549" s="3"/>
      <c r="EJ549" s="3"/>
      <c r="EK549" s="3"/>
      <c r="EL549" s="3"/>
      <c r="EM549" s="3"/>
      <c r="EN549" s="3"/>
      <c r="EO549" s="131"/>
      <c r="EP549" s="15"/>
      <c r="EQ549" s="99"/>
      <c r="ER549" s="149"/>
      <c r="ES549" s="134"/>
      <c r="ET549" s="134"/>
      <c r="EU549" s="137"/>
      <c r="EV549" s="150"/>
      <c r="EW549" s="137"/>
      <c r="EX549" s="137"/>
      <c r="EY549" s="3"/>
      <c r="EZ549" s="138"/>
      <c r="FA549" s="2"/>
      <c r="FB549" s="139"/>
      <c r="FC549" s="3"/>
      <c r="FD549" s="3"/>
      <c r="FE549" s="3"/>
      <c r="FF549" s="3"/>
      <c r="FG549" s="3"/>
      <c r="FH549" s="3"/>
      <c r="FI549" s="3"/>
      <c r="FJ549" s="3"/>
      <c r="FK549" s="3"/>
      <c r="FL549" s="3"/>
      <c r="FM549" s="131"/>
      <c r="FN549" s="15"/>
      <c r="FO549" s="99"/>
      <c r="FP549" s="149"/>
      <c r="FQ549" s="134"/>
      <c r="FR549" s="134"/>
      <c r="FS549" s="137"/>
      <c r="FT549" s="150"/>
      <c r="FU549" s="137"/>
      <c r="FV549" s="137"/>
      <c r="FW549" s="3"/>
      <c r="FX549" s="138"/>
      <c r="FY549" s="2"/>
      <c r="FZ549" s="139"/>
      <c r="GA549" s="3"/>
      <c r="GB549" s="3"/>
      <c r="GC549" s="3"/>
      <c r="GD549" s="3"/>
      <c r="GE549" s="3"/>
      <c r="GF549" s="3"/>
      <c r="GG549" s="3"/>
      <c r="GH549" s="3"/>
      <c r="GI549" s="3"/>
      <c r="GJ549" s="3"/>
      <c r="GK549" s="131"/>
      <c r="GL549" s="15"/>
      <c r="GM549" s="99"/>
      <c r="GN549" s="149"/>
      <c r="GO549" s="134"/>
      <c r="GP549" s="134"/>
      <c r="GQ549" s="137"/>
      <c r="GR549" s="150"/>
      <c r="GS549" s="137"/>
      <c r="GT549" s="137"/>
      <c r="GU549" s="3"/>
      <c r="GV549" s="138"/>
      <c r="GW549" s="2"/>
      <c r="GX549" s="139"/>
      <c r="GY549" s="3"/>
      <c r="GZ549" s="3"/>
      <c r="HA549" s="3"/>
      <c r="HB549" s="3"/>
      <c r="HC549" s="3"/>
      <c r="HD549" s="3"/>
      <c r="HE549" s="3"/>
      <c r="HF549" s="3"/>
      <c r="HG549" s="3"/>
      <c r="HH549" s="3"/>
      <c r="HI549" s="131"/>
      <c r="HJ549" s="15"/>
      <c r="HK549" s="99"/>
      <c r="HL549" s="149"/>
      <c r="HM549" s="134"/>
      <c r="HN549" s="134"/>
      <c r="HO549" s="137"/>
      <c r="HP549" s="150"/>
      <c r="HQ549" s="137"/>
      <c r="HR549" s="137"/>
      <c r="HS549" s="3"/>
      <c r="HT549" s="138"/>
      <c r="HU549" s="2"/>
      <c r="HV549" s="139"/>
      <c r="HW549" s="3"/>
      <c r="HX549" s="3"/>
      <c r="HY549" s="3"/>
      <c r="HZ549" s="3"/>
      <c r="IA549" s="3"/>
      <c r="IB549" s="3"/>
      <c r="IC549" s="3"/>
      <c r="ID549" s="3"/>
      <c r="IE549" s="3"/>
      <c r="IF549" s="3"/>
      <c r="IG549" s="131"/>
      <c r="IH549" s="15"/>
      <c r="II549" s="99"/>
      <c r="IJ549" s="149"/>
      <c r="IK549" s="134"/>
      <c r="IL549" s="134"/>
      <c r="IM549" s="137"/>
      <c r="IN549" s="150"/>
      <c r="IO549" s="137"/>
      <c r="IP549" s="137"/>
      <c r="IQ549" s="3"/>
      <c r="IR549" s="138"/>
      <c r="IS549" s="2"/>
      <c r="IT549" s="139"/>
      <c r="IU549" s="3"/>
      <c r="IV549" s="3"/>
    </row>
    <row r="550" spans="1:256" s="125" customFormat="1" ht="13.5" customHeight="1">
      <c r="A550" s="84">
        <v>71</v>
      </c>
      <c r="B550" s="56">
        <v>43073</v>
      </c>
      <c r="C550" s="18"/>
      <c r="D550" s="19" t="s">
        <v>472</v>
      </c>
      <c r="E550" s="20" t="s">
        <v>473</v>
      </c>
      <c r="F550" s="62" t="s">
        <v>744</v>
      </c>
      <c r="G550" s="63">
        <v>1708</v>
      </c>
      <c r="H550" s="121">
        <v>2246600</v>
      </c>
      <c r="I550" s="24"/>
      <c r="J550" s="24">
        <f t="shared" si="52"/>
        <v>2139619.0476190476</v>
      </c>
      <c r="K550" s="24">
        <f t="shared" si="49"/>
        <v>2139619.0476190476</v>
      </c>
      <c r="L550" s="123">
        <v>1</v>
      </c>
      <c r="M550" s="24">
        <f t="shared" si="50"/>
        <v>2139619.0476190476</v>
      </c>
      <c r="N550" s="129">
        <f t="shared" si="51"/>
        <v>0</v>
      </c>
      <c r="O550" s="85" t="s">
        <v>665</v>
      </c>
      <c r="P550" s="3"/>
      <c r="Q550" s="140"/>
      <c r="R550" s="3"/>
      <c r="S550" s="3"/>
      <c r="T550" s="3"/>
      <c r="U550" s="3"/>
      <c r="V550" s="3"/>
      <c r="W550" s="3"/>
      <c r="X550" s="3"/>
      <c r="Y550" s="131"/>
      <c r="Z550" s="15"/>
      <c r="AA550" s="99"/>
      <c r="AB550" s="149"/>
      <c r="AC550" s="134"/>
      <c r="AD550" s="134"/>
      <c r="AE550" s="137"/>
      <c r="AF550" s="150"/>
      <c r="AG550" s="137"/>
      <c r="AH550" s="137"/>
      <c r="AI550" s="3"/>
      <c r="AJ550" s="138"/>
      <c r="AK550" s="2"/>
      <c r="AL550" s="139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131"/>
      <c r="AX550" s="15"/>
      <c r="AY550" s="99"/>
      <c r="AZ550" s="149"/>
      <c r="BA550" s="134"/>
      <c r="BB550" s="134"/>
      <c r="BC550" s="137"/>
      <c r="BD550" s="150"/>
      <c r="BE550" s="137"/>
      <c r="BF550" s="137"/>
      <c r="BG550" s="3"/>
      <c r="BH550" s="138"/>
      <c r="BI550" s="2"/>
      <c r="BJ550" s="139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131"/>
      <c r="BV550" s="15"/>
      <c r="BW550" s="99"/>
      <c r="BX550" s="149"/>
      <c r="BY550" s="134"/>
      <c r="BZ550" s="134"/>
      <c r="CA550" s="137"/>
      <c r="CB550" s="150"/>
      <c r="CC550" s="137"/>
      <c r="CD550" s="137"/>
      <c r="CE550" s="3"/>
      <c r="CF550" s="138"/>
      <c r="CG550" s="2"/>
      <c r="CH550" s="139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131"/>
      <c r="CT550" s="15"/>
      <c r="CU550" s="99"/>
      <c r="CV550" s="149"/>
      <c r="CW550" s="134"/>
      <c r="CX550" s="134"/>
      <c r="CY550" s="137"/>
      <c r="CZ550" s="150"/>
      <c r="DA550" s="137"/>
      <c r="DB550" s="137"/>
      <c r="DC550" s="3"/>
      <c r="DD550" s="138"/>
      <c r="DE550" s="2"/>
      <c r="DF550" s="139"/>
      <c r="DG550" s="3"/>
      <c r="DH550" s="3"/>
      <c r="DI550" s="3"/>
      <c r="DJ550" s="3"/>
      <c r="DK550" s="3"/>
      <c r="DL550" s="3"/>
      <c r="DM550" s="3"/>
      <c r="DN550" s="3"/>
      <c r="DO550" s="3"/>
      <c r="DP550" s="3"/>
      <c r="DQ550" s="131"/>
      <c r="DR550" s="15"/>
      <c r="DS550" s="99"/>
      <c r="DT550" s="149"/>
      <c r="DU550" s="134"/>
      <c r="DV550" s="134"/>
      <c r="DW550" s="137"/>
      <c r="DX550" s="150"/>
      <c r="DY550" s="137"/>
      <c r="DZ550" s="137"/>
      <c r="EA550" s="3"/>
      <c r="EB550" s="138"/>
      <c r="EC550" s="2"/>
      <c r="ED550" s="139"/>
      <c r="EE550" s="3"/>
      <c r="EF550" s="3"/>
      <c r="EG550" s="3"/>
      <c r="EH550" s="3"/>
      <c r="EI550" s="3"/>
      <c r="EJ550" s="3"/>
      <c r="EK550" s="3"/>
      <c r="EL550" s="3"/>
      <c r="EM550" s="3"/>
      <c r="EN550" s="3"/>
      <c r="EO550" s="131"/>
      <c r="EP550" s="15"/>
      <c r="EQ550" s="99"/>
      <c r="ER550" s="149"/>
      <c r="ES550" s="134"/>
      <c r="ET550" s="134"/>
      <c r="EU550" s="137"/>
      <c r="EV550" s="150"/>
      <c r="EW550" s="137"/>
      <c r="EX550" s="137"/>
      <c r="EY550" s="3"/>
      <c r="EZ550" s="138"/>
      <c r="FA550" s="2"/>
      <c r="FB550" s="139"/>
      <c r="FC550" s="3"/>
      <c r="FD550" s="3"/>
      <c r="FE550" s="3"/>
      <c r="FF550" s="3"/>
      <c r="FG550" s="3"/>
      <c r="FH550" s="3"/>
      <c r="FI550" s="3"/>
      <c r="FJ550" s="3"/>
      <c r="FK550" s="3"/>
      <c r="FL550" s="3"/>
      <c r="FM550" s="131"/>
      <c r="FN550" s="15"/>
      <c r="FO550" s="99"/>
      <c r="FP550" s="149"/>
      <c r="FQ550" s="134"/>
      <c r="FR550" s="134"/>
      <c r="FS550" s="137"/>
      <c r="FT550" s="150"/>
      <c r="FU550" s="137"/>
      <c r="FV550" s="137"/>
      <c r="FW550" s="3"/>
      <c r="FX550" s="138"/>
      <c r="FY550" s="2"/>
      <c r="FZ550" s="139"/>
      <c r="GA550" s="3"/>
      <c r="GB550" s="3"/>
      <c r="GC550" s="3"/>
      <c r="GD550" s="3"/>
      <c r="GE550" s="3"/>
      <c r="GF550" s="3"/>
      <c r="GG550" s="3"/>
      <c r="GH550" s="3"/>
      <c r="GI550" s="3"/>
      <c r="GJ550" s="3"/>
      <c r="GK550" s="131"/>
      <c r="GL550" s="15"/>
      <c r="GM550" s="99"/>
      <c r="GN550" s="149"/>
      <c r="GO550" s="134"/>
      <c r="GP550" s="134"/>
      <c r="GQ550" s="137"/>
      <c r="GR550" s="150"/>
      <c r="GS550" s="137"/>
      <c r="GT550" s="137"/>
      <c r="GU550" s="3"/>
      <c r="GV550" s="138"/>
      <c r="GW550" s="2"/>
      <c r="GX550" s="139"/>
      <c r="GY550" s="3"/>
      <c r="GZ550" s="3"/>
      <c r="HA550" s="3"/>
      <c r="HB550" s="3"/>
      <c r="HC550" s="3"/>
      <c r="HD550" s="3"/>
      <c r="HE550" s="3"/>
      <c r="HF550" s="3"/>
      <c r="HG550" s="3"/>
      <c r="HH550" s="3"/>
      <c r="HI550" s="131"/>
      <c r="HJ550" s="15"/>
      <c r="HK550" s="99"/>
      <c r="HL550" s="149"/>
      <c r="HM550" s="134"/>
      <c r="HN550" s="134"/>
      <c r="HO550" s="137"/>
      <c r="HP550" s="150"/>
      <c r="HQ550" s="137"/>
      <c r="HR550" s="137"/>
      <c r="HS550" s="3"/>
      <c r="HT550" s="138"/>
      <c r="HU550" s="2"/>
      <c r="HV550" s="139"/>
      <c r="HW550" s="3"/>
      <c r="HX550" s="3"/>
      <c r="HY550" s="3"/>
      <c r="HZ550" s="3"/>
      <c r="IA550" s="3"/>
      <c r="IB550" s="3"/>
      <c r="IC550" s="3"/>
      <c r="ID550" s="3"/>
      <c r="IE550" s="3"/>
      <c r="IF550" s="3"/>
      <c r="IG550" s="131"/>
      <c r="IH550" s="15"/>
      <c r="II550" s="99"/>
      <c r="IJ550" s="149"/>
      <c r="IK550" s="134"/>
      <c r="IL550" s="134"/>
      <c r="IM550" s="137"/>
      <c r="IN550" s="150"/>
      <c r="IO550" s="137"/>
      <c r="IP550" s="137"/>
      <c r="IQ550" s="3"/>
      <c r="IR550" s="138"/>
      <c r="IS550" s="2"/>
      <c r="IT550" s="139"/>
      <c r="IU550" s="3"/>
      <c r="IV550" s="3"/>
    </row>
    <row r="551" spans="1:256" s="125" customFormat="1" ht="13.5" customHeight="1">
      <c r="A551" s="84">
        <v>72</v>
      </c>
      <c r="B551" s="56">
        <v>43076</v>
      </c>
      <c r="C551" s="18"/>
      <c r="D551" s="19" t="s">
        <v>472</v>
      </c>
      <c r="E551" s="20" t="s">
        <v>473</v>
      </c>
      <c r="F551" s="82" t="s">
        <v>745</v>
      </c>
      <c r="G551" s="58">
        <v>1708</v>
      </c>
      <c r="H551" s="121">
        <v>2246600</v>
      </c>
      <c r="I551" s="24"/>
      <c r="J551" s="24">
        <f t="shared" si="52"/>
        <v>2139619.0476190476</v>
      </c>
      <c r="K551" s="24">
        <f t="shared" si="49"/>
        <v>2139619.0476190476</v>
      </c>
      <c r="L551" s="123">
        <v>1</v>
      </c>
      <c r="M551" s="24">
        <f t="shared" si="50"/>
        <v>2139619.0476190476</v>
      </c>
      <c r="N551" s="129">
        <f t="shared" si="51"/>
        <v>0</v>
      </c>
      <c r="O551" s="85" t="s">
        <v>665</v>
      </c>
      <c r="P551" s="3"/>
      <c r="Q551" s="140"/>
      <c r="R551" s="3"/>
      <c r="S551" s="3"/>
      <c r="T551" s="3"/>
      <c r="U551" s="3"/>
      <c r="V551" s="3"/>
      <c r="W551" s="3"/>
      <c r="X551" s="3"/>
      <c r="Y551" s="131"/>
      <c r="Z551" s="15"/>
      <c r="AA551" s="99"/>
      <c r="AB551" s="149"/>
      <c r="AC551" s="134"/>
      <c r="AD551" s="134"/>
      <c r="AE551" s="137"/>
      <c r="AF551" s="150"/>
      <c r="AG551" s="137"/>
      <c r="AH551" s="137"/>
      <c r="AI551" s="3"/>
      <c r="AJ551" s="138"/>
      <c r="AK551" s="2"/>
      <c r="AL551" s="139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131"/>
      <c r="AX551" s="15"/>
      <c r="AY551" s="99"/>
      <c r="AZ551" s="149"/>
      <c r="BA551" s="134"/>
      <c r="BB551" s="134"/>
      <c r="BC551" s="137"/>
      <c r="BD551" s="150"/>
      <c r="BE551" s="137"/>
      <c r="BF551" s="137"/>
      <c r="BG551" s="3"/>
      <c r="BH551" s="138"/>
      <c r="BI551" s="2"/>
      <c r="BJ551" s="139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131"/>
      <c r="BV551" s="15"/>
      <c r="BW551" s="99"/>
      <c r="BX551" s="149"/>
      <c r="BY551" s="134"/>
      <c r="BZ551" s="134"/>
      <c r="CA551" s="137"/>
      <c r="CB551" s="150"/>
      <c r="CC551" s="137"/>
      <c r="CD551" s="137"/>
      <c r="CE551" s="3"/>
      <c r="CF551" s="138"/>
      <c r="CG551" s="2"/>
      <c r="CH551" s="139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131"/>
      <c r="CT551" s="15"/>
      <c r="CU551" s="99"/>
      <c r="CV551" s="149"/>
      <c r="CW551" s="134"/>
      <c r="CX551" s="134"/>
      <c r="CY551" s="137"/>
      <c r="CZ551" s="150"/>
      <c r="DA551" s="137"/>
      <c r="DB551" s="137"/>
      <c r="DC551" s="3"/>
      <c r="DD551" s="138"/>
      <c r="DE551" s="2"/>
      <c r="DF551" s="139"/>
      <c r="DG551" s="3"/>
      <c r="DH551" s="3"/>
      <c r="DI551" s="3"/>
      <c r="DJ551" s="3"/>
      <c r="DK551" s="3"/>
      <c r="DL551" s="3"/>
      <c r="DM551" s="3"/>
      <c r="DN551" s="3"/>
      <c r="DO551" s="3"/>
      <c r="DP551" s="3"/>
      <c r="DQ551" s="131"/>
      <c r="DR551" s="15"/>
      <c r="DS551" s="99"/>
      <c r="DT551" s="149"/>
      <c r="DU551" s="134"/>
      <c r="DV551" s="134"/>
      <c r="DW551" s="137"/>
      <c r="DX551" s="150"/>
      <c r="DY551" s="137"/>
      <c r="DZ551" s="137"/>
      <c r="EA551" s="3"/>
      <c r="EB551" s="138"/>
      <c r="EC551" s="2"/>
      <c r="ED551" s="139"/>
      <c r="EE551" s="3"/>
      <c r="EF551" s="3"/>
      <c r="EG551" s="3"/>
      <c r="EH551" s="3"/>
      <c r="EI551" s="3"/>
      <c r="EJ551" s="3"/>
      <c r="EK551" s="3"/>
      <c r="EL551" s="3"/>
      <c r="EM551" s="3"/>
      <c r="EN551" s="3"/>
      <c r="EO551" s="131"/>
      <c r="EP551" s="15"/>
      <c r="EQ551" s="99"/>
      <c r="ER551" s="149"/>
      <c r="ES551" s="134"/>
      <c r="ET551" s="134"/>
      <c r="EU551" s="137"/>
      <c r="EV551" s="150"/>
      <c r="EW551" s="137"/>
      <c r="EX551" s="137"/>
      <c r="EY551" s="3"/>
      <c r="EZ551" s="138"/>
      <c r="FA551" s="2"/>
      <c r="FB551" s="139"/>
      <c r="FC551" s="3"/>
      <c r="FD551" s="3"/>
      <c r="FE551" s="3"/>
      <c r="FF551" s="3"/>
      <c r="FG551" s="3"/>
      <c r="FH551" s="3"/>
      <c r="FI551" s="3"/>
      <c r="FJ551" s="3"/>
      <c r="FK551" s="3"/>
      <c r="FL551" s="3"/>
      <c r="FM551" s="131"/>
      <c r="FN551" s="15"/>
      <c r="FO551" s="99"/>
      <c r="FP551" s="149"/>
      <c r="FQ551" s="134"/>
      <c r="FR551" s="134"/>
      <c r="FS551" s="137"/>
      <c r="FT551" s="150"/>
      <c r="FU551" s="137"/>
      <c r="FV551" s="137"/>
      <c r="FW551" s="3"/>
      <c r="FX551" s="138"/>
      <c r="FY551" s="2"/>
      <c r="FZ551" s="139"/>
      <c r="GA551" s="3"/>
      <c r="GB551" s="3"/>
      <c r="GC551" s="3"/>
      <c r="GD551" s="3"/>
      <c r="GE551" s="3"/>
      <c r="GF551" s="3"/>
      <c r="GG551" s="3"/>
      <c r="GH551" s="3"/>
      <c r="GI551" s="3"/>
      <c r="GJ551" s="3"/>
      <c r="GK551" s="131"/>
      <c r="GL551" s="15"/>
      <c r="GM551" s="99"/>
      <c r="GN551" s="149"/>
      <c r="GO551" s="134"/>
      <c r="GP551" s="134"/>
      <c r="GQ551" s="137"/>
      <c r="GR551" s="150"/>
      <c r="GS551" s="137"/>
      <c r="GT551" s="137"/>
      <c r="GU551" s="3"/>
      <c r="GV551" s="138"/>
      <c r="GW551" s="2"/>
      <c r="GX551" s="139"/>
      <c r="GY551" s="3"/>
      <c r="GZ551" s="3"/>
      <c r="HA551" s="3"/>
      <c r="HB551" s="3"/>
      <c r="HC551" s="3"/>
      <c r="HD551" s="3"/>
      <c r="HE551" s="3"/>
      <c r="HF551" s="3"/>
      <c r="HG551" s="3"/>
      <c r="HH551" s="3"/>
      <c r="HI551" s="131"/>
      <c r="HJ551" s="15"/>
      <c r="HK551" s="99"/>
      <c r="HL551" s="149"/>
      <c r="HM551" s="134"/>
      <c r="HN551" s="134"/>
      <c r="HO551" s="137"/>
      <c r="HP551" s="150"/>
      <c r="HQ551" s="137"/>
      <c r="HR551" s="137"/>
      <c r="HS551" s="3"/>
      <c r="HT551" s="138"/>
      <c r="HU551" s="2"/>
      <c r="HV551" s="139"/>
      <c r="HW551" s="3"/>
      <c r="HX551" s="3"/>
      <c r="HY551" s="3"/>
      <c r="HZ551" s="3"/>
      <c r="IA551" s="3"/>
      <c r="IB551" s="3"/>
      <c r="IC551" s="3"/>
      <c r="ID551" s="3"/>
      <c r="IE551" s="3"/>
      <c r="IF551" s="3"/>
      <c r="IG551" s="131"/>
      <c r="IH551" s="15"/>
      <c r="II551" s="99"/>
      <c r="IJ551" s="149"/>
      <c r="IK551" s="134"/>
      <c r="IL551" s="134"/>
      <c r="IM551" s="137"/>
      <c r="IN551" s="150"/>
      <c r="IO551" s="137"/>
      <c r="IP551" s="137"/>
      <c r="IQ551" s="3"/>
      <c r="IR551" s="138"/>
      <c r="IS551" s="2"/>
      <c r="IT551" s="139"/>
      <c r="IU551" s="3"/>
      <c r="IV551" s="3"/>
    </row>
    <row r="552" spans="1:256" s="125" customFormat="1" ht="13.5" customHeight="1">
      <c r="A552" s="84">
        <v>73</v>
      </c>
      <c r="B552" s="60">
        <v>43083</v>
      </c>
      <c r="C552" s="18"/>
      <c r="D552" s="198" t="s">
        <v>472</v>
      </c>
      <c r="E552" s="20" t="s">
        <v>473</v>
      </c>
      <c r="F552" s="82" t="s">
        <v>746</v>
      </c>
      <c r="G552" s="63">
        <v>1708</v>
      </c>
      <c r="H552" s="121">
        <v>2246600</v>
      </c>
      <c r="I552" s="24"/>
      <c r="J552" s="24">
        <f t="shared" si="52"/>
        <v>2139619.0476190476</v>
      </c>
      <c r="K552" s="24">
        <f t="shared" si="49"/>
        <v>2139619.0476190476</v>
      </c>
      <c r="L552" s="123">
        <v>1</v>
      </c>
      <c r="M552" s="24">
        <f t="shared" si="50"/>
        <v>2139619.0476190476</v>
      </c>
      <c r="N552" s="129">
        <f t="shared" si="51"/>
        <v>0</v>
      </c>
      <c r="O552" s="85" t="s">
        <v>665</v>
      </c>
      <c r="P552" s="3"/>
      <c r="Q552" s="140"/>
      <c r="R552" s="3"/>
      <c r="S552" s="3"/>
      <c r="T552" s="3"/>
      <c r="U552" s="3"/>
      <c r="V552" s="3"/>
      <c r="W552" s="3"/>
      <c r="X552" s="3"/>
      <c r="Y552" s="131"/>
      <c r="Z552" s="15"/>
      <c r="AA552" s="99"/>
      <c r="AB552" s="149"/>
      <c r="AC552" s="134"/>
      <c r="AD552" s="134"/>
      <c r="AE552" s="137"/>
      <c r="AF552" s="150"/>
      <c r="AG552" s="137"/>
      <c r="AH552" s="137"/>
      <c r="AI552" s="3"/>
      <c r="AJ552" s="138"/>
      <c r="AK552" s="2"/>
      <c r="AL552" s="139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131"/>
      <c r="AX552" s="15"/>
      <c r="AY552" s="99"/>
      <c r="AZ552" s="149"/>
      <c r="BA552" s="134"/>
      <c r="BB552" s="134"/>
      <c r="BC552" s="137"/>
      <c r="BD552" s="150"/>
      <c r="BE552" s="137"/>
      <c r="BF552" s="137"/>
      <c r="BG552" s="3"/>
      <c r="BH552" s="138"/>
      <c r="BI552" s="2"/>
      <c r="BJ552" s="139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131"/>
      <c r="BV552" s="15"/>
      <c r="BW552" s="99"/>
      <c r="BX552" s="149"/>
      <c r="BY552" s="134"/>
      <c r="BZ552" s="134"/>
      <c r="CA552" s="137"/>
      <c r="CB552" s="150"/>
      <c r="CC552" s="137"/>
      <c r="CD552" s="137"/>
      <c r="CE552" s="3"/>
      <c r="CF552" s="138"/>
      <c r="CG552" s="2"/>
      <c r="CH552" s="139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131"/>
      <c r="CT552" s="15"/>
      <c r="CU552" s="99"/>
      <c r="CV552" s="149"/>
      <c r="CW552" s="134"/>
      <c r="CX552" s="134"/>
      <c r="CY552" s="137"/>
      <c r="CZ552" s="150"/>
      <c r="DA552" s="137"/>
      <c r="DB552" s="137"/>
      <c r="DC552" s="3"/>
      <c r="DD552" s="138"/>
      <c r="DE552" s="2"/>
      <c r="DF552" s="139"/>
      <c r="DG552" s="3"/>
      <c r="DH552" s="3"/>
      <c r="DI552" s="3"/>
      <c r="DJ552" s="3"/>
      <c r="DK552" s="3"/>
      <c r="DL552" s="3"/>
      <c r="DM552" s="3"/>
      <c r="DN552" s="3"/>
      <c r="DO552" s="3"/>
      <c r="DP552" s="3"/>
      <c r="DQ552" s="131"/>
      <c r="DR552" s="15"/>
      <c r="DS552" s="99"/>
      <c r="DT552" s="149"/>
      <c r="DU552" s="134"/>
      <c r="DV552" s="134"/>
      <c r="DW552" s="137"/>
      <c r="DX552" s="150"/>
      <c r="DY552" s="137"/>
      <c r="DZ552" s="137"/>
      <c r="EA552" s="3"/>
      <c r="EB552" s="138"/>
      <c r="EC552" s="2"/>
      <c r="ED552" s="139"/>
      <c r="EE552" s="3"/>
      <c r="EF552" s="3"/>
      <c r="EG552" s="3"/>
      <c r="EH552" s="3"/>
      <c r="EI552" s="3"/>
      <c r="EJ552" s="3"/>
      <c r="EK552" s="3"/>
      <c r="EL552" s="3"/>
      <c r="EM552" s="3"/>
      <c r="EN552" s="3"/>
      <c r="EO552" s="131"/>
      <c r="EP552" s="15"/>
      <c r="EQ552" s="99"/>
      <c r="ER552" s="149"/>
      <c r="ES552" s="134"/>
      <c r="ET552" s="134"/>
      <c r="EU552" s="137"/>
      <c r="EV552" s="150"/>
      <c r="EW552" s="137"/>
      <c r="EX552" s="137"/>
      <c r="EY552" s="3"/>
      <c r="EZ552" s="138"/>
      <c r="FA552" s="2"/>
      <c r="FB552" s="139"/>
      <c r="FC552" s="3"/>
      <c r="FD552" s="3"/>
      <c r="FE552" s="3"/>
      <c r="FF552" s="3"/>
      <c r="FG552" s="3"/>
      <c r="FH552" s="3"/>
      <c r="FI552" s="3"/>
      <c r="FJ552" s="3"/>
      <c r="FK552" s="3"/>
      <c r="FL552" s="3"/>
      <c r="FM552" s="131"/>
      <c r="FN552" s="15"/>
      <c r="FO552" s="99"/>
      <c r="FP552" s="149"/>
      <c r="FQ552" s="134"/>
      <c r="FR552" s="134"/>
      <c r="FS552" s="137"/>
      <c r="FT552" s="150"/>
      <c r="FU552" s="137"/>
      <c r="FV552" s="137"/>
      <c r="FW552" s="3"/>
      <c r="FX552" s="138"/>
      <c r="FY552" s="2"/>
      <c r="FZ552" s="139"/>
      <c r="GA552" s="3"/>
      <c r="GB552" s="3"/>
      <c r="GC552" s="3"/>
      <c r="GD552" s="3"/>
      <c r="GE552" s="3"/>
      <c r="GF552" s="3"/>
      <c r="GG552" s="3"/>
      <c r="GH552" s="3"/>
      <c r="GI552" s="3"/>
      <c r="GJ552" s="3"/>
      <c r="GK552" s="131"/>
      <c r="GL552" s="15"/>
      <c r="GM552" s="99"/>
      <c r="GN552" s="149"/>
      <c r="GO552" s="134"/>
      <c r="GP552" s="134"/>
      <c r="GQ552" s="137"/>
      <c r="GR552" s="150"/>
      <c r="GS552" s="137"/>
      <c r="GT552" s="137"/>
      <c r="GU552" s="3"/>
      <c r="GV552" s="138"/>
      <c r="GW552" s="2"/>
      <c r="GX552" s="139"/>
      <c r="GY552" s="3"/>
      <c r="GZ552" s="3"/>
      <c r="HA552" s="3"/>
      <c r="HB552" s="3"/>
      <c r="HC552" s="3"/>
      <c r="HD552" s="3"/>
      <c r="HE552" s="3"/>
      <c r="HF552" s="3"/>
      <c r="HG552" s="3"/>
      <c r="HH552" s="3"/>
      <c r="HI552" s="131"/>
      <c r="HJ552" s="15"/>
      <c r="HK552" s="99"/>
      <c r="HL552" s="149"/>
      <c r="HM552" s="134"/>
      <c r="HN552" s="134"/>
      <c r="HO552" s="137"/>
      <c r="HP552" s="150"/>
      <c r="HQ552" s="137"/>
      <c r="HR552" s="137"/>
      <c r="HS552" s="3"/>
      <c r="HT552" s="138"/>
      <c r="HU552" s="2"/>
      <c r="HV552" s="139"/>
      <c r="HW552" s="3"/>
      <c r="HX552" s="3"/>
      <c r="HY552" s="3"/>
      <c r="HZ552" s="3"/>
      <c r="IA552" s="3"/>
      <c r="IB552" s="3"/>
      <c r="IC552" s="3"/>
      <c r="ID552" s="3"/>
      <c r="IE552" s="3"/>
      <c r="IF552" s="3"/>
      <c r="IG552" s="131"/>
      <c r="IH552" s="15"/>
      <c r="II552" s="99"/>
      <c r="IJ552" s="149"/>
      <c r="IK552" s="134"/>
      <c r="IL552" s="134"/>
      <c r="IM552" s="137"/>
      <c r="IN552" s="150"/>
      <c r="IO552" s="137"/>
      <c r="IP552" s="137"/>
      <c r="IQ552" s="3"/>
      <c r="IR552" s="138"/>
      <c r="IS552" s="2"/>
      <c r="IT552" s="139"/>
      <c r="IU552" s="3"/>
      <c r="IV552" s="3"/>
    </row>
    <row r="553" spans="1:256" s="125" customFormat="1" ht="13.5" customHeight="1">
      <c r="A553" s="84">
        <v>74</v>
      </c>
      <c r="B553" s="60">
        <v>43084</v>
      </c>
      <c r="C553" s="18" t="s">
        <v>747</v>
      </c>
      <c r="D553" s="19" t="s">
        <v>472</v>
      </c>
      <c r="E553" s="20" t="s">
        <v>748</v>
      </c>
      <c r="F553" s="168" t="s">
        <v>749</v>
      </c>
      <c r="G553" s="63">
        <v>1709</v>
      </c>
      <c r="H553" s="121">
        <f>2246600+11950</f>
        <v>2258550</v>
      </c>
      <c r="I553" s="24"/>
      <c r="J553" s="24">
        <f t="shared" si="52"/>
        <v>2151000</v>
      </c>
      <c r="K553" s="24">
        <f t="shared" si="49"/>
        <v>2151000</v>
      </c>
      <c r="L553" s="123">
        <v>1</v>
      </c>
      <c r="M553" s="24">
        <f t="shared" si="50"/>
        <v>2151000</v>
      </c>
      <c r="N553" s="129">
        <f t="shared" si="51"/>
        <v>0</v>
      </c>
      <c r="O553" s="85" t="s">
        <v>665</v>
      </c>
      <c r="P553" s="3"/>
      <c r="Q553" s="140"/>
      <c r="R553" s="3"/>
      <c r="S553" s="3"/>
      <c r="T553" s="3"/>
      <c r="U553" s="3"/>
      <c r="V553" s="3"/>
      <c r="W553" s="3"/>
      <c r="X553" s="3"/>
      <c r="Y553" s="131"/>
      <c r="Z553" s="15"/>
      <c r="AA553" s="99"/>
      <c r="AB553" s="149"/>
      <c r="AC553" s="134"/>
      <c r="AD553" s="134"/>
      <c r="AE553" s="137"/>
      <c r="AF553" s="150"/>
      <c r="AG553" s="137"/>
      <c r="AH553" s="137"/>
      <c r="AI553" s="3"/>
      <c r="AJ553" s="138"/>
      <c r="AK553" s="2"/>
      <c r="AL553" s="139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131"/>
      <c r="AX553" s="15"/>
      <c r="AY553" s="99"/>
      <c r="AZ553" s="149"/>
      <c r="BA553" s="134"/>
      <c r="BB553" s="134"/>
      <c r="BC553" s="137"/>
      <c r="BD553" s="150"/>
      <c r="BE553" s="137"/>
      <c r="BF553" s="137"/>
      <c r="BG553" s="3"/>
      <c r="BH553" s="138"/>
      <c r="BI553" s="2"/>
      <c r="BJ553" s="139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131"/>
      <c r="BV553" s="15"/>
      <c r="BW553" s="99"/>
      <c r="BX553" s="149"/>
      <c r="BY553" s="134"/>
      <c r="BZ553" s="134"/>
      <c r="CA553" s="137"/>
      <c r="CB553" s="150"/>
      <c r="CC553" s="137"/>
      <c r="CD553" s="137"/>
      <c r="CE553" s="3"/>
      <c r="CF553" s="138"/>
      <c r="CG553" s="2"/>
      <c r="CH553" s="139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131"/>
      <c r="CT553" s="15"/>
      <c r="CU553" s="99"/>
      <c r="CV553" s="149"/>
      <c r="CW553" s="134"/>
      <c r="CX553" s="134"/>
      <c r="CY553" s="137"/>
      <c r="CZ553" s="150"/>
      <c r="DA553" s="137"/>
      <c r="DB553" s="137"/>
      <c r="DC553" s="3"/>
      <c r="DD553" s="138"/>
      <c r="DE553" s="2"/>
      <c r="DF553" s="139"/>
      <c r="DG553" s="3"/>
      <c r="DH553" s="3"/>
      <c r="DI553" s="3"/>
      <c r="DJ553" s="3"/>
      <c r="DK553" s="3"/>
      <c r="DL553" s="3"/>
      <c r="DM553" s="3"/>
      <c r="DN553" s="3"/>
      <c r="DO553" s="3"/>
      <c r="DP553" s="3"/>
      <c r="DQ553" s="131"/>
      <c r="DR553" s="15"/>
      <c r="DS553" s="99"/>
      <c r="DT553" s="149"/>
      <c r="DU553" s="134"/>
      <c r="DV553" s="134"/>
      <c r="DW553" s="137"/>
      <c r="DX553" s="150"/>
      <c r="DY553" s="137"/>
      <c r="DZ553" s="137"/>
      <c r="EA553" s="3"/>
      <c r="EB553" s="138"/>
      <c r="EC553" s="2"/>
      <c r="ED553" s="139"/>
      <c r="EE553" s="3"/>
      <c r="EF553" s="3"/>
      <c r="EG553" s="3"/>
      <c r="EH553" s="3"/>
      <c r="EI553" s="3"/>
      <c r="EJ553" s="3"/>
      <c r="EK553" s="3"/>
      <c r="EL553" s="3"/>
      <c r="EM553" s="3"/>
      <c r="EN553" s="3"/>
      <c r="EO553" s="131"/>
      <c r="EP553" s="15"/>
      <c r="EQ553" s="99"/>
      <c r="ER553" s="149"/>
      <c r="ES553" s="134"/>
      <c r="ET553" s="134"/>
      <c r="EU553" s="137"/>
      <c r="EV553" s="150"/>
      <c r="EW553" s="137"/>
      <c r="EX553" s="137"/>
      <c r="EY553" s="3"/>
      <c r="EZ553" s="138"/>
      <c r="FA553" s="2"/>
      <c r="FB553" s="139"/>
      <c r="FC553" s="3"/>
      <c r="FD553" s="3"/>
      <c r="FE553" s="3"/>
      <c r="FF553" s="3"/>
      <c r="FG553" s="3"/>
      <c r="FH553" s="3"/>
      <c r="FI553" s="3"/>
      <c r="FJ553" s="3"/>
      <c r="FK553" s="3"/>
      <c r="FL553" s="3"/>
      <c r="FM553" s="131"/>
      <c r="FN553" s="15"/>
      <c r="FO553" s="99"/>
      <c r="FP553" s="149"/>
      <c r="FQ553" s="134"/>
      <c r="FR553" s="134"/>
      <c r="FS553" s="137"/>
      <c r="FT553" s="150"/>
      <c r="FU553" s="137"/>
      <c r="FV553" s="137"/>
      <c r="FW553" s="3"/>
      <c r="FX553" s="138"/>
      <c r="FY553" s="2"/>
      <c r="FZ553" s="139"/>
      <c r="GA553" s="3"/>
      <c r="GB553" s="3"/>
      <c r="GC553" s="3"/>
      <c r="GD553" s="3"/>
      <c r="GE553" s="3"/>
      <c r="GF553" s="3"/>
      <c r="GG553" s="3"/>
      <c r="GH553" s="3"/>
      <c r="GI553" s="3"/>
      <c r="GJ553" s="3"/>
      <c r="GK553" s="131"/>
      <c r="GL553" s="15"/>
      <c r="GM553" s="99"/>
      <c r="GN553" s="149"/>
      <c r="GO553" s="134"/>
      <c r="GP553" s="134"/>
      <c r="GQ553" s="137"/>
      <c r="GR553" s="150"/>
      <c r="GS553" s="137"/>
      <c r="GT553" s="137"/>
      <c r="GU553" s="3"/>
      <c r="GV553" s="138"/>
      <c r="GW553" s="2"/>
      <c r="GX553" s="139"/>
      <c r="GY553" s="3"/>
      <c r="GZ553" s="3"/>
      <c r="HA553" s="3"/>
      <c r="HB553" s="3"/>
      <c r="HC553" s="3"/>
      <c r="HD553" s="3"/>
      <c r="HE553" s="3"/>
      <c r="HF553" s="3"/>
      <c r="HG553" s="3"/>
      <c r="HH553" s="3"/>
      <c r="HI553" s="131"/>
      <c r="HJ553" s="15"/>
      <c r="HK553" s="99"/>
      <c r="HL553" s="149"/>
      <c r="HM553" s="134"/>
      <c r="HN553" s="134"/>
      <c r="HO553" s="137"/>
      <c r="HP553" s="150"/>
      <c r="HQ553" s="137"/>
      <c r="HR553" s="137"/>
      <c r="HS553" s="3"/>
      <c r="HT553" s="138"/>
      <c r="HU553" s="2"/>
      <c r="HV553" s="139"/>
      <c r="HW553" s="3"/>
      <c r="HX553" s="3"/>
      <c r="HY553" s="3"/>
      <c r="HZ553" s="3"/>
      <c r="IA553" s="3"/>
      <c r="IB553" s="3"/>
      <c r="IC553" s="3"/>
      <c r="ID553" s="3"/>
      <c r="IE553" s="3"/>
      <c r="IF553" s="3"/>
      <c r="IG553" s="131"/>
      <c r="IH553" s="15"/>
      <c r="II553" s="99"/>
      <c r="IJ553" s="149"/>
      <c r="IK553" s="134"/>
      <c r="IL553" s="134"/>
      <c r="IM553" s="137"/>
      <c r="IN553" s="150"/>
      <c r="IO553" s="137"/>
      <c r="IP553" s="137"/>
      <c r="IQ553" s="3"/>
      <c r="IR553" s="138"/>
      <c r="IS553" s="2"/>
      <c r="IT553" s="139"/>
      <c r="IU553" s="3"/>
      <c r="IV553" s="3"/>
    </row>
    <row r="554" spans="1:256" s="125" customFormat="1" ht="13.5" customHeight="1">
      <c r="A554" s="84">
        <v>75</v>
      </c>
      <c r="B554" s="60">
        <v>43094</v>
      </c>
      <c r="C554" s="18" t="s">
        <v>311</v>
      </c>
      <c r="D554" s="19" t="s">
        <v>472</v>
      </c>
      <c r="E554" s="20" t="s">
        <v>642</v>
      </c>
      <c r="F554" s="168" t="s">
        <v>750</v>
      </c>
      <c r="G554" s="63">
        <v>1705</v>
      </c>
      <c r="H554" s="121">
        <v>2440000</v>
      </c>
      <c r="I554" s="24"/>
      <c r="J554" s="24">
        <f t="shared" si="52"/>
        <v>2323809.5238095238</v>
      </c>
      <c r="K554" s="24">
        <f t="shared" si="49"/>
        <v>2323809.5238095238</v>
      </c>
      <c r="L554" s="123">
        <v>1</v>
      </c>
      <c r="M554" s="24">
        <f t="shared" si="50"/>
        <v>2323809.5238095238</v>
      </c>
      <c r="N554" s="129">
        <f t="shared" si="51"/>
        <v>0</v>
      </c>
      <c r="O554" s="85" t="s">
        <v>665</v>
      </c>
      <c r="P554" s="3"/>
      <c r="Q554" s="140"/>
      <c r="R554" s="3"/>
      <c r="S554" s="3"/>
      <c r="T554" s="3"/>
      <c r="U554" s="3"/>
      <c r="V554" s="3"/>
      <c r="W554" s="3"/>
      <c r="X554" s="3"/>
      <c r="Y554" s="131"/>
      <c r="Z554" s="15"/>
      <c r="AA554" s="99"/>
      <c r="AB554" s="149"/>
      <c r="AC554" s="134"/>
      <c r="AD554" s="134"/>
      <c r="AE554" s="137"/>
      <c r="AF554" s="150"/>
      <c r="AG554" s="137"/>
      <c r="AH554" s="137"/>
      <c r="AI554" s="3"/>
      <c r="AJ554" s="138"/>
      <c r="AK554" s="2"/>
      <c r="AL554" s="139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131"/>
      <c r="AX554" s="15"/>
      <c r="AY554" s="99"/>
      <c r="AZ554" s="149"/>
      <c r="BA554" s="134"/>
      <c r="BB554" s="134"/>
      <c r="BC554" s="137"/>
      <c r="BD554" s="150"/>
      <c r="BE554" s="137"/>
      <c r="BF554" s="137"/>
      <c r="BG554" s="3"/>
      <c r="BH554" s="138"/>
      <c r="BI554" s="2"/>
      <c r="BJ554" s="139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131"/>
      <c r="BV554" s="15"/>
      <c r="BW554" s="99"/>
      <c r="BX554" s="149"/>
      <c r="BY554" s="134"/>
      <c r="BZ554" s="134"/>
      <c r="CA554" s="137"/>
      <c r="CB554" s="150"/>
      <c r="CC554" s="137"/>
      <c r="CD554" s="137"/>
      <c r="CE554" s="3"/>
      <c r="CF554" s="138"/>
      <c r="CG554" s="2"/>
      <c r="CH554" s="139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131"/>
      <c r="CT554" s="15"/>
      <c r="CU554" s="99"/>
      <c r="CV554" s="149"/>
      <c r="CW554" s="134"/>
      <c r="CX554" s="134"/>
      <c r="CY554" s="137"/>
      <c r="CZ554" s="150"/>
      <c r="DA554" s="137"/>
      <c r="DB554" s="137"/>
      <c r="DC554" s="3"/>
      <c r="DD554" s="138"/>
      <c r="DE554" s="2"/>
      <c r="DF554" s="139"/>
      <c r="DG554" s="3"/>
      <c r="DH554" s="3"/>
      <c r="DI554" s="3"/>
      <c r="DJ554" s="3"/>
      <c r="DK554" s="3"/>
      <c r="DL554" s="3"/>
      <c r="DM554" s="3"/>
      <c r="DN554" s="3"/>
      <c r="DO554" s="3"/>
      <c r="DP554" s="3"/>
      <c r="DQ554" s="131"/>
      <c r="DR554" s="15"/>
      <c r="DS554" s="99"/>
      <c r="DT554" s="149"/>
      <c r="DU554" s="134"/>
      <c r="DV554" s="134"/>
      <c r="DW554" s="137"/>
      <c r="DX554" s="150"/>
      <c r="DY554" s="137"/>
      <c r="DZ554" s="137"/>
      <c r="EA554" s="3"/>
      <c r="EB554" s="138"/>
      <c r="EC554" s="2"/>
      <c r="ED554" s="139"/>
      <c r="EE554" s="3"/>
      <c r="EF554" s="3"/>
      <c r="EG554" s="3"/>
      <c r="EH554" s="3"/>
      <c r="EI554" s="3"/>
      <c r="EJ554" s="3"/>
      <c r="EK554" s="3"/>
      <c r="EL554" s="3"/>
      <c r="EM554" s="3"/>
      <c r="EN554" s="3"/>
      <c r="EO554" s="131"/>
      <c r="EP554" s="15"/>
      <c r="EQ554" s="99"/>
      <c r="ER554" s="149"/>
      <c r="ES554" s="134"/>
      <c r="ET554" s="134"/>
      <c r="EU554" s="137"/>
      <c r="EV554" s="150"/>
      <c r="EW554" s="137"/>
      <c r="EX554" s="137"/>
      <c r="EY554" s="3"/>
      <c r="EZ554" s="138"/>
      <c r="FA554" s="2"/>
      <c r="FB554" s="139"/>
      <c r="FC554" s="3"/>
      <c r="FD554" s="3"/>
      <c r="FE554" s="3"/>
      <c r="FF554" s="3"/>
      <c r="FG554" s="3"/>
      <c r="FH554" s="3"/>
      <c r="FI554" s="3"/>
      <c r="FJ554" s="3"/>
      <c r="FK554" s="3"/>
      <c r="FL554" s="3"/>
      <c r="FM554" s="131"/>
      <c r="FN554" s="15"/>
      <c r="FO554" s="99"/>
      <c r="FP554" s="149"/>
      <c r="FQ554" s="134"/>
      <c r="FR554" s="134"/>
      <c r="FS554" s="137"/>
      <c r="FT554" s="150"/>
      <c r="FU554" s="137"/>
      <c r="FV554" s="137"/>
      <c r="FW554" s="3"/>
      <c r="FX554" s="138"/>
      <c r="FY554" s="2"/>
      <c r="FZ554" s="139"/>
      <c r="GA554" s="3"/>
      <c r="GB554" s="3"/>
      <c r="GC554" s="3"/>
      <c r="GD554" s="3"/>
      <c r="GE554" s="3"/>
      <c r="GF554" s="3"/>
      <c r="GG554" s="3"/>
      <c r="GH554" s="3"/>
      <c r="GI554" s="3"/>
      <c r="GJ554" s="3"/>
      <c r="GK554" s="131"/>
      <c r="GL554" s="15"/>
      <c r="GM554" s="99"/>
      <c r="GN554" s="149"/>
      <c r="GO554" s="134"/>
      <c r="GP554" s="134"/>
      <c r="GQ554" s="137"/>
      <c r="GR554" s="150"/>
      <c r="GS554" s="137"/>
      <c r="GT554" s="137"/>
      <c r="GU554" s="3"/>
      <c r="GV554" s="138"/>
      <c r="GW554" s="2"/>
      <c r="GX554" s="139"/>
      <c r="GY554" s="3"/>
      <c r="GZ554" s="3"/>
      <c r="HA554" s="3"/>
      <c r="HB554" s="3"/>
      <c r="HC554" s="3"/>
      <c r="HD554" s="3"/>
      <c r="HE554" s="3"/>
      <c r="HF554" s="3"/>
      <c r="HG554" s="3"/>
      <c r="HH554" s="3"/>
      <c r="HI554" s="131"/>
      <c r="HJ554" s="15"/>
      <c r="HK554" s="99"/>
      <c r="HL554" s="149"/>
      <c r="HM554" s="134"/>
      <c r="HN554" s="134"/>
      <c r="HO554" s="137"/>
      <c r="HP554" s="150"/>
      <c r="HQ554" s="137"/>
      <c r="HR554" s="137"/>
      <c r="HS554" s="3"/>
      <c r="HT554" s="138"/>
      <c r="HU554" s="2"/>
      <c r="HV554" s="139"/>
      <c r="HW554" s="3"/>
      <c r="HX554" s="3"/>
      <c r="HY554" s="3"/>
      <c r="HZ554" s="3"/>
      <c r="IA554" s="3"/>
      <c r="IB554" s="3"/>
      <c r="IC554" s="3"/>
      <c r="ID554" s="3"/>
      <c r="IE554" s="3"/>
      <c r="IF554" s="3"/>
      <c r="IG554" s="131"/>
      <c r="IH554" s="15"/>
      <c r="II554" s="99"/>
      <c r="IJ554" s="149"/>
      <c r="IK554" s="134"/>
      <c r="IL554" s="134"/>
      <c r="IM554" s="137"/>
      <c r="IN554" s="150"/>
      <c r="IO554" s="137"/>
      <c r="IP554" s="137"/>
      <c r="IQ554" s="3"/>
      <c r="IR554" s="138"/>
      <c r="IS554" s="2"/>
      <c r="IT554" s="139"/>
      <c r="IU554" s="3"/>
      <c r="IV554" s="3"/>
    </row>
    <row r="555" spans="1:256" s="125" customFormat="1" ht="13.5" customHeight="1">
      <c r="A555" s="84">
        <v>76</v>
      </c>
      <c r="B555" s="60">
        <v>43090</v>
      </c>
      <c r="C555" s="18" t="s">
        <v>457</v>
      </c>
      <c r="D555" s="19" t="s">
        <v>472</v>
      </c>
      <c r="E555" s="20" t="s">
        <v>642</v>
      </c>
      <c r="F555" s="168" t="s">
        <v>751</v>
      </c>
      <c r="G555" s="63">
        <v>1706</v>
      </c>
      <c r="H555" s="121">
        <v>2440000</v>
      </c>
      <c r="I555" s="24"/>
      <c r="J555" s="24">
        <f t="shared" si="52"/>
        <v>2323809.5238095238</v>
      </c>
      <c r="K555" s="24">
        <f t="shared" si="49"/>
        <v>2323809.5238095238</v>
      </c>
      <c r="L555" s="123">
        <v>1</v>
      </c>
      <c r="M555" s="24">
        <f t="shared" si="50"/>
        <v>2323809.5238095238</v>
      </c>
      <c r="N555" s="129">
        <f t="shared" si="51"/>
        <v>0</v>
      </c>
      <c r="O555" s="85" t="s">
        <v>665</v>
      </c>
      <c r="P555" s="3"/>
      <c r="Q555" s="140"/>
      <c r="R555" s="3"/>
      <c r="S555" s="3"/>
      <c r="T555" s="3"/>
      <c r="U555" s="3"/>
      <c r="V555" s="3"/>
      <c r="W555" s="3"/>
      <c r="X555" s="3"/>
      <c r="Y555" s="131"/>
      <c r="Z555" s="15"/>
      <c r="AA555" s="99"/>
      <c r="AB555" s="149"/>
      <c r="AC555" s="134"/>
      <c r="AD555" s="134"/>
      <c r="AE555" s="137"/>
      <c r="AF555" s="150"/>
      <c r="AG555" s="137"/>
      <c r="AH555" s="137"/>
      <c r="AI555" s="3"/>
      <c r="AJ555" s="138"/>
      <c r="AK555" s="2"/>
      <c r="AL555" s="139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131"/>
      <c r="AX555" s="15"/>
      <c r="AY555" s="99"/>
      <c r="AZ555" s="149"/>
      <c r="BA555" s="134"/>
      <c r="BB555" s="134"/>
      <c r="BC555" s="137"/>
      <c r="BD555" s="150"/>
      <c r="BE555" s="137"/>
      <c r="BF555" s="137"/>
      <c r="BG555" s="3"/>
      <c r="BH555" s="138"/>
      <c r="BI555" s="2"/>
      <c r="BJ555" s="139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131"/>
      <c r="BV555" s="15"/>
      <c r="BW555" s="99"/>
      <c r="BX555" s="149"/>
      <c r="BY555" s="134"/>
      <c r="BZ555" s="134"/>
      <c r="CA555" s="137"/>
      <c r="CB555" s="150"/>
      <c r="CC555" s="137"/>
      <c r="CD555" s="137"/>
      <c r="CE555" s="3"/>
      <c r="CF555" s="138"/>
      <c r="CG555" s="2"/>
      <c r="CH555" s="139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131"/>
      <c r="CT555" s="15"/>
      <c r="CU555" s="99"/>
      <c r="CV555" s="149"/>
      <c r="CW555" s="134"/>
      <c r="CX555" s="134"/>
      <c r="CY555" s="137"/>
      <c r="CZ555" s="150"/>
      <c r="DA555" s="137"/>
      <c r="DB555" s="137"/>
      <c r="DC555" s="3"/>
      <c r="DD555" s="138"/>
      <c r="DE555" s="2"/>
      <c r="DF555" s="139"/>
      <c r="DG555" s="3"/>
      <c r="DH555" s="3"/>
      <c r="DI555" s="3"/>
      <c r="DJ555" s="3"/>
      <c r="DK555" s="3"/>
      <c r="DL555" s="3"/>
      <c r="DM555" s="3"/>
      <c r="DN555" s="3"/>
      <c r="DO555" s="3"/>
      <c r="DP555" s="3"/>
      <c r="DQ555" s="131"/>
      <c r="DR555" s="15"/>
      <c r="DS555" s="99"/>
      <c r="DT555" s="149"/>
      <c r="DU555" s="134"/>
      <c r="DV555" s="134"/>
      <c r="DW555" s="137"/>
      <c r="DX555" s="150"/>
      <c r="DY555" s="137"/>
      <c r="DZ555" s="137"/>
      <c r="EA555" s="3"/>
      <c r="EB555" s="138"/>
      <c r="EC555" s="2"/>
      <c r="ED555" s="139"/>
      <c r="EE555" s="3"/>
      <c r="EF555" s="3"/>
      <c r="EG555" s="3"/>
      <c r="EH555" s="3"/>
      <c r="EI555" s="3"/>
      <c r="EJ555" s="3"/>
      <c r="EK555" s="3"/>
      <c r="EL555" s="3"/>
      <c r="EM555" s="3"/>
      <c r="EN555" s="3"/>
      <c r="EO555" s="131"/>
      <c r="EP555" s="15"/>
      <c r="EQ555" s="99"/>
      <c r="ER555" s="149"/>
      <c r="ES555" s="134"/>
      <c r="ET555" s="134"/>
      <c r="EU555" s="137"/>
      <c r="EV555" s="150"/>
      <c r="EW555" s="137"/>
      <c r="EX555" s="137"/>
      <c r="EY555" s="3"/>
      <c r="EZ555" s="138"/>
      <c r="FA555" s="2"/>
      <c r="FB555" s="139"/>
      <c r="FC555" s="3"/>
      <c r="FD555" s="3"/>
      <c r="FE555" s="3"/>
      <c r="FF555" s="3"/>
      <c r="FG555" s="3"/>
      <c r="FH555" s="3"/>
      <c r="FI555" s="3"/>
      <c r="FJ555" s="3"/>
      <c r="FK555" s="3"/>
      <c r="FL555" s="3"/>
      <c r="FM555" s="131"/>
      <c r="FN555" s="15"/>
      <c r="FO555" s="99"/>
      <c r="FP555" s="149"/>
      <c r="FQ555" s="134"/>
      <c r="FR555" s="134"/>
      <c r="FS555" s="137"/>
      <c r="FT555" s="150"/>
      <c r="FU555" s="137"/>
      <c r="FV555" s="137"/>
      <c r="FW555" s="3"/>
      <c r="FX555" s="138"/>
      <c r="FY555" s="2"/>
      <c r="FZ555" s="139"/>
      <c r="GA555" s="3"/>
      <c r="GB555" s="3"/>
      <c r="GC555" s="3"/>
      <c r="GD555" s="3"/>
      <c r="GE555" s="3"/>
      <c r="GF555" s="3"/>
      <c r="GG555" s="3"/>
      <c r="GH555" s="3"/>
      <c r="GI555" s="3"/>
      <c r="GJ555" s="3"/>
      <c r="GK555" s="131"/>
      <c r="GL555" s="15"/>
      <c r="GM555" s="99"/>
      <c r="GN555" s="149"/>
      <c r="GO555" s="134"/>
      <c r="GP555" s="134"/>
      <c r="GQ555" s="137"/>
      <c r="GR555" s="150"/>
      <c r="GS555" s="137"/>
      <c r="GT555" s="137"/>
      <c r="GU555" s="3"/>
      <c r="GV555" s="138"/>
      <c r="GW555" s="2"/>
      <c r="GX555" s="139"/>
      <c r="GY555" s="3"/>
      <c r="GZ555" s="3"/>
      <c r="HA555" s="3"/>
      <c r="HB555" s="3"/>
      <c r="HC555" s="3"/>
      <c r="HD555" s="3"/>
      <c r="HE555" s="3"/>
      <c r="HF555" s="3"/>
      <c r="HG555" s="3"/>
      <c r="HH555" s="3"/>
      <c r="HI555" s="131"/>
      <c r="HJ555" s="15"/>
      <c r="HK555" s="99"/>
      <c r="HL555" s="149"/>
      <c r="HM555" s="134"/>
      <c r="HN555" s="134"/>
      <c r="HO555" s="137"/>
      <c r="HP555" s="150"/>
      <c r="HQ555" s="137"/>
      <c r="HR555" s="137"/>
      <c r="HS555" s="3"/>
      <c r="HT555" s="138"/>
      <c r="HU555" s="2"/>
      <c r="HV555" s="139"/>
      <c r="HW555" s="3"/>
      <c r="HX555" s="3"/>
      <c r="HY555" s="3"/>
      <c r="HZ555" s="3"/>
      <c r="IA555" s="3"/>
      <c r="IB555" s="3"/>
      <c r="IC555" s="3"/>
      <c r="ID555" s="3"/>
      <c r="IE555" s="3"/>
      <c r="IF555" s="3"/>
      <c r="IG555" s="131"/>
      <c r="IH555" s="15"/>
      <c r="II555" s="99"/>
      <c r="IJ555" s="149"/>
      <c r="IK555" s="134"/>
      <c r="IL555" s="134"/>
      <c r="IM555" s="137"/>
      <c r="IN555" s="150"/>
      <c r="IO555" s="137"/>
      <c r="IP555" s="137"/>
      <c r="IQ555" s="3"/>
      <c r="IR555" s="138"/>
      <c r="IS555" s="2"/>
      <c r="IT555" s="139"/>
      <c r="IU555" s="3"/>
      <c r="IV555" s="3"/>
    </row>
    <row r="556" spans="1:256" s="125" customFormat="1" ht="13.5" customHeight="1">
      <c r="A556" s="84">
        <v>77</v>
      </c>
      <c r="B556" s="56">
        <v>43084</v>
      </c>
      <c r="C556" s="18"/>
      <c r="D556" s="19" t="s">
        <v>479</v>
      </c>
      <c r="E556" s="20" t="s">
        <v>480</v>
      </c>
      <c r="F556" s="62" t="s">
        <v>752</v>
      </c>
      <c r="G556" s="63">
        <v>1708</v>
      </c>
      <c r="H556" s="121">
        <v>2630000</v>
      </c>
      <c r="I556" s="24"/>
      <c r="J556" s="24">
        <f t="shared" si="52"/>
        <v>2504761.9047619049</v>
      </c>
      <c r="K556" s="24">
        <f t="shared" si="49"/>
        <v>2504761.9047619049</v>
      </c>
      <c r="L556" s="123">
        <v>1</v>
      </c>
      <c r="M556" s="24">
        <f t="shared" si="50"/>
        <v>2504761.9047619049</v>
      </c>
      <c r="N556" s="129">
        <f t="shared" si="51"/>
        <v>0</v>
      </c>
      <c r="O556" s="85" t="s">
        <v>665</v>
      </c>
      <c r="P556" s="3"/>
      <c r="Q556" s="140"/>
      <c r="R556" s="3"/>
      <c r="S556" s="3"/>
      <c r="T556" s="3"/>
      <c r="U556" s="3"/>
      <c r="V556" s="3"/>
      <c r="W556" s="3"/>
      <c r="X556" s="3"/>
      <c r="Y556" s="131"/>
      <c r="Z556" s="15"/>
      <c r="AA556" s="99"/>
      <c r="AB556" s="149"/>
      <c r="AC556" s="134"/>
      <c r="AD556" s="134"/>
      <c r="AE556" s="137"/>
      <c r="AF556" s="150"/>
      <c r="AG556" s="137"/>
      <c r="AH556" s="137"/>
      <c r="AI556" s="3"/>
      <c r="AJ556" s="138"/>
      <c r="AK556" s="2"/>
      <c r="AL556" s="139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131"/>
      <c r="AX556" s="15"/>
      <c r="AY556" s="99"/>
      <c r="AZ556" s="149"/>
      <c r="BA556" s="134"/>
      <c r="BB556" s="134"/>
      <c r="BC556" s="137"/>
      <c r="BD556" s="150"/>
      <c r="BE556" s="137"/>
      <c r="BF556" s="137"/>
      <c r="BG556" s="3"/>
      <c r="BH556" s="138"/>
      <c r="BI556" s="2"/>
      <c r="BJ556" s="139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131"/>
      <c r="BV556" s="15"/>
      <c r="BW556" s="99"/>
      <c r="BX556" s="149"/>
      <c r="BY556" s="134"/>
      <c r="BZ556" s="134"/>
      <c r="CA556" s="137"/>
      <c r="CB556" s="150"/>
      <c r="CC556" s="137"/>
      <c r="CD556" s="137"/>
      <c r="CE556" s="3"/>
      <c r="CF556" s="138"/>
      <c r="CG556" s="2"/>
      <c r="CH556" s="139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131"/>
      <c r="CT556" s="15"/>
      <c r="CU556" s="99"/>
      <c r="CV556" s="149"/>
      <c r="CW556" s="134"/>
      <c r="CX556" s="134"/>
      <c r="CY556" s="137"/>
      <c r="CZ556" s="150"/>
      <c r="DA556" s="137"/>
      <c r="DB556" s="137"/>
      <c r="DC556" s="3"/>
      <c r="DD556" s="138"/>
      <c r="DE556" s="2"/>
      <c r="DF556" s="139"/>
      <c r="DG556" s="3"/>
      <c r="DH556" s="3"/>
      <c r="DI556" s="3"/>
      <c r="DJ556" s="3"/>
      <c r="DK556" s="3"/>
      <c r="DL556" s="3"/>
      <c r="DM556" s="3"/>
      <c r="DN556" s="3"/>
      <c r="DO556" s="3"/>
      <c r="DP556" s="3"/>
      <c r="DQ556" s="131"/>
      <c r="DR556" s="15"/>
      <c r="DS556" s="99"/>
      <c r="DT556" s="149"/>
      <c r="DU556" s="134"/>
      <c r="DV556" s="134"/>
      <c r="DW556" s="137"/>
      <c r="DX556" s="150"/>
      <c r="DY556" s="137"/>
      <c r="DZ556" s="137"/>
      <c r="EA556" s="3"/>
      <c r="EB556" s="138"/>
      <c r="EC556" s="2"/>
      <c r="ED556" s="139"/>
      <c r="EE556" s="3"/>
      <c r="EF556" s="3"/>
      <c r="EG556" s="3"/>
      <c r="EH556" s="3"/>
      <c r="EI556" s="3"/>
      <c r="EJ556" s="3"/>
      <c r="EK556" s="3"/>
      <c r="EL556" s="3"/>
      <c r="EM556" s="3"/>
      <c r="EN556" s="3"/>
      <c r="EO556" s="131"/>
      <c r="EP556" s="15"/>
      <c r="EQ556" s="99"/>
      <c r="ER556" s="149"/>
      <c r="ES556" s="134"/>
      <c r="ET556" s="134"/>
      <c r="EU556" s="137"/>
      <c r="EV556" s="150"/>
      <c r="EW556" s="137"/>
      <c r="EX556" s="137"/>
      <c r="EY556" s="3"/>
      <c r="EZ556" s="138"/>
      <c r="FA556" s="2"/>
      <c r="FB556" s="139"/>
      <c r="FC556" s="3"/>
      <c r="FD556" s="3"/>
      <c r="FE556" s="3"/>
      <c r="FF556" s="3"/>
      <c r="FG556" s="3"/>
      <c r="FH556" s="3"/>
      <c r="FI556" s="3"/>
      <c r="FJ556" s="3"/>
      <c r="FK556" s="3"/>
      <c r="FL556" s="3"/>
      <c r="FM556" s="131"/>
      <c r="FN556" s="15"/>
      <c r="FO556" s="99"/>
      <c r="FP556" s="149"/>
      <c r="FQ556" s="134"/>
      <c r="FR556" s="134"/>
      <c r="FS556" s="137"/>
      <c r="FT556" s="150"/>
      <c r="FU556" s="137"/>
      <c r="FV556" s="137"/>
      <c r="FW556" s="3"/>
      <c r="FX556" s="138"/>
      <c r="FY556" s="2"/>
      <c r="FZ556" s="139"/>
      <c r="GA556" s="3"/>
      <c r="GB556" s="3"/>
      <c r="GC556" s="3"/>
      <c r="GD556" s="3"/>
      <c r="GE556" s="3"/>
      <c r="GF556" s="3"/>
      <c r="GG556" s="3"/>
      <c r="GH556" s="3"/>
      <c r="GI556" s="3"/>
      <c r="GJ556" s="3"/>
      <c r="GK556" s="131"/>
      <c r="GL556" s="15"/>
      <c r="GM556" s="99"/>
      <c r="GN556" s="149"/>
      <c r="GO556" s="134"/>
      <c r="GP556" s="134"/>
      <c r="GQ556" s="137"/>
      <c r="GR556" s="150"/>
      <c r="GS556" s="137"/>
      <c r="GT556" s="137"/>
      <c r="GU556" s="3"/>
      <c r="GV556" s="138"/>
      <c r="GW556" s="2"/>
      <c r="GX556" s="139"/>
      <c r="GY556" s="3"/>
      <c r="GZ556" s="3"/>
      <c r="HA556" s="3"/>
      <c r="HB556" s="3"/>
      <c r="HC556" s="3"/>
      <c r="HD556" s="3"/>
      <c r="HE556" s="3"/>
      <c r="HF556" s="3"/>
      <c r="HG556" s="3"/>
      <c r="HH556" s="3"/>
      <c r="HI556" s="131"/>
      <c r="HJ556" s="15"/>
      <c r="HK556" s="99"/>
      <c r="HL556" s="149"/>
      <c r="HM556" s="134"/>
      <c r="HN556" s="134"/>
      <c r="HO556" s="137"/>
      <c r="HP556" s="150"/>
      <c r="HQ556" s="137"/>
      <c r="HR556" s="137"/>
      <c r="HS556" s="3"/>
      <c r="HT556" s="138"/>
      <c r="HU556" s="2"/>
      <c r="HV556" s="139"/>
      <c r="HW556" s="3"/>
      <c r="HX556" s="3"/>
      <c r="HY556" s="3"/>
      <c r="HZ556" s="3"/>
      <c r="IA556" s="3"/>
      <c r="IB556" s="3"/>
      <c r="IC556" s="3"/>
      <c r="ID556" s="3"/>
      <c r="IE556" s="3"/>
      <c r="IF556" s="3"/>
      <c r="IG556" s="131"/>
      <c r="IH556" s="15"/>
      <c r="II556" s="99"/>
      <c r="IJ556" s="149"/>
      <c r="IK556" s="134"/>
      <c r="IL556" s="134"/>
      <c r="IM556" s="137"/>
      <c r="IN556" s="150"/>
      <c r="IO556" s="137"/>
      <c r="IP556" s="137"/>
      <c r="IQ556" s="3"/>
      <c r="IR556" s="138"/>
      <c r="IS556" s="2"/>
      <c r="IT556" s="139"/>
      <c r="IU556" s="3"/>
      <c r="IV556" s="3"/>
    </row>
    <row r="557" spans="1:256" s="125" customFormat="1" ht="13.5" customHeight="1">
      <c r="A557" s="84">
        <v>78</v>
      </c>
      <c r="B557" s="56">
        <v>43091</v>
      </c>
      <c r="C557" s="18"/>
      <c r="D557" s="19" t="s">
        <v>479</v>
      </c>
      <c r="E557" s="20" t="s">
        <v>480</v>
      </c>
      <c r="F557" s="197" t="s">
        <v>753</v>
      </c>
      <c r="G557" s="181">
        <v>1708</v>
      </c>
      <c r="H557" s="121">
        <v>2630000</v>
      </c>
      <c r="I557" s="24"/>
      <c r="J557" s="24">
        <f t="shared" si="52"/>
        <v>2504761.9047619049</v>
      </c>
      <c r="K557" s="24">
        <f t="shared" si="49"/>
        <v>2504761.9047619049</v>
      </c>
      <c r="L557" s="123">
        <v>1</v>
      </c>
      <c r="M557" s="24">
        <f t="shared" si="50"/>
        <v>2504761.9047619049</v>
      </c>
      <c r="N557" s="129">
        <f t="shared" si="51"/>
        <v>0</v>
      </c>
      <c r="O557" s="85" t="s">
        <v>665</v>
      </c>
      <c r="P557" s="3"/>
      <c r="Q557" s="140"/>
      <c r="R557" s="3"/>
      <c r="S557" s="3"/>
      <c r="T557" s="3"/>
      <c r="U557" s="3"/>
      <c r="V557" s="3"/>
      <c r="W557" s="3"/>
      <c r="X557" s="3"/>
      <c r="Y557" s="131"/>
      <c r="Z557" s="15"/>
      <c r="AA557" s="99"/>
      <c r="AB557" s="149"/>
      <c r="AC557" s="134"/>
      <c r="AD557" s="134"/>
      <c r="AE557" s="137"/>
      <c r="AF557" s="150"/>
      <c r="AG557" s="137"/>
      <c r="AH557" s="137"/>
      <c r="AI557" s="3"/>
      <c r="AJ557" s="138"/>
      <c r="AK557" s="2"/>
      <c r="AL557" s="139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131"/>
      <c r="AX557" s="15"/>
      <c r="AY557" s="99"/>
      <c r="AZ557" s="149"/>
      <c r="BA557" s="134"/>
      <c r="BB557" s="134"/>
      <c r="BC557" s="137"/>
      <c r="BD557" s="150"/>
      <c r="BE557" s="137"/>
      <c r="BF557" s="137"/>
      <c r="BG557" s="3"/>
      <c r="BH557" s="138"/>
      <c r="BI557" s="2"/>
      <c r="BJ557" s="139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131"/>
      <c r="BV557" s="15"/>
      <c r="BW557" s="99"/>
      <c r="BX557" s="149"/>
      <c r="BY557" s="134"/>
      <c r="BZ557" s="134"/>
      <c r="CA557" s="137"/>
      <c r="CB557" s="150"/>
      <c r="CC557" s="137"/>
      <c r="CD557" s="137"/>
      <c r="CE557" s="3"/>
      <c r="CF557" s="138"/>
      <c r="CG557" s="2"/>
      <c r="CH557" s="139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131"/>
      <c r="CT557" s="15"/>
      <c r="CU557" s="99"/>
      <c r="CV557" s="149"/>
      <c r="CW557" s="134"/>
      <c r="CX557" s="134"/>
      <c r="CY557" s="137"/>
      <c r="CZ557" s="150"/>
      <c r="DA557" s="137"/>
      <c r="DB557" s="137"/>
      <c r="DC557" s="3"/>
      <c r="DD557" s="138"/>
      <c r="DE557" s="2"/>
      <c r="DF557" s="139"/>
      <c r="DG557" s="3"/>
      <c r="DH557" s="3"/>
      <c r="DI557" s="3"/>
      <c r="DJ557" s="3"/>
      <c r="DK557" s="3"/>
      <c r="DL557" s="3"/>
      <c r="DM557" s="3"/>
      <c r="DN557" s="3"/>
      <c r="DO557" s="3"/>
      <c r="DP557" s="3"/>
      <c r="DQ557" s="131"/>
      <c r="DR557" s="15"/>
      <c r="DS557" s="99"/>
      <c r="DT557" s="149"/>
      <c r="DU557" s="134"/>
      <c r="DV557" s="134"/>
      <c r="DW557" s="137"/>
      <c r="DX557" s="150"/>
      <c r="DY557" s="137"/>
      <c r="DZ557" s="137"/>
      <c r="EA557" s="3"/>
      <c r="EB557" s="138"/>
      <c r="EC557" s="2"/>
      <c r="ED557" s="139"/>
      <c r="EE557" s="3"/>
      <c r="EF557" s="3"/>
      <c r="EG557" s="3"/>
      <c r="EH557" s="3"/>
      <c r="EI557" s="3"/>
      <c r="EJ557" s="3"/>
      <c r="EK557" s="3"/>
      <c r="EL557" s="3"/>
      <c r="EM557" s="3"/>
      <c r="EN557" s="3"/>
      <c r="EO557" s="131"/>
      <c r="EP557" s="15"/>
      <c r="EQ557" s="99"/>
      <c r="ER557" s="149"/>
      <c r="ES557" s="134"/>
      <c r="ET557" s="134"/>
      <c r="EU557" s="137"/>
      <c r="EV557" s="150"/>
      <c r="EW557" s="137"/>
      <c r="EX557" s="137"/>
      <c r="EY557" s="3"/>
      <c r="EZ557" s="138"/>
      <c r="FA557" s="2"/>
      <c r="FB557" s="139"/>
      <c r="FC557" s="3"/>
      <c r="FD557" s="3"/>
      <c r="FE557" s="3"/>
      <c r="FF557" s="3"/>
      <c r="FG557" s="3"/>
      <c r="FH557" s="3"/>
      <c r="FI557" s="3"/>
      <c r="FJ557" s="3"/>
      <c r="FK557" s="3"/>
      <c r="FL557" s="3"/>
      <c r="FM557" s="131"/>
      <c r="FN557" s="15"/>
      <c r="FO557" s="99"/>
      <c r="FP557" s="149"/>
      <c r="FQ557" s="134"/>
      <c r="FR557" s="134"/>
      <c r="FS557" s="137"/>
      <c r="FT557" s="150"/>
      <c r="FU557" s="137"/>
      <c r="FV557" s="137"/>
      <c r="FW557" s="3"/>
      <c r="FX557" s="138"/>
      <c r="FY557" s="2"/>
      <c r="FZ557" s="139"/>
      <c r="GA557" s="3"/>
      <c r="GB557" s="3"/>
      <c r="GC557" s="3"/>
      <c r="GD557" s="3"/>
      <c r="GE557" s="3"/>
      <c r="GF557" s="3"/>
      <c r="GG557" s="3"/>
      <c r="GH557" s="3"/>
      <c r="GI557" s="3"/>
      <c r="GJ557" s="3"/>
      <c r="GK557" s="131"/>
      <c r="GL557" s="15"/>
      <c r="GM557" s="99"/>
      <c r="GN557" s="149"/>
      <c r="GO557" s="134"/>
      <c r="GP557" s="134"/>
      <c r="GQ557" s="137"/>
      <c r="GR557" s="150"/>
      <c r="GS557" s="137"/>
      <c r="GT557" s="137"/>
      <c r="GU557" s="3"/>
      <c r="GV557" s="138"/>
      <c r="GW557" s="2"/>
      <c r="GX557" s="139"/>
      <c r="GY557" s="3"/>
      <c r="GZ557" s="3"/>
      <c r="HA557" s="3"/>
      <c r="HB557" s="3"/>
      <c r="HC557" s="3"/>
      <c r="HD557" s="3"/>
      <c r="HE557" s="3"/>
      <c r="HF557" s="3"/>
      <c r="HG557" s="3"/>
      <c r="HH557" s="3"/>
      <c r="HI557" s="131"/>
      <c r="HJ557" s="15"/>
      <c r="HK557" s="99"/>
      <c r="HL557" s="149"/>
      <c r="HM557" s="134"/>
      <c r="HN557" s="134"/>
      <c r="HO557" s="137"/>
      <c r="HP557" s="150"/>
      <c r="HQ557" s="137"/>
      <c r="HR557" s="137"/>
      <c r="HS557" s="3"/>
      <c r="HT557" s="138"/>
      <c r="HU557" s="2"/>
      <c r="HV557" s="139"/>
      <c r="HW557" s="3"/>
      <c r="HX557" s="3"/>
      <c r="HY557" s="3"/>
      <c r="HZ557" s="3"/>
      <c r="IA557" s="3"/>
      <c r="IB557" s="3"/>
      <c r="IC557" s="3"/>
      <c r="ID557" s="3"/>
      <c r="IE557" s="3"/>
      <c r="IF557" s="3"/>
      <c r="IG557" s="131"/>
      <c r="IH557" s="15"/>
      <c r="II557" s="99"/>
      <c r="IJ557" s="149"/>
      <c r="IK557" s="134"/>
      <c r="IL557" s="134"/>
      <c r="IM557" s="137"/>
      <c r="IN557" s="150"/>
      <c r="IO557" s="137"/>
      <c r="IP557" s="137"/>
      <c r="IQ557" s="3"/>
      <c r="IR557" s="138"/>
      <c r="IS557" s="2"/>
      <c r="IT557" s="139"/>
      <c r="IU557" s="3"/>
      <c r="IV557" s="3"/>
    </row>
    <row r="558" spans="1:256" s="125" customFormat="1" ht="13.5" customHeight="1">
      <c r="A558" s="84">
        <v>79</v>
      </c>
      <c r="B558" s="60">
        <v>43084</v>
      </c>
      <c r="C558" s="18"/>
      <c r="D558" s="19" t="s">
        <v>479</v>
      </c>
      <c r="E558" s="20" t="s">
        <v>480</v>
      </c>
      <c r="F558" s="120" t="s">
        <v>754</v>
      </c>
      <c r="G558" s="63">
        <v>1708</v>
      </c>
      <c r="H558" s="121">
        <v>2630000</v>
      </c>
      <c r="I558" s="24"/>
      <c r="J558" s="24">
        <f t="shared" si="52"/>
        <v>2504761.9047619049</v>
      </c>
      <c r="K558" s="199">
        <f t="shared" si="49"/>
        <v>2504761.9047619049</v>
      </c>
      <c r="L558" s="123">
        <v>1</v>
      </c>
      <c r="M558" s="24">
        <f t="shared" si="50"/>
        <v>2504761.9047619049</v>
      </c>
      <c r="N558" s="129">
        <f t="shared" si="51"/>
        <v>0</v>
      </c>
      <c r="O558" s="85" t="s">
        <v>665</v>
      </c>
      <c r="P558" s="3"/>
      <c r="Q558" s="140"/>
      <c r="R558" s="3"/>
      <c r="S558" s="3"/>
      <c r="T558" s="3"/>
      <c r="U558" s="3"/>
      <c r="V558" s="3"/>
      <c r="W558" s="3"/>
      <c r="X558" s="3"/>
      <c r="Y558" s="131"/>
      <c r="Z558" s="15"/>
      <c r="AA558" s="99"/>
      <c r="AB558" s="149"/>
      <c r="AC558" s="134"/>
      <c r="AD558" s="134"/>
      <c r="AE558" s="137"/>
      <c r="AF558" s="150"/>
      <c r="AG558" s="137"/>
      <c r="AH558" s="137"/>
      <c r="AI558" s="3"/>
      <c r="AJ558" s="138"/>
      <c r="AK558" s="2"/>
      <c r="AL558" s="139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131"/>
      <c r="AX558" s="15"/>
      <c r="AY558" s="99"/>
      <c r="AZ558" s="149"/>
      <c r="BA558" s="134"/>
      <c r="BB558" s="134"/>
      <c r="BC558" s="137"/>
      <c r="BD558" s="150"/>
      <c r="BE558" s="137"/>
      <c r="BF558" s="137"/>
      <c r="BG558" s="3"/>
      <c r="BH558" s="138"/>
      <c r="BI558" s="2"/>
      <c r="BJ558" s="139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131"/>
      <c r="BV558" s="15"/>
      <c r="BW558" s="99"/>
      <c r="BX558" s="149"/>
      <c r="BY558" s="134"/>
      <c r="BZ558" s="134"/>
      <c r="CA558" s="137"/>
      <c r="CB558" s="150"/>
      <c r="CC558" s="137"/>
      <c r="CD558" s="137"/>
      <c r="CE558" s="3"/>
      <c r="CF558" s="138"/>
      <c r="CG558" s="2"/>
      <c r="CH558" s="139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131"/>
      <c r="CT558" s="15"/>
      <c r="CU558" s="99"/>
      <c r="CV558" s="149"/>
      <c r="CW558" s="134"/>
      <c r="CX558" s="134"/>
      <c r="CY558" s="137"/>
      <c r="CZ558" s="150"/>
      <c r="DA558" s="137"/>
      <c r="DB558" s="137"/>
      <c r="DC558" s="3"/>
      <c r="DD558" s="138"/>
      <c r="DE558" s="2"/>
      <c r="DF558" s="139"/>
      <c r="DG558" s="3"/>
      <c r="DH558" s="3"/>
      <c r="DI558" s="3"/>
      <c r="DJ558" s="3"/>
      <c r="DK558" s="3"/>
      <c r="DL558" s="3"/>
      <c r="DM558" s="3"/>
      <c r="DN558" s="3"/>
      <c r="DO558" s="3"/>
      <c r="DP558" s="3"/>
      <c r="DQ558" s="131"/>
      <c r="DR558" s="15"/>
      <c r="DS558" s="99"/>
      <c r="DT558" s="149"/>
      <c r="DU558" s="134"/>
      <c r="DV558" s="134"/>
      <c r="DW558" s="137"/>
      <c r="DX558" s="150"/>
      <c r="DY558" s="137"/>
      <c r="DZ558" s="137"/>
      <c r="EA558" s="3"/>
      <c r="EB558" s="138"/>
      <c r="EC558" s="2"/>
      <c r="ED558" s="139"/>
      <c r="EE558" s="3"/>
      <c r="EF558" s="3"/>
      <c r="EG558" s="3"/>
      <c r="EH558" s="3"/>
      <c r="EI558" s="3"/>
      <c r="EJ558" s="3"/>
      <c r="EK558" s="3"/>
      <c r="EL558" s="3"/>
      <c r="EM558" s="3"/>
      <c r="EN558" s="3"/>
      <c r="EO558" s="131"/>
      <c r="EP558" s="15"/>
      <c r="EQ558" s="99"/>
      <c r="ER558" s="149"/>
      <c r="ES558" s="134"/>
      <c r="ET558" s="134"/>
      <c r="EU558" s="137"/>
      <c r="EV558" s="150"/>
      <c r="EW558" s="137"/>
      <c r="EX558" s="137"/>
      <c r="EY558" s="3"/>
      <c r="EZ558" s="138"/>
      <c r="FA558" s="2"/>
      <c r="FB558" s="139"/>
      <c r="FC558" s="3"/>
      <c r="FD558" s="3"/>
      <c r="FE558" s="3"/>
      <c r="FF558" s="3"/>
      <c r="FG558" s="3"/>
      <c r="FH558" s="3"/>
      <c r="FI558" s="3"/>
      <c r="FJ558" s="3"/>
      <c r="FK558" s="3"/>
      <c r="FL558" s="3"/>
      <c r="FM558" s="131"/>
      <c r="FN558" s="15"/>
      <c r="FO558" s="99"/>
      <c r="FP558" s="149"/>
      <c r="FQ558" s="134"/>
      <c r="FR558" s="134"/>
      <c r="FS558" s="137"/>
      <c r="FT558" s="150"/>
      <c r="FU558" s="137"/>
      <c r="FV558" s="137"/>
      <c r="FW558" s="3"/>
      <c r="FX558" s="138"/>
      <c r="FY558" s="2"/>
      <c r="FZ558" s="139"/>
      <c r="GA558" s="3"/>
      <c r="GB558" s="3"/>
      <c r="GC558" s="3"/>
      <c r="GD558" s="3"/>
      <c r="GE558" s="3"/>
      <c r="GF558" s="3"/>
      <c r="GG558" s="3"/>
      <c r="GH558" s="3"/>
      <c r="GI558" s="3"/>
      <c r="GJ558" s="3"/>
      <c r="GK558" s="131"/>
      <c r="GL558" s="15"/>
      <c r="GM558" s="99"/>
      <c r="GN558" s="149"/>
      <c r="GO558" s="134"/>
      <c r="GP558" s="134"/>
      <c r="GQ558" s="137"/>
      <c r="GR558" s="150"/>
      <c r="GS558" s="137"/>
      <c r="GT558" s="137"/>
      <c r="GU558" s="3"/>
      <c r="GV558" s="138"/>
      <c r="GW558" s="2"/>
      <c r="GX558" s="139"/>
      <c r="GY558" s="3"/>
      <c r="GZ558" s="3"/>
      <c r="HA558" s="3"/>
      <c r="HB558" s="3"/>
      <c r="HC558" s="3"/>
      <c r="HD558" s="3"/>
      <c r="HE558" s="3"/>
      <c r="HF558" s="3"/>
      <c r="HG558" s="3"/>
      <c r="HH558" s="3"/>
      <c r="HI558" s="131"/>
      <c r="HJ558" s="15"/>
      <c r="HK558" s="99"/>
      <c r="HL558" s="149"/>
      <c r="HM558" s="134"/>
      <c r="HN558" s="134"/>
      <c r="HO558" s="137"/>
      <c r="HP558" s="150"/>
      <c r="HQ558" s="137"/>
      <c r="HR558" s="137"/>
      <c r="HS558" s="3"/>
      <c r="HT558" s="138"/>
      <c r="HU558" s="2"/>
      <c r="HV558" s="139"/>
      <c r="HW558" s="3"/>
      <c r="HX558" s="3"/>
      <c r="HY558" s="3"/>
      <c r="HZ558" s="3"/>
      <c r="IA558" s="3"/>
      <c r="IB558" s="3"/>
      <c r="IC558" s="3"/>
      <c r="ID558" s="3"/>
      <c r="IE558" s="3"/>
      <c r="IF558" s="3"/>
      <c r="IG558" s="131"/>
      <c r="IH558" s="15"/>
      <c r="II558" s="99"/>
      <c r="IJ558" s="149"/>
      <c r="IK558" s="134"/>
      <c r="IL558" s="134"/>
      <c r="IM558" s="137"/>
      <c r="IN558" s="150"/>
      <c r="IO558" s="137"/>
      <c r="IP558" s="137"/>
      <c r="IQ558" s="3"/>
      <c r="IR558" s="138"/>
      <c r="IS558" s="2"/>
      <c r="IT558" s="139"/>
      <c r="IU558" s="3"/>
      <c r="IV558" s="3"/>
    </row>
    <row r="559" spans="1:256" s="125" customFormat="1" ht="13.5" customHeight="1">
      <c r="A559" s="84">
        <v>80</v>
      </c>
      <c r="B559" s="56">
        <v>42842</v>
      </c>
      <c r="C559" s="18"/>
      <c r="D559" s="19" t="s">
        <v>755</v>
      </c>
      <c r="E559" s="20" t="s">
        <v>756</v>
      </c>
      <c r="F559" s="57" t="s">
        <v>757</v>
      </c>
      <c r="G559" s="58">
        <v>1701</v>
      </c>
      <c r="H559" s="121"/>
      <c r="I559" s="24">
        <v>3188571</v>
      </c>
      <c r="J559" s="24"/>
      <c r="K559" s="199">
        <f t="shared" si="49"/>
        <v>3188571</v>
      </c>
      <c r="L559" s="123">
        <v>1</v>
      </c>
      <c r="M559" s="24">
        <f t="shared" si="50"/>
        <v>3188571</v>
      </c>
      <c r="N559" s="129">
        <f t="shared" si="51"/>
        <v>0</v>
      </c>
      <c r="O559" s="85" t="s">
        <v>665</v>
      </c>
      <c r="P559" s="3"/>
      <c r="Q559" s="140"/>
      <c r="R559" s="3"/>
      <c r="S559" s="3"/>
      <c r="T559" s="3"/>
      <c r="U559" s="3"/>
      <c r="V559" s="3"/>
      <c r="W559" s="3"/>
      <c r="X559" s="3"/>
      <c r="Y559" s="131"/>
      <c r="Z559" s="15"/>
      <c r="AA559" s="99"/>
      <c r="AB559" s="149"/>
      <c r="AC559" s="134"/>
      <c r="AD559" s="134"/>
      <c r="AE559" s="137"/>
      <c r="AF559" s="150"/>
      <c r="AG559" s="137"/>
      <c r="AH559" s="137"/>
      <c r="AI559" s="3"/>
      <c r="AJ559" s="138"/>
      <c r="AK559" s="2"/>
      <c r="AL559" s="139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131"/>
      <c r="AX559" s="15"/>
      <c r="AY559" s="99"/>
      <c r="AZ559" s="149"/>
      <c r="BA559" s="134"/>
      <c r="BB559" s="134"/>
      <c r="BC559" s="137"/>
      <c r="BD559" s="150"/>
      <c r="BE559" s="137"/>
      <c r="BF559" s="137"/>
      <c r="BG559" s="3"/>
      <c r="BH559" s="138"/>
      <c r="BI559" s="2"/>
      <c r="BJ559" s="139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131"/>
      <c r="BV559" s="15"/>
      <c r="BW559" s="99"/>
      <c r="BX559" s="149"/>
      <c r="BY559" s="134"/>
      <c r="BZ559" s="134"/>
      <c r="CA559" s="137"/>
      <c r="CB559" s="150"/>
      <c r="CC559" s="137"/>
      <c r="CD559" s="137"/>
      <c r="CE559" s="3"/>
      <c r="CF559" s="138"/>
      <c r="CG559" s="2"/>
      <c r="CH559" s="139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131"/>
      <c r="CT559" s="15"/>
      <c r="CU559" s="99"/>
      <c r="CV559" s="149"/>
      <c r="CW559" s="134"/>
      <c r="CX559" s="134"/>
      <c r="CY559" s="137"/>
      <c r="CZ559" s="150"/>
      <c r="DA559" s="137"/>
      <c r="DB559" s="137"/>
      <c r="DC559" s="3"/>
      <c r="DD559" s="138"/>
      <c r="DE559" s="2"/>
      <c r="DF559" s="139"/>
      <c r="DG559" s="3"/>
      <c r="DH559" s="3"/>
      <c r="DI559" s="3"/>
      <c r="DJ559" s="3"/>
      <c r="DK559" s="3"/>
      <c r="DL559" s="3"/>
      <c r="DM559" s="3"/>
      <c r="DN559" s="3"/>
      <c r="DO559" s="3"/>
      <c r="DP559" s="3"/>
      <c r="DQ559" s="131"/>
      <c r="DR559" s="15"/>
      <c r="DS559" s="99"/>
      <c r="DT559" s="149"/>
      <c r="DU559" s="134"/>
      <c r="DV559" s="134"/>
      <c r="DW559" s="137"/>
      <c r="DX559" s="150"/>
      <c r="DY559" s="137"/>
      <c r="DZ559" s="137"/>
      <c r="EA559" s="3"/>
      <c r="EB559" s="138"/>
      <c r="EC559" s="2"/>
      <c r="ED559" s="139"/>
      <c r="EE559" s="3"/>
      <c r="EF559" s="3"/>
      <c r="EG559" s="3"/>
      <c r="EH559" s="3"/>
      <c r="EI559" s="3"/>
      <c r="EJ559" s="3"/>
      <c r="EK559" s="3"/>
      <c r="EL559" s="3"/>
      <c r="EM559" s="3"/>
      <c r="EN559" s="3"/>
      <c r="EO559" s="131"/>
      <c r="EP559" s="15"/>
      <c r="EQ559" s="99"/>
      <c r="ER559" s="149"/>
      <c r="ES559" s="134"/>
      <c r="ET559" s="134"/>
      <c r="EU559" s="137"/>
      <c r="EV559" s="150"/>
      <c r="EW559" s="137"/>
      <c r="EX559" s="137"/>
      <c r="EY559" s="3"/>
      <c r="EZ559" s="138"/>
      <c r="FA559" s="2"/>
      <c r="FB559" s="139"/>
      <c r="FC559" s="3"/>
      <c r="FD559" s="3"/>
      <c r="FE559" s="3"/>
      <c r="FF559" s="3"/>
      <c r="FG559" s="3"/>
      <c r="FH559" s="3"/>
      <c r="FI559" s="3"/>
      <c r="FJ559" s="3"/>
      <c r="FK559" s="3"/>
      <c r="FL559" s="3"/>
      <c r="FM559" s="131"/>
      <c r="FN559" s="15"/>
      <c r="FO559" s="99"/>
      <c r="FP559" s="149"/>
      <c r="FQ559" s="134"/>
      <c r="FR559" s="134"/>
      <c r="FS559" s="137"/>
      <c r="FT559" s="150"/>
      <c r="FU559" s="137"/>
      <c r="FV559" s="137"/>
      <c r="FW559" s="3"/>
      <c r="FX559" s="138"/>
      <c r="FY559" s="2"/>
      <c r="FZ559" s="139"/>
      <c r="GA559" s="3"/>
      <c r="GB559" s="3"/>
      <c r="GC559" s="3"/>
      <c r="GD559" s="3"/>
      <c r="GE559" s="3"/>
      <c r="GF559" s="3"/>
      <c r="GG559" s="3"/>
      <c r="GH559" s="3"/>
      <c r="GI559" s="3"/>
      <c r="GJ559" s="3"/>
      <c r="GK559" s="131"/>
      <c r="GL559" s="15"/>
      <c r="GM559" s="99"/>
      <c r="GN559" s="149"/>
      <c r="GO559" s="134"/>
      <c r="GP559" s="134"/>
      <c r="GQ559" s="137"/>
      <c r="GR559" s="150"/>
      <c r="GS559" s="137"/>
      <c r="GT559" s="137"/>
      <c r="GU559" s="3"/>
      <c r="GV559" s="138"/>
      <c r="GW559" s="2"/>
      <c r="GX559" s="139"/>
      <c r="GY559" s="3"/>
      <c r="GZ559" s="3"/>
      <c r="HA559" s="3"/>
      <c r="HB559" s="3"/>
      <c r="HC559" s="3"/>
      <c r="HD559" s="3"/>
      <c r="HE559" s="3"/>
      <c r="HF559" s="3"/>
      <c r="HG559" s="3"/>
      <c r="HH559" s="3"/>
      <c r="HI559" s="131"/>
      <c r="HJ559" s="15"/>
      <c r="HK559" s="99"/>
      <c r="HL559" s="149"/>
      <c r="HM559" s="134"/>
      <c r="HN559" s="134"/>
      <c r="HO559" s="137"/>
      <c r="HP559" s="150"/>
      <c r="HQ559" s="137"/>
      <c r="HR559" s="137"/>
      <c r="HS559" s="3"/>
      <c r="HT559" s="138"/>
      <c r="HU559" s="2"/>
      <c r="HV559" s="139"/>
      <c r="HW559" s="3"/>
      <c r="HX559" s="3"/>
      <c r="HY559" s="3"/>
      <c r="HZ559" s="3"/>
      <c r="IA559" s="3"/>
      <c r="IB559" s="3"/>
      <c r="IC559" s="3"/>
      <c r="ID559" s="3"/>
      <c r="IE559" s="3"/>
      <c r="IF559" s="3"/>
      <c r="IG559" s="131"/>
      <c r="IH559" s="15"/>
      <c r="II559" s="99"/>
      <c r="IJ559" s="149"/>
      <c r="IK559" s="134"/>
      <c r="IL559" s="134"/>
      <c r="IM559" s="137"/>
      <c r="IN559" s="150"/>
      <c r="IO559" s="137"/>
      <c r="IP559" s="137"/>
      <c r="IQ559" s="3"/>
      <c r="IR559" s="138"/>
      <c r="IS559" s="2"/>
      <c r="IT559" s="139"/>
      <c r="IU559" s="3"/>
      <c r="IV559" s="3"/>
    </row>
    <row r="560" spans="1:256" s="125" customFormat="1" ht="13.5" customHeight="1">
      <c r="A560" s="84">
        <v>81</v>
      </c>
      <c r="B560" s="60">
        <v>42975</v>
      </c>
      <c r="C560" s="18"/>
      <c r="D560" s="19" t="s">
        <v>755</v>
      </c>
      <c r="E560" s="20" t="s">
        <v>662</v>
      </c>
      <c r="F560" s="62" t="s">
        <v>758</v>
      </c>
      <c r="G560" s="63">
        <v>1706</v>
      </c>
      <c r="H560" s="121"/>
      <c r="I560" s="24">
        <v>3132000</v>
      </c>
      <c r="J560" s="24"/>
      <c r="K560" s="24">
        <f t="shared" si="49"/>
        <v>3132000</v>
      </c>
      <c r="L560" s="123">
        <v>1</v>
      </c>
      <c r="M560" s="24">
        <f t="shared" si="50"/>
        <v>3132000</v>
      </c>
      <c r="N560" s="124">
        <f t="shared" si="51"/>
        <v>0</v>
      </c>
      <c r="O560" s="85" t="s">
        <v>665</v>
      </c>
      <c r="P560" s="3"/>
      <c r="Q560" s="140"/>
      <c r="R560" s="3"/>
      <c r="S560" s="3"/>
      <c r="T560" s="3"/>
      <c r="U560" s="3"/>
      <c r="V560" s="3"/>
      <c r="W560" s="3"/>
      <c r="X560" s="3"/>
      <c r="Y560" s="131"/>
      <c r="Z560" s="15"/>
      <c r="AA560" s="99"/>
      <c r="AB560" s="149"/>
      <c r="AC560" s="134"/>
      <c r="AD560" s="134"/>
      <c r="AE560" s="137"/>
      <c r="AF560" s="150"/>
      <c r="AG560" s="137"/>
      <c r="AH560" s="137"/>
      <c r="AI560" s="3"/>
      <c r="AJ560" s="138"/>
      <c r="AK560" s="2"/>
      <c r="AL560" s="139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131"/>
      <c r="AX560" s="15"/>
      <c r="AY560" s="99"/>
      <c r="AZ560" s="149"/>
      <c r="BA560" s="134"/>
      <c r="BB560" s="134"/>
      <c r="BC560" s="137"/>
      <c r="BD560" s="150"/>
      <c r="BE560" s="137"/>
      <c r="BF560" s="137"/>
      <c r="BG560" s="3"/>
      <c r="BH560" s="138"/>
      <c r="BI560" s="2"/>
      <c r="BJ560" s="139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131"/>
      <c r="BV560" s="15"/>
      <c r="BW560" s="99"/>
      <c r="BX560" s="149"/>
      <c r="BY560" s="134"/>
      <c r="BZ560" s="134"/>
      <c r="CA560" s="137"/>
      <c r="CB560" s="150"/>
      <c r="CC560" s="137"/>
      <c r="CD560" s="137"/>
      <c r="CE560" s="3"/>
      <c r="CF560" s="138"/>
      <c r="CG560" s="2"/>
      <c r="CH560" s="139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131"/>
      <c r="CT560" s="15"/>
      <c r="CU560" s="99"/>
      <c r="CV560" s="149"/>
      <c r="CW560" s="134"/>
      <c r="CX560" s="134"/>
      <c r="CY560" s="137"/>
      <c r="CZ560" s="150"/>
      <c r="DA560" s="137"/>
      <c r="DB560" s="137"/>
      <c r="DC560" s="3"/>
      <c r="DD560" s="138"/>
      <c r="DE560" s="2"/>
      <c r="DF560" s="139"/>
      <c r="DG560" s="3"/>
      <c r="DH560" s="3"/>
      <c r="DI560" s="3"/>
      <c r="DJ560" s="3"/>
      <c r="DK560" s="3"/>
      <c r="DL560" s="3"/>
      <c r="DM560" s="3"/>
      <c r="DN560" s="3"/>
      <c r="DO560" s="3"/>
      <c r="DP560" s="3"/>
      <c r="DQ560" s="131"/>
      <c r="DR560" s="15"/>
      <c r="DS560" s="99"/>
      <c r="DT560" s="149"/>
      <c r="DU560" s="134"/>
      <c r="DV560" s="134"/>
      <c r="DW560" s="137"/>
      <c r="DX560" s="150"/>
      <c r="DY560" s="137"/>
      <c r="DZ560" s="137"/>
      <c r="EA560" s="3"/>
      <c r="EB560" s="138"/>
      <c r="EC560" s="2"/>
      <c r="ED560" s="139"/>
      <c r="EE560" s="3"/>
      <c r="EF560" s="3"/>
      <c r="EG560" s="3"/>
      <c r="EH560" s="3"/>
      <c r="EI560" s="3"/>
      <c r="EJ560" s="3"/>
      <c r="EK560" s="3"/>
      <c r="EL560" s="3"/>
      <c r="EM560" s="3"/>
      <c r="EN560" s="3"/>
      <c r="EO560" s="131"/>
      <c r="EP560" s="15"/>
      <c r="EQ560" s="99"/>
      <c r="ER560" s="149"/>
      <c r="ES560" s="134"/>
      <c r="ET560" s="134"/>
      <c r="EU560" s="137"/>
      <c r="EV560" s="150"/>
      <c r="EW560" s="137"/>
      <c r="EX560" s="137"/>
      <c r="EY560" s="3"/>
      <c r="EZ560" s="138"/>
      <c r="FA560" s="2"/>
      <c r="FB560" s="139"/>
      <c r="FC560" s="3"/>
      <c r="FD560" s="3"/>
      <c r="FE560" s="3"/>
      <c r="FF560" s="3"/>
      <c r="FG560" s="3"/>
      <c r="FH560" s="3"/>
      <c r="FI560" s="3"/>
      <c r="FJ560" s="3"/>
      <c r="FK560" s="3"/>
      <c r="FL560" s="3"/>
      <c r="FM560" s="131"/>
      <c r="FN560" s="15"/>
      <c r="FO560" s="99"/>
      <c r="FP560" s="149"/>
      <c r="FQ560" s="134"/>
      <c r="FR560" s="134"/>
      <c r="FS560" s="137"/>
      <c r="FT560" s="150"/>
      <c r="FU560" s="137"/>
      <c r="FV560" s="137"/>
      <c r="FW560" s="3"/>
      <c r="FX560" s="138"/>
      <c r="FY560" s="2"/>
      <c r="FZ560" s="139"/>
      <c r="GA560" s="3"/>
      <c r="GB560" s="3"/>
      <c r="GC560" s="3"/>
      <c r="GD560" s="3"/>
      <c r="GE560" s="3"/>
      <c r="GF560" s="3"/>
      <c r="GG560" s="3"/>
      <c r="GH560" s="3"/>
      <c r="GI560" s="3"/>
      <c r="GJ560" s="3"/>
      <c r="GK560" s="131"/>
      <c r="GL560" s="15"/>
      <c r="GM560" s="99"/>
      <c r="GN560" s="149"/>
      <c r="GO560" s="134"/>
      <c r="GP560" s="134"/>
      <c r="GQ560" s="137"/>
      <c r="GR560" s="150"/>
      <c r="GS560" s="137"/>
      <c r="GT560" s="137"/>
      <c r="GU560" s="3"/>
      <c r="GV560" s="138"/>
      <c r="GW560" s="2"/>
      <c r="GX560" s="139"/>
      <c r="GY560" s="3"/>
      <c r="GZ560" s="3"/>
      <c r="HA560" s="3"/>
      <c r="HB560" s="3"/>
      <c r="HC560" s="3"/>
      <c r="HD560" s="3"/>
      <c r="HE560" s="3"/>
      <c r="HF560" s="3"/>
      <c r="HG560" s="3"/>
      <c r="HH560" s="3"/>
      <c r="HI560" s="131"/>
      <c r="HJ560" s="15"/>
      <c r="HK560" s="99"/>
      <c r="HL560" s="149"/>
      <c r="HM560" s="134"/>
      <c r="HN560" s="134"/>
      <c r="HO560" s="137"/>
      <c r="HP560" s="150"/>
      <c r="HQ560" s="137"/>
      <c r="HR560" s="137"/>
      <c r="HS560" s="3"/>
      <c r="HT560" s="138"/>
      <c r="HU560" s="2"/>
      <c r="HV560" s="139"/>
      <c r="HW560" s="3"/>
      <c r="HX560" s="3"/>
      <c r="HY560" s="3"/>
      <c r="HZ560" s="3"/>
      <c r="IA560" s="3"/>
      <c r="IB560" s="3"/>
      <c r="IC560" s="3"/>
      <c r="ID560" s="3"/>
      <c r="IE560" s="3"/>
      <c r="IF560" s="3"/>
      <c r="IG560" s="131"/>
      <c r="IH560" s="15"/>
      <c r="II560" s="99"/>
      <c r="IJ560" s="149"/>
      <c r="IK560" s="134"/>
      <c r="IL560" s="134"/>
      <c r="IM560" s="137"/>
      <c r="IN560" s="150"/>
      <c r="IO560" s="137"/>
      <c r="IP560" s="137"/>
      <c r="IQ560" s="3"/>
      <c r="IR560" s="138"/>
      <c r="IS560" s="2"/>
      <c r="IT560" s="139"/>
      <c r="IU560" s="3"/>
      <c r="IV560" s="3"/>
    </row>
    <row r="561" spans="1:256" s="125" customFormat="1" ht="13.5" customHeight="1">
      <c r="A561" s="84">
        <v>82</v>
      </c>
      <c r="B561" s="56">
        <v>43081</v>
      </c>
      <c r="C561" s="18" t="s">
        <v>624</v>
      </c>
      <c r="D561" s="19" t="s">
        <v>494</v>
      </c>
      <c r="E561" s="20" t="s">
        <v>662</v>
      </c>
      <c r="F561" s="82" t="s">
        <v>759</v>
      </c>
      <c r="G561" s="63">
        <v>1706</v>
      </c>
      <c r="H561" s="121">
        <f>3280000+17150</f>
        <v>3297150</v>
      </c>
      <c r="I561" s="24"/>
      <c r="J561" s="24">
        <f t="shared" ref="J561:J591" si="53">SUM(H561)/1.05</f>
        <v>3140142.8571428568</v>
      </c>
      <c r="K561" s="24">
        <f t="shared" si="49"/>
        <v>3140142.8571428568</v>
      </c>
      <c r="L561" s="123">
        <v>1</v>
      </c>
      <c r="M561" s="24">
        <f t="shared" si="50"/>
        <v>3140142.8571428568</v>
      </c>
      <c r="N561" s="124">
        <f t="shared" si="51"/>
        <v>0</v>
      </c>
      <c r="O561" s="85" t="s">
        <v>665</v>
      </c>
      <c r="P561" s="3"/>
      <c r="Q561" s="140"/>
      <c r="R561" s="3"/>
      <c r="S561" s="3"/>
      <c r="T561" s="3"/>
      <c r="U561" s="3"/>
      <c r="V561" s="3"/>
      <c r="W561" s="3"/>
      <c r="X561" s="3"/>
      <c r="Y561" s="131"/>
      <c r="Z561" s="15"/>
      <c r="AA561" s="99"/>
      <c r="AB561" s="149"/>
      <c r="AC561" s="134"/>
      <c r="AD561" s="134"/>
      <c r="AE561" s="137"/>
      <c r="AF561" s="150"/>
      <c r="AG561" s="137"/>
      <c r="AH561" s="137"/>
      <c r="AI561" s="3"/>
      <c r="AJ561" s="138"/>
      <c r="AK561" s="2"/>
      <c r="AL561" s="139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131"/>
      <c r="AX561" s="15"/>
      <c r="AY561" s="99"/>
      <c r="AZ561" s="149"/>
      <c r="BA561" s="134"/>
      <c r="BB561" s="134"/>
      <c r="BC561" s="137"/>
      <c r="BD561" s="150"/>
      <c r="BE561" s="137"/>
      <c r="BF561" s="137"/>
      <c r="BG561" s="3"/>
      <c r="BH561" s="138"/>
      <c r="BI561" s="2"/>
      <c r="BJ561" s="139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131"/>
      <c r="BV561" s="15"/>
      <c r="BW561" s="99"/>
      <c r="BX561" s="149"/>
      <c r="BY561" s="134"/>
      <c r="BZ561" s="134"/>
      <c r="CA561" s="137"/>
      <c r="CB561" s="150"/>
      <c r="CC561" s="137"/>
      <c r="CD561" s="137"/>
      <c r="CE561" s="3"/>
      <c r="CF561" s="138"/>
      <c r="CG561" s="2"/>
      <c r="CH561" s="139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131"/>
      <c r="CT561" s="15"/>
      <c r="CU561" s="99"/>
      <c r="CV561" s="149"/>
      <c r="CW561" s="134"/>
      <c r="CX561" s="134"/>
      <c r="CY561" s="137"/>
      <c r="CZ561" s="150"/>
      <c r="DA561" s="137"/>
      <c r="DB561" s="137"/>
      <c r="DC561" s="3"/>
      <c r="DD561" s="138"/>
      <c r="DE561" s="2"/>
      <c r="DF561" s="139"/>
      <c r="DG561" s="3"/>
      <c r="DH561" s="3"/>
      <c r="DI561" s="3"/>
      <c r="DJ561" s="3"/>
      <c r="DK561" s="3"/>
      <c r="DL561" s="3"/>
      <c r="DM561" s="3"/>
      <c r="DN561" s="3"/>
      <c r="DO561" s="3"/>
      <c r="DP561" s="3"/>
      <c r="DQ561" s="131"/>
      <c r="DR561" s="15"/>
      <c r="DS561" s="99"/>
      <c r="DT561" s="149"/>
      <c r="DU561" s="134"/>
      <c r="DV561" s="134"/>
      <c r="DW561" s="137"/>
      <c r="DX561" s="150"/>
      <c r="DY561" s="137"/>
      <c r="DZ561" s="137"/>
      <c r="EA561" s="3"/>
      <c r="EB561" s="138"/>
      <c r="EC561" s="2"/>
      <c r="ED561" s="139"/>
      <c r="EE561" s="3"/>
      <c r="EF561" s="3"/>
      <c r="EG561" s="3"/>
      <c r="EH561" s="3"/>
      <c r="EI561" s="3"/>
      <c r="EJ561" s="3"/>
      <c r="EK561" s="3"/>
      <c r="EL561" s="3"/>
      <c r="EM561" s="3"/>
      <c r="EN561" s="3"/>
      <c r="EO561" s="131"/>
      <c r="EP561" s="15"/>
      <c r="EQ561" s="99"/>
      <c r="ER561" s="149"/>
      <c r="ES561" s="134"/>
      <c r="ET561" s="134"/>
      <c r="EU561" s="137"/>
      <c r="EV561" s="150"/>
      <c r="EW561" s="137"/>
      <c r="EX561" s="137"/>
      <c r="EY561" s="3"/>
      <c r="EZ561" s="138"/>
      <c r="FA561" s="2"/>
      <c r="FB561" s="139"/>
      <c r="FC561" s="3"/>
      <c r="FD561" s="3"/>
      <c r="FE561" s="3"/>
      <c r="FF561" s="3"/>
      <c r="FG561" s="3"/>
      <c r="FH561" s="3"/>
      <c r="FI561" s="3"/>
      <c r="FJ561" s="3"/>
      <c r="FK561" s="3"/>
      <c r="FL561" s="3"/>
      <c r="FM561" s="131"/>
      <c r="FN561" s="15"/>
      <c r="FO561" s="99"/>
      <c r="FP561" s="149"/>
      <c r="FQ561" s="134"/>
      <c r="FR561" s="134"/>
      <c r="FS561" s="137"/>
      <c r="FT561" s="150"/>
      <c r="FU561" s="137"/>
      <c r="FV561" s="137"/>
      <c r="FW561" s="3"/>
      <c r="FX561" s="138"/>
      <c r="FY561" s="2"/>
      <c r="FZ561" s="139"/>
      <c r="GA561" s="3"/>
      <c r="GB561" s="3"/>
      <c r="GC561" s="3"/>
      <c r="GD561" s="3"/>
      <c r="GE561" s="3"/>
      <c r="GF561" s="3"/>
      <c r="GG561" s="3"/>
      <c r="GH561" s="3"/>
      <c r="GI561" s="3"/>
      <c r="GJ561" s="3"/>
      <c r="GK561" s="131"/>
      <c r="GL561" s="15"/>
      <c r="GM561" s="99"/>
      <c r="GN561" s="149"/>
      <c r="GO561" s="134"/>
      <c r="GP561" s="134"/>
      <c r="GQ561" s="137"/>
      <c r="GR561" s="150"/>
      <c r="GS561" s="137"/>
      <c r="GT561" s="137"/>
      <c r="GU561" s="3"/>
      <c r="GV561" s="138"/>
      <c r="GW561" s="2"/>
      <c r="GX561" s="139"/>
      <c r="GY561" s="3"/>
      <c r="GZ561" s="3"/>
      <c r="HA561" s="3"/>
      <c r="HB561" s="3"/>
      <c r="HC561" s="3"/>
      <c r="HD561" s="3"/>
      <c r="HE561" s="3"/>
      <c r="HF561" s="3"/>
      <c r="HG561" s="3"/>
      <c r="HH561" s="3"/>
      <c r="HI561" s="131"/>
      <c r="HJ561" s="15"/>
      <c r="HK561" s="99"/>
      <c r="HL561" s="149"/>
      <c r="HM561" s="134"/>
      <c r="HN561" s="134"/>
      <c r="HO561" s="137"/>
      <c r="HP561" s="150"/>
      <c r="HQ561" s="137"/>
      <c r="HR561" s="137"/>
      <c r="HS561" s="3"/>
      <c r="HT561" s="138"/>
      <c r="HU561" s="2"/>
      <c r="HV561" s="139"/>
      <c r="HW561" s="3"/>
      <c r="HX561" s="3"/>
      <c r="HY561" s="3"/>
      <c r="HZ561" s="3"/>
      <c r="IA561" s="3"/>
      <c r="IB561" s="3"/>
      <c r="IC561" s="3"/>
      <c r="ID561" s="3"/>
      <c r="IE561" s="3"/>
      <c r="IF561" s="3"/>
      <c r="IG561" s="131"/>
      <c r="IH561" s="15"/>
      <c r="II561" s="99"/>
      <c r="IJ561" s="149"/>
      <c r="IK561" s="134"/>
      <c r="IL561" s="134"/>
      <c r="IM561" s="137"/>
      <c r="IN561" s="150"/>
      <c r="IO561" s="137"/>
      <c r="IP561" s="137"/>
      <c r="IQ561" s="3"/>
      <c r="IR561" s="138"/>
      <c r="IS561" s="2"/>
      <c r="IT561" s="139"/>
      <c r="IU561" s="3"/>
      <c r="IV561" s="3"/>
    </row>
    <row r="562" spans="1:256" s="125" customFormat="1" ht="13.5" customHeight="1">
      <c r="A562" s="84">
        <v>83</v>
      </c>
      <c r="B562" s="60">
        <v>43090</v>
      </c>
      <c r="C562" s="18" t="s">
        <v>596</v>
      </c>
      <c r="D562" s="19" t="s">
        <v>494</v>
      </c>
      <c r="E562" s="20" t="s">
        <v>662</v>
      </c>
      <c r="F562" s="168" t="s">
        <v>760</v>
      </c>
      <c r="G562" s="63">
        <v>1706</v>
      </c>
      <c r="H562" s="121">
        <f>3280000+17150</f>
        <v>3297150</v>
      </c>
      <c r="I562" s="24"/>
      <c r="J562" s="24">
        <f t="shared" si="53"/>
        <v>3140142.8571428568</v>
      </c>
      <c r="K562" s="24">
        <f t="shared" si="49"/>
        <v>3140142.8571428568</v>
      </c>
      <c r="L562" s="123">
        <v>1</v>
      </c>
      <c r="M562" s="24">
        <f t="shared" si="50"/>
        <v>3140142.8571428568</v>
      </c>
      <c r="N562" s="124">
        <f t="shared" si="51"/>
        <v>0</v>
      </c>
      <c r="O562" s="85" t="s">
        <v>665</v>
      </c>
      <c r="P562" s="3"/>
      <c r="Q562" s="140"/>
      <c r="R562" s="3"/>
      <c r="S562" s="3"/>
      <c r="T562" s="3"/>
      <c r="U562" s="3"/>
      <c r="V562" s="3"/>
      <c r="W562" s="3"/>
      <c r="X562" s="3"/>
      <c r="Y562" s="131"/>
      <c r="Z562" s="15"/>
      <c r="AA562" s="99"/>
      <c r="AB562" s="149"/>
      <c r="AC562" s="134"/>
      <c r="AD562" s="134"/>
      <c r="AE562" s="137"/>
      <c r="AF562" s="150"/>
      <c r="AG562" s="137"/>
      <c r="AH562" s="137"/>
      <c r="AI562" s="3"/>
      <c r="AJ562" s="138"/>
      <c r="AK562" s="2"/>
      <c r="AL562" s="139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131"/>
      <c r="AX562" s="15"/>
      <c r="AY562" s="99"/>
      <c r="AZ562" s="149"/>
      <c r="BA562" s="134"/>
      <c r="BB562" s="134"/>
      <c r="BC562" s="137"/>
      <c r="BD562" s="150"/>
      <c r="BE562" s="137"/>
      <c r="BF562" s="137"/>
      <c r="BG562" s="3"/>
      <c r="BH562" s="138"/>
      <c r="BI562" s="2"/>
      <c r="BJ562" s="139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131"/>
      <c r="BV562" s="15"/>
      <c r="BW562" s="99"/>
      <c r="BX562" s="149"/>
      <c r="BY562" s="134"/>
      <c r="BZ562" s="134"/>
      <c r="CA562" s="137"/>
      <c r="CB562" s="150"/>
      <c r="CC562" s="137"/>
      <c r="CD562" s="137"/>
      <c r="CE562" s="3"/>
      <c r="CF562" s="138"/>
      <c r="CG562" s="2"/>
      <c r="CH562" s="139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131"/>
      <c r="CT562" s="15"/>
      <c r="CU562" s="99"/>
      <c r="CV562" s="149"/>
      <c r="CW562" s="134"/>
      <c r="CX562" s="134"/>
      <c r="CY562" s="137"/>
      <c r="CZ562" s="150"/>
      <c r="DA562" s="137"/>
      <c r="DB562" s="137"/>
      <c r="DC562" s="3"/>
      <c r="DD562" s="138"/>
      <c r="DE562" s="2"/>
      <c r="DF562" s="139"/>
      <c r="DG562" s="3"/>
      <c r="DH562" s="3"/>
      <c r="DI562" s="3"/>
      <c r="DJ562" s="3"/>
      <c r="DK562" s="3"/>
      <c r="DL562" s="3"/>
      <c r="DM562" s="3"/>
      <c r="DN562" s="3"/>
      <c r="DO562" s="3"/>
      <c r="DP562" s="3"/>
      <c r="DQ562" s="131"/>
      <c r="DR562" s="15"/>
      <c r="DS562" s="99"/>
      <c r="DT562" s="149"/>
      <c r="DU562" s="134"/>
      <c r="DV562" s="134"/>
      <c r="DW562" s="137"/>
      <c r="DX562" s="150"/>
      <c r="DY562" s="137"/>
      <c r="DZ562" s="137"/>
      <c r="EA562" s="3"/>
      <c r="EB562" s="138"/>
      <c r="EC562" s="2"/>
      <c r="ED562" s="139"/>
      <c r="EE562" s="3"/>
      <c r="EF562" s="3"/>
      <c r="EG562" s="3"/>
      <c r="EH562" s="3"/>
      <c r="EI562" s="3"/>
      <c r="EJ562" s="3"/>
      <c r="EK562" s="3"/>
      <c r="EL562" s="3"/>
      <c r="EM562" s="3"/>
      <c r="EN562" s="3"/>
      <c r="EO562" s="131"/>
      <c r="EP562" s="15"/>
      <c r="EQ562" s="99"/>
      <c r="ER562" s="149"/>
      <c r="ES562" s="134"/>
      <c r="ET562" s="134"/>
      <c r="EU562" s="137"/>
      <c r="EV562" s="150"/>
      <c r="EW562" s="137"/>
      <c r="EX562" s="137"/>
      <c r="EY562" s="3"/>
      <c r="EZ562" s="138"/>
      <c r="FA562" s="2"/>
      <c r="FB562" s="139"/>
      <c r="FC562" s="3"/>
      <c r="FD562" s="3"/>
      <c r="FE562" s="3"/>
      <c r="FF562" s="3"/>
      <c r="FG562" s="3"/>
      <c r="FH562" s="3"/>
      <c r="FI562" s="3"/>
      <c r="FJ562" s="3"/>
      <c r="FK562" s="3"/>
      <c r="FL562" s="3"/>
      <c r="FM562" s="131"/>
      <c r="FN562" s="15"/>
      <c r="FO562" s="99"/>
      <c r="FP562" s="149"/>
      <c r="FQ562" s="134"/>
      <c r="FR562" s="134"/>
      <c r="FS562" s="137"/>
      <c r="FT562" s="150"/>
      <c r="FU562" s="137"/>
      <c r="FV562" s="137"/>
      <c r="FW562" s="3"/>
      <c r="FX562" s="138"/>
      <c r="FY562" s="2"/>
      <c r="FZ562" s="139"/>
      <c r="GA562" s="3"/>
      <c r="GB562" s="3"/>
      <c r="GC562" s="3"/>
      <c r="GD562" s="3"/>
      <c r="GE562" s="3"/>
      <c r="GF562" s="3"/>
      <c r="GG562" s="3"/>
      <c r="GH562" s="3"/>
      <c r="GI562" s="3"/>
      <c r="GJ562" s="3"/>
      <c r="GK562" s="131"/>
      <c r="GL562" s="15"/>
      <c r="GM562" s="99"/>
      <c r="GN562" s="149"/>
      <c r="GO562" s="134"/>
      <c r="GP562" s="134"/>
      <c r="GQ562" s="137"/>
      <c r="GR562" s="150"/>
      <c r="GS562" s="137"/>
      <c r="GT562" s="137"/>
      <c r="GU562" s="3"/>
      <c r="GV562" s="138"/>
      <c r="GW562" s="2"/>
      <c r="GX562" s="139"/>
      <c r="GY562" s="3"/>
      <c r="GZ562" s="3"/>
      <c r="HA562" s="3"/>
      <c r="HB562" s="3"/>
      <c r="HC562" s="3"/>
      <c r="HD562" s="3"/>
      <c r="HE562" s="3"/>
      <c r="HF562" s="3"/>
      <c r="HG562" s="3"/>
      <c r="HH562" s="3"/>
      <c r="HI562" s="131"/>
      <c r="HJ562" s="15"/>
      <c r="HK562" s="99"/>
      <c r="HL562" s="149"/>
      <c r="HM562" s="134"/>
      <c r="HN562" s="134"/>
      <c r="HO562" s="137"/>
      <c r="HP562" s="150"/>
      <c r="HQ562" s="137"/>
      <c r="HR562" s="137"/>
      <c r="HS562" s="3"/>
      <c r="HT562" s="138"/>
      <c r="HU562" s="2"/>
      <c r="HV562" s="139"/>
      <c r="HW562" s="3"/>
      <c r="HX562" s="3"/>
      <c r="HY562" s="3"/>
      <c r="HZ562" s="3"/>
      <c r="IA562" s="3"/>
      <c r="IB562" s="3"/>
      <c r="IC562" s="3"/>
      <c r="ID562" s="3"/>
      <c r="IE562" s="3"/>
      <c r="IF562" s="3"/>
      <c r="IG562" s="131"/>
      <c r="IH562" s="15"/>
      <c r="II562" s="99"/>
      <c r="IJ562" s="149"/>
      <c r="IK562" s="134"/>
      <c r="IL562" s="134"/>
      <c r="IM562" s="137"/>
      <c r="IN562" s="150"/>
      <c r="IO562" s="137"/>
      <c r="IP562" s="137"/>
      <c r="IQ562" s="3"/>
      <c r="IR562" s="138"/>
      <c r="IS562" s="2"/>
      <c r="IT562" s="139"/>
      <c r="IU562" s="3"/>
      <c r="IV562" s="3"/>
    </row>
    <row r="563" spans="1:256" s="125" customFormat="1" ht="13.5" customHeight="1">
      <c r="A563" s="84">
        <v>84</v>
      </c>
      <c r="B563" s="56">
        <v>43077</v>
      </c>
      <c r="C563" s="18"/>
      <c r="D563" s="19" t="s">
        <v>494</v>
      </c>
      <c r="E563" s="20" t="s">
        <v>495</v>
      </c>
      <c r="F563" s="62" t="s">
        <v>761</v>
      </c>
      <c r="G563" s="63">
        <v>1707</v>
      </c>
      <c r="H563" s="121">
        <v>3280000</v>
      </c>
      <c r="I563" s="24"/>
      <c r="J563" s="24">
        <f t="shared" si="53"/>
        <v>3123809.5238095238</v>
      </c>
      <c r="K563" s="24">
        <f t="shared" si="49"/>
        <v>3123809.5238095238</v>
      </c>
      <c r="L563" s="123">
        <v>1</v>
      </c>
      <c r="M563" s="24">
        <f t="shared" si="50"/>
        <v>3123809.5238095238</v>
      </c>
      <c r="N563" s="124">
        <f t="shared" si="51"/>
        <v>0</v>
      </c>
      <c r="O563" s="85" t="s">
        <v>665</v>
      </c>
      <c r="P563" s="3"/>
      <c r="Q563" s="140"/>
      <c r="R563" s="3"/>
      <c r="S563" s="3"/>
      <c r="T563" s="3"/>
      <c r="U563" s="3"/>
      <c r="V563" s="3"/>
      <c r="W563" s="3"/>
      <c r="X563" s="3"/>
      <c r="Y563" s="131"/>
      <c r="Z563" s="15"/>
      <c r="AA563" s="99"/>
      <c r="AB563" s="149"/>
      <c r="AC563" s="134"/>
      <c r="AD563" s="134"/>
      <c r="AE563" s="137"/>
      <c r="AF563" s="150"/>
      <c r="AG563" s="137"/>
      <c r="AH563" s="137"/>
      <c r="AI563" s="3"/>
      <c r="AJ563" s="138"/>
      <c r="AK563" s="2"/>
      <c r="AL563" s="139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131"/>
      <c r="AX563" s="15"/>
      <c r="AY563" s="99"/>
      <c r="AZ563" s="149"/>
      <c r="BA563" s="134"/>
      <c r="BB563" s="134"/>
      <c r="BC563" s="137"/>
      <c r="BD563" s="150"/>
      <c r="BE563" s="137"/>
      <c r="BF563" s="137"/>
      <c r="BG563" s="3"/>
      <c r="BH563" s="138"/>
      <c r="BI563" s="2"/>
      <c r="BJ563" s="139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131"/>
      <c r="BV563" s="15"/>
      <c r="BW563" s="99"/>
      <c r="BX563" s="149"/>
      <c r="BY563" s="134"/>
      <c r="BZ563" s="134"/>
      <c r="CA563" s="137"/>
      <c r="CB563" s="150"/>
      <c r="CC563" s="137"/>
      <c r="CD563" s="137"/>
      <c r="CE563" s="3"/>
      <c r="CF563" s="138"/>
      <c r="CG563" s="2"/>
      <c r="CH563" s="139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131"/>
      <c r="CT563" s="15"/>
      <c r="CU563" s="99"/>
      <c r="CV563" s="149"/>
      <c r="CW563" s="134"/>
      <c r="CX563" s="134"/>
      <c r="CY563" s="137"/>
      <c r="CZ563" s="150"/>
      <c r="DA563" s="137"/>
      <c r="DB563" s="137"/>
      <c r="DC563" s="3"/>
      <c r="DD563" s="138"/>
      <c r="DE563" s="2"/>
      <c r="DF563" s="139"/>
      <c r="DG563" s="3"/>
      <c r="DH563" s="3"/>
      <c r="DI563" s="3"/>
      <c r="DJ563" s="3"/>
      <c r="DK563" s="3"/>
      <c r="DL563" s="3"/>
      <c r="DM563" s="3"/>
      <c r="DN563" s="3"/>
      <c r="DO563" s="3"/>
      <c r="DP563" s="3"/>
      <c r="DQ563" s="131"/>
      <c r="DR563" s="15"/>
      <c r="DS563" s="99"/>
      <c r="DT563" s="149"/>
      <c r="DU563" s="134"/>
      <c r="DV563" s="134"/>
      <c r="DW563" s="137"/>
      <c r="DX563" s="150"/>
      <c r="DY563" s="137"/>
      <c r="DZ563" s="137"/>
      <c r="EA563" s="3"/>
      <c r="EB563" s="138"/>
      <c r="EC563" s="2"/>
      <c r="ED563" s="139"/>
      <c r="EE563" s="3"/>
      <c r="EF563" s="3"/>
      <c r="EG563" s="3"/>
      <c r="EH563" s="3"/>
      <c r="EI563" s="3"/>
      <c r="EJ563" s="3"/>
      <c r="EK563" s="3"/>
      <c r="EL563" s="3"/>
      <c r="EM563" s="3"/>
      <c r="EN563" s="3"/>
      <c r="EO563" s="131"/>
      <c r="EP563" s="15"/>
      <c r="EQ563" s="99"/>
      <c r="ER563" s="149"/>
      <c r="ES563" s="134"/>
      <c r="ET563" s="134"/>
      <c r="EU563" s="137"/>
      <c r="EV563" s="150"/>
      <c r="EW563" s="137"/>
      <c r="EX563" s="137"/>
      <c r="EY563" s="3"/>
      <c r="EZ563" s="138"/>
      <c r="FA563" s="2"/>
      <c r="FB563" s="139"/>
      <c r="FC563" s="3"/>
      <c r="FD563" s="3"/>
      <c r="FE563" s="3"/>
      <c r="FF563" s="3"/>
      <c r="FG563" s="3"/>
      <c r="FH563" s="3"/>
      <c r="FI563" s="3"/>
      <c r="FJ563" s="3"/>
      <c r="FK563" s="3"/>
      <c r="FL563" s="3"/>
      <c r="FM563" s="131"/>
      <c r="FN563" s="15"/>
      <c r="FO563" s="99"/>
      <c r="FP563" s="149"/>
      <c r="FQ563" s="134"/>
      <c r="FR563" s="134"/>
      <c r="FS563" s="137"/>
      <c r="FT563" s="150"/>
      <c r="FU563" s="137"/>
      <c r="FV563" s="137"/>
      <c r="FW563" s="3"/>
      <c r="FX563" s="138"/>
      <c r="FY563" s="2"/>
      <c r="FZ563" s="139"/>
      <c r="GA563" s="3"/>
      <c r="GB563" s="3"/>
      <c r="GC563" s="3"/>
      <c r="GD563" s="3"/>
      <c r="GE563" s="3"/>
      <c r="GF563" s="3"/>
      <c r="GG563" s="3"/>
      <c r="GH563" s="3"/>
      <c r="GI563" s="3"/>
      <c r="GJ563" s="3"/>
      <c r="GK563" s="131"/>
      <c r="GL563" s="15"/>
      <c r="GM563" s="99"/>
      <c r="GN563" s="149"/>
      <c r="GO563" s="134"/>
      <c r="GP563" s="134"/>
      <c r="GQ563" s="137"/>
      <c r="GR563" s="150"/>
      <c r="GS563" s="137"/>
      <c r="GT563" s="137"/>
      <c r="GU563" s="3"/>
      <c r="GV563" s="138"/>
      <c r="GW563" s="2"/>
      <c r="GX563" s="139"/>
      <c r="GY563" s="3"/>
      <c r="GZ563" s="3"/>
      <c r="HA563" s="3"/>
      <c r="HB563" s="3"/>
      <c r="HC563" s="3"/>
      <c r="HD563" s="3"/>
      <c r="HE563" s="3"/>
      <c r="HF563" s="3"/>
      <c r="HG563" s="3"/>
      <c r="HH563" s="3"/>
      <c r="HI563" s="131"/>
      <c r="HJ563" s="15"/>
      <c r="HK563" s="99"/>
      <c r="HL563" s="149"/>
      <c r="HM563" s="134"/>
      <c r="HN563" s="134"/>
      <c r="HO563" s="137"/>
      <c r="HP563" s="150"/>
      <c r="HQ563" s="137"/>
      <c r="HR563" s="137"/>
      <c r="HS563" s="3"/>
      <c r="HT563" s="138"/>
      <c r="HU563" s="2"/>
      <c r="HV563" s="139"/>
      <c r="HW563" s="3"/>
      <c r="HX563" s="3"/>
      <c r="HY563" s="3"/>
      <c r="HZ563" s="3"/>
      <c r="IA563" s="3"/>
      <c r="IB563" s="3"/>
      <c r="IC563" s="3"/>
      <c r="ID563" s="3"/>
      <c r="IE563" s="3"/>
      <c r="IF563" s="3"/>
      <c r="IG563" s="131"/>
      <c r="IH563" s="15"/>
      <c r="II563" s="99"/>
      <c r="IJ563" s="149"/>
      <c r="IK563" s="134"/>
      <c r="IL563" s="134"/>
      <c r="IM563" s="137"/>
      <c r="IN563" s="150"/>
      <c r="IO563" s="137"/>
      <c r="IP563" s="137"/>
      <c r="IQ563" s="3"/>
      <c r="IR563" s="138"/>
      <c r="IS563" s="2"/>
      <c r="IT563" s="139"/>
      <c r="IU563" s="3"/>
      <c r="IV563" s="3"/>
    </row>
    <row r="564" spans="1:256" s="125" customFormat="1" ht="13.5" customHeight="1">
      <c r="A564" s="84">
        <v>85</v>
      </c>
      <c r="B564" s="56">
        <v>43077</v>
      </c>
      <c r="C564" s="18"/>
      <c r="D564" s="19" t="s">
        <v>494</v>
      </c>
      <c r="E564" s="20" t="s">
        <v>495</v>
      </c>
      <c r="F564" s="62" t="s">
        <v>762</v>
      </c>
      <c r="G564" s="63">
        <v>1708</v>
      </c>
      <c r="H564" s="121">
        <v>3320100</v>
      </c>
      <c r="I564" s="24"/>
      <c r="J564" s="24">
        <f t="shared" si="53"/>
        <v>3162000</v>
      </c>
      <c r="K564" s="24">
        <f t="shared" si="49"/>
        <v>3162000</v>
      </c>
      <c r="L564" s="123">
        <v>1</v>
      </c>
      <c r="M564" s="24">
        <f t="shared" si="50"/>
        <v>3162000</v>
      </c>
      <c r="N564" s="124">
        <f t="shared" si="51"/>
        <v>0</v>
      </c>
      <c r="O564" s="85" t="s">
        <v>665</v>
      </c>
      <c r="P564" s="3"/>
      <c r="Q564" s="140"/>
      <c r="R564" s="3"/>
      <c r="S564" s="3"/>
      <c r="T564" s="3"/>
      <c r="U564" s="3"/>
      <c r="V564" s="3"/>
      <c r="W564" s="3"/>
      <c r="X564" s="3"/>
      <c r="Y564" s="131"/>
      <c r="Z564" s="15"/>
      <c r="AA564" s="99"/>
      <c r="AB564" s="149"/>
      <c r="AC564" s="134"/>
      <c r="AD564" s="134"/>
      <c r="AE564" s="137"/>
      <c r="AF564" s="150"/>
      <c r="AG564" s="137"/>
      <c r="AH564" s="137"/>
      <c r="AI564" s="3"/>
      <c r="AJ564" s="138"/>
      <c r="AK564" s="2"/>
      <c r="AL564" s="139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131"/>
      <c r="AX564" s="15"/>
      <c r="AY564" s="99"/>
      <c r="AZ564" s="149"/>
      <c r="BA564" s="134"/>
      <c r="BB564" s="134"/>
      <c r="BC564" s="137"/>
      <c r="BD564" s="150"/>
      <c r="BE564" s="137"/>
      <c r="BF564" s="137"/>
      <c r="BG564" s="3"/>
      <c r="BH564" s="138"/>
      <c r="BI564" s="2"/>
      <c r="BJ564" s="139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131"/>
      <c r="BV564" s="15"/>
      <c r="BW564" s="99"/>
      <c r="BX564" s="149"/>
      <c r="BY564" s="134"/>
      <c r="BZ564" s="134"/>
      <c r="CA564" s="137"/>
      <c r="CB564" s="150"/>
      <c r="CC564" s="137"/>
      <c r="CD564" s="137"/>
      <c r="CE564" s="3"/>
      <c r="CF564" s="138"/>
      <c r="CG564" s="2"/>
      <c r="CH564" s="139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131"/>
      <c r="CT564" s="15"/>
      <c r="CU564" s="99"/>
      <c r="CV564" s="149"/>
      <c r="CW564" s="134"/>
      <c r="CX564" s="134"/>
      <c r="CY564" s="137"/>
      <c r="CZ564" s="150"/>
      <c r="DA564" s="137"/>
      <c r="DB564" s="137"/>
      <c r="DC564" s="3"/>
      <c r="DD564" s="138"/>
      <c r="DE564" s="2"/>
      <c r="DF564" s="139"/>
      <c r="DG564" s="3"/>
      <c r="DH564" s="3"/>
      <c r="DI564" s="3"/>
      <c r="DJ564" s="3"/>
      <c r="DK564" s="3"/>
      <c r="DL564" s="3"/>
      <c r="DM564" s="3"/>
      <c r="DN564" s="3"/>
      <c r="DO564" s="3"/>
      <c r="DP564" s="3"/>
      <c r="DQ564" s="131"/>
      <c r="DR564" s="15"/>
      <c r="DS564" s="99"/>
      <c r="DT564" s="149"/>
      <c r="DU564" s="134"/>
      <c r="DV564" s="134"/>
      <c r="DW564" s="137"/>
      <c r="DX564" s="150"/>
      <c r="DY564" s="137"/>
      <c r="DZ564" s="137"/>
      <c r="EA564" s="3"/>
      <c r="EB564" s="138"/>
      <c r="EC564" s="2"/>
      <c r="ED564" s="139"/>
      <c r="EE564" s="3"/>
      <c r="EF564" s="3"/>
      <c r="EG564" s="3"/>
      <c r="EH564" s="3"/>
      <c r="EI564" s="3"/>
      <c r="EJ564" s="3"/>
      <c r="EK564" s="3"/>
      <c r="EL564" s="3"/>
      <c r="EM564" s="3"/>
      <c r="EN564" s="3"/>
      <c r="EO564" s="131"/>
      <c r="EP564" s="15"/>
      <c r="EQ564" s="99"/>
      <c r="ER564" s="149"/>
      <c r="ES564" s="134"/>
      <c r="ET564" s="134"/>
      <c r="EU564" s="137"/>
      <c r="EV564" s="150"/>
      <c r="EW564" s="137"/>
      <c r="EX564" s="137"/>
      <c r="EY564" s="3"/>
      <c r="EZ564" s="138"/>
      <c r="FA564" s="2"/>
      <c r="FB564" s="139"/>
      <c r="FC564" s="3"/>
      <c r="FD564" s="3"/>
      <c r="FE564" s="3"/>
      <c r="FF564" s="3"/>
      <c r="FG564" s="3"/>
      <c r="FH564" s="3"/>
      <c r="FI564" s="3"/>
      <c r="FJ564" s="3"/>
      <c r="FK564" s="3"/>
      <c r="FL564" s="3"/>
      <c r="FM564" s="131"/>
      <c r="FN564" s="15"/>
      <c r="FO564" s="99"/>
      <c r="FP564" s="149"/>
      <c r="FQ564" s="134"/>
      <c r="FR564" s="134"/>
      <c r="FS564" s="137"/>
      <c r="FT564" s="150"/>
      <c r="FU564" s="137"/>
      <c r="FV564" s="137"/>
      <c r="FW564" s="3"/>
      <c r="FX564" s="138"/>
      <c r="FY564" s="2"/>
      <c r="FZ564" s="139"/>
      <c r="GA564" s="3"/>
      <c r="GB564" s="3"/>
      <c r="GC564" s="3"/>
      <c r="GD564" s="3"/>
      <c r="GE564" s="3"/>
      <c r="GF564" s="3"/>
      <c r="GG564" s="3"/>
      <c r="GH564" s="3"/>
      <c r="GI564" s="3"/>
      <c r="GJ564" s="3"/>
      <c r="GK564" s="131"/>
      <c r="GL564" s="15"/>
      <c r="GM564" s="99"/>
      <c r="GN564" s="149"/>
      <c r="GO564" s="134"/>
      <c r="GP564" s="134"/>
      <c r="GQ564" s="137"/>
      <c r="GR564" s="150"/>
      <c r="GS564" s="137"/>
      <c r="GT564" s="137"/>
      <c r="GU564" s="3"/>
      <c r="GV564" s="138"/>
      <c r="GW564" s="2"/>
      <c r="GX564" s="139"/>
      <c r="GY564" s="3"/>
      <c r="GZ564" s="3"/>
      <c r="HA564" s="3"/>
      <c r="HB564" s="3"/>
      <c r="HC564" s="3"/>
      <c r="HD564" s="3"/>
      <c r="HE564" s="3"/>
      <c r="HF564" s="3"/>
      <c r="HG564" s="3"/>
      <c r="HH564" s="3"/>
      <c r="HI564" s="131"/>
      <c r="HJ564" s="15"/>
      <c r="HK564" s="99"/>
      <c r="HL564" s="149"/>
      <c r="HM564" s="134"/>
      <c r="HN564" s="134"/>
      <c r="HO564" s="137"/>
      <c r="HP564" s="150"/>
      <c r="HQ564" s="137"/>
      <c r="HR564" s="137"/>
      <c r="HS564" s="3"/>
      <c r="HT564" s="138"/>
      <c r="HU564" s="2"/>
      <c r="HV564" s="139"/>
      <c r="HW564" s="3"/>
      <c r="HX564" s="3"/>
      <c r="HY564" s="3"/>
      <c r="HZ564" s="3"/>
      <c r="IA564" s="3"/>
      <c r="IB564" s="3"/>
      <c r="IC564" s="3"/>
      <c r="ID564" s="3"/>
      <c r="IE564" s="3"/>
      <c r="IF564" s="3"/>
      <c r="IG564" s="131"/>
      <c r="IH564" s="15"/>
      <c r="II564" s="99"/>
      <c r="IJ564" s="149"/>
      <c r="IK564" s="134"/>
      <c r="IL564" s="134"/>
      <c r="IM564" s="137"/>
      <c r="IN564" s="150"/>
      <c r="IO564" s="137"/>
      <c r="IP564" s="137"/>
      <c r="IQ564" s="3"/>
      <c r="IR564" s="138"/>
      <c r="IS564" s="2"/>
      <c r="IT564" s="139"/>
      <c r="IU564" s="3"/>
      <c r="IV564" s="3"/>
    </row>
    <row r="565" spans="1:256" s="125" customFormat="1" ht="13.5" customHeight="1">
      <c r="A565" s="213">
        <v>1</v>
      </c>
      <c r="B565" s="60">
        <v>43088</v>
      </c>
      <c r="C565" s="18"/>
      <c r="D565" s="19" t="s">
        <v>284</v>
      </c>
      <c r="E565" s="20" t="s">
        <v>295</v>
      </c>
      <c r="F565" s="120" t="s">
        <v>763</v>
      </c>
      <c r="G565" s="58">
        <v>1708</v>
      </c>
      <c r="H565" s="121">
        <f>50000+1567500</f>
        <v>1617500</v>
      </c>
      <c r="I565" s="24"/>
      <c r="J565" s="24">
        <f t="shared" si="53"/>
        <v>1540476.1904761903</v>
      </c>
      <c r="K565" s="24">
        <f t="shared" si="49"/>
        <v>1540476.1904761903</v>
      </c>
      <c r="L565" s="123">
        <v>1</v>
      </c>
      <c r="M565" s="24">
        <f t="shared" si="50"/>
        <v>1540476.1904761903</v>
      </c>
      <c r="N565" s="124">
        <f t="shared" si="51"/>
        <v>0</v>
      </c>
      <c r="O565" s="196" t="s">
        <v>235</v>
      </c>
      <c r="P565" s="3"/>
      <c r="Q565" s="140"/>
      <c r="R565" s="3"/>
      <c r="S565" s="3"/>
      <c r="T565" s="3"/>
      <c r="U565" s="3"/>
      <c r="V565" s="3"/>
      <c r="W565" s="3"/>
      <c r="X565" s="3"/>
      <c r="Y565" s="131"/>
      <c r="Z565" s="15"/>
      <c r="AA565" s="99"/>
      <c r="AB565" s="149"/>
      <c r="AC565" s="134"/>
      <c r="AD565" s="134"/>
      <c r="AE565" s="137"/>
      <c r="AF565" s="150"/>
      <c r="AG565" s="137"/>
      <c r="AH565" s="137"/>
      <c r="AI565" s="3"/>
      <c r="AJ565" s="138"/>
      <c r="AK565" s="2"/>
      <c r="AL565" s="139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131"/>
      <c r="AX565" s="15"/>
      <c r="AY565" s="99"/>
      <c r="AZ565" s="149"/>
      <c r="BA565" s="134"/>
      <c r="BB565" s="134"/>
      <c r="BC565" s="137"/>
      <c r="BD565" s="150"/>
      <c r="BE565" s="137"/>
      <c r="BF565" s="137"/>
      <c r="BG565" s="3"/>
      <c r="BH565" s="138"/>
      <c r="BI565" s="2"/>
      <c r="BJ565" s="139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131"/>
      <c r="BV565" s="15"/>
      <c r="BW565" s="99"/>
      <c r="BX565" s="149"/>
      <c r="BY565" s="134"/>
      <c r="BZ565" s="134"/>
      <c r="CA565" s="137"/>
      <c r="CB565" s="150"/>
      <c r="CC565" s="137"/>
      <c r="CD565" s="137"/>
      <c r="CE565" s="3"/>
      <c r="CF565" s="138"/>
      <c r="CG565" s="2"/>
      <c r="CH565" s="139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131"/>
      <c r="CT565" s="15"/>
      <c r="CU565" s="99"/>
      <c r="CV565" s="149"/>
      <c r="CW565" s="134"/>
      <c r="CX565" s="134"/>
      <c r="CY565" s="137"/>
      <c r="CZ565" s="150"/>
      <c r="DA565" s="137"/>
      <c r="DB565" s="137"/>
      <c r="DC565" s="3"/>
      <c r="DD565" s="138"/>
      <c r="DE565" s="2"/>
      <c r="DF565" s="139"/>
      <c r="DG565" s="3"/>
      <c r="DH565" s="3"/>
      <c r="DI565" s="3"/>
      <c r="DJ565" s="3"/>
      <c r="DK565" s="3"/>
      <c r="DL565" s="3"/>
      <c r="DM565" s="3"/>
      <c r="DN565" s="3"/>
      <c r="DO565" s="3"/>
      <c r="DP565" s="3"/>
      <c r="DQ565" s="131"/>
      <c r="DR565" s="15"/>
      <c r="DS565" s="99"/>
      <c r="DT565" s="149"/>
      <c r="DU565" s="134"/>
      <c r="DV565" s="134"/>
      <c r="DW565" s="137"/>
      <c r="DX565" s="150"/>
      <c r="DY565" s="137"/>
      <c r="DZ565" s="137"/>
      <c r="EA565" s="3"/>
      <c r="EB565" s="138"/>
      <c r="EC565" s="2"/>
      <c r="ED565" s="139"/>
      <c r="EE565" s="3"/>
      <c r="EF565" s="3"/>
      <c r="EG565" s="3"/>
      <c r="EH565" s="3"/>
      <c r="EI565" s="3"/>
      <c r="EJ565" s="3"/>
      <c r="EK565" s="3"/>
      <c r="EL565" s="3"/>
      <c r="EM565" s="3"/>
      <c r="EN565" s="3"/>
      <c r="EO565" s="131"/>
      <c r="EP565" s="15"/>
      <c r="EQ565" s="99"/>
      <c r="ER565" s="149"/>
      <c r="ES565" s="134"/>
      <c r="ET565" s="134"/>
      <c r="EU565" s="137"/>
      <c r="EV565" s="150"/>
      <c r="EW565" s="137"/>
      <c r="EX565" s="137"/>
      <c r="EY565" s="3"/>
      <c r="EZ565" s="138"/>
      <c r="FA565" s="2"/>
      <c r="FB565" s="139"/>
      <c r="FC565" s="3"/>
      <c r="FD565" s="3"/>
      <c r="FE565" s="3"/>
      <c r="FF565" s="3"/>
      <c r="FG565" s="3"/>
      <c r="FH565" s="3"/>
      <c r="FI565" s="3"/>
      <c r="FJ565" s="3"/>
      <c r="FK565" s="3"/>
      <c r="FL565" s="3"/>
      <c r="FM565" s="131"/>
      <c r="FN565" s="15"/>
      <c r="FO565" s="99"/>
      <c r="FP565" s="149"/>
      <c r="FQ565" s="134"/>
      <c r="FR565" s="134"/>
      <c r="FS565" s="137"/>
      <c r="FT565" s="150"/>
      <c r="FU565" s="137"/>
      <c r="FV565" s="137"/>
      <c r="FW565" s="3"/>
      <c r="FX565" s="138"/>
      <c r="FY565" s="2"/>
      <c r="FZ565" s="139"/>
      <c r="GA565" s="3"/>
      <c r="GB565" s="3"/>
      <c r="GC565" s="3"/>
      <c r="GD565" s="3"/>
      <c r="GE565" s="3"/>
      <c r="GF565" s="3"/>
      <c r="GG565" s="3"/>
      <c r="GH565" s="3"/>
      <c r="GI565" s="3"/>
      <c r="GJ565" s="3"/>
      <c r="GK565" s="131"/>
      <c r="GL565" s="15"/>
      <c r="GM565" s="99"/>
      <c r="GN565" s="149"/>
      <c r="GO565" s="134"/>
      <c r="GP565" s="134"/>
      <c r="GQ565" s="137"/>
      <c r="GR565" s="150"/>
      <c r="GS565" s="137"/>
      <c r="GT565" s="137"/>
      <c r="GU565" s="3"/>
      <c r="GV565" s="138"/>
      <c r="GW565" s="2"/>
      <c r="GX565" s="139"/>
      <c r="GY565" s="3"/>
      <c r="GZ565" s="3"/>
      <c r="HA565" s="3"/>
      <c r="HB565" s="3"/>
      <c r="HC565" s="3"/>
      <c r="HD565" s="3"/>
      <c r="HE565" s="3"/>
      <c r="HF565" s="3"/>
      <c r="HG565" s="3"/>
      <c r="HH565" s="3"/>
      <c r="HI565" s="131"/>
      <c r="HJ565" s="15"/>
      <c r="HK565" s="99"/>
      <c r="HL565" s="149"/>
      <c r="HM565" s="134"/>
      <c r="HN565" s="134"/>
      <c r="HO565" s="137"/>
      <c r="HP565" s="150"/>
      <c r="HQ565" s="137"/>
      <c r="HR565" s="137"/>
      <c r="HS565" s="3"/>
      <c r="HT565" s="138"/>
      <c r="HU565" s="2"/>
      <c r="HV565" s="139"/>
      <c r="HW565" s="3"/>
      <c r="HX565" s="3"/>
      <c r="HY565" s="3"/>
      <c r="HZ565" s="3"/>
      <c r="IA565" s="3"/>
      <c r="IB565" s="3"/>
      <c r="IC565" s="3"/>
      <c r="ID565" s="3"/>
      <c r="IE565" s="3"/>
      <c r="IF565" s="3"/>
      <c r="IG565" s="131"/>
      <c r="IH565" s="15"/>
      <c r="II565" s="99"/>
      <c r="IJ565" s="149"/>
      <c r="IK565" s="134"/>
      <c r="IL565" s="134"/>
      <c r="IM565" s="137"/>
      <c r="IN565" s="150"/>
      <c r="IO565" s="137"/>
      <c r="IP565" s="137"/>
      <c r="IQ565" s="3"/>
      <c r="IR565" s="138"/>
      <c r="IS565" s="2"/>
      <c r="IT565" s="139"/>
      <c r="IU565" s="3"/>
      <c r="IV565" s="3"/>
    </row>
    <row r="566" spans="1:256" s="125" customFormat="1" ht="13.5" customHeight="1">
      <c r="A566" s="213">
        <v>2</v>
      </c>
      <c r="B566" s="60">
        <v>43094</v>
      </c>
      <c r="C566" s="18"/>
      <c r="D566" s="19" t="s">
        <v>423</v>
      </c>
      <c r="E566" s="20" t="s">
        <v>593</v>
      </c>
      <c r="F566" s="168" t="s">
        <v>764</v>
      </c>
      <c r="G566" s="63">
        <v>1709</v>
      </c>
      <c r="H566" s="121">
        <v>3636300</v>
      </c>
      <c r="I566" s="24"/>
      <c r="J566" s="24">
        <f t="shared" si="53"/>
        <v>3463142.8571428568</v>
      </c>
      <c r="K566" s="24">
        <f t="shared" si="49"/>
        <v>3463142.8571428568</v>
      </c>
      <c r="L566" s="123">
        <v>1</v>
      </c>
      <c r="M566" s="24">
        <f t="shared" si="50"/>
        <v>3463142.8571428568</v>
      </c>
      <c r="N566" s="124">
        <f t="shared" si="51"/>
        <v>0</v>
      </c>
      <c r="O566" s="196" t="s">
        <v>235</v>
      </c>
      <c r="P566" s="3"/>
      <c r="Q566" s="140"/>
      <c r="R566" s="3"/>
      <c r="S566" s="3"/>
      <c r="T566" s="3"/>
      <c r="U566" s="3"/>
      <c r="V566" s="3"/>
      <c r="W566" s="3"/>
      <c r="X566" s="3"/>
      <c r="Y566" s="131"/>
      <c r="Z566" s="15"/>
      <c r="AA566" s="99"/>
      <c r="AB566" s="149"/>
      <c r="AC566" s="134"/>
      <c r="AD566" s="134"/>
      <c r="AE566" s="137"/>
      <c r="AF566" s="150"/>
      <c r="AG566" s="137"/>
      <c r="AH566" s="137"/>
      <c r="AI566" s="3"/>
      <c r="AJ566" s="138"/>
      <c r="AK566" s="2"/>
      <c r="AL566" s="139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131"/>
      <c r="AX566" s="15"/>
      <c r="AY566" s="99"/>
      <c r="AZ566" s="149"/>
      <c r="BA566" s="134"/>
      <c r="BB566" s="134"/>
      <c r="BC566" s="137"/>
      <c r="BD566" s="150"/>
      <c r="BE566" s="137"/>
      <c r="BF566" s="137"/>
      <c r="BG566" s="3"/>
      <c r="BH566" s="138"/>
      <c r="BI566" s="2"/>
      <c r="BJ566" s="139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131"/>
      <c r="BV566" s="15"/>
      <c r="BW566" s="99"/>
      <c r="BX566" s="149"/>
      <c r="BY566" s="134"/>
      <c r="BZ566" s="134"/>
      <c r="CA566" s="137"/>
      <c r="CB566" s="150"/>
      <c r="CC566" s="137"/>
      <c r="CD566" s="137"/>
      <c r="CE566" s="3"/>
      <c r="CF566" s="138"/>
      <c r="CG566" s="2"/>
      <c r="CH566" s="139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131"/>
      <c r="CT566" s="15"/>
      <c r="CU566" s="99"/>
      <c r="CV566" s="149"/>
      <c r="CW566" s="134"/>
      <c r="CX566" s="134"/>
      <c r="CY566" s="137"/>
      <c r="CZ566" s="150"/>
      <c r="DA566" s="137"/>
      <c r="DB566" s="137"/>
      <c r="DC566" s="3"/>
      <c r="DD566" s="138"/>
      <c r="DE566" s="2"/>
      <c r="DF566" s="139"/>
      <c r="DG566" s="3"/>
      <c r="DH566" s="3"/>
      <c r="DI566" s="3"/>
      <c r="DJ566" s="3"/>
      <c r="DK566" s="3"/>
      <c r="DL566" s="3"/>
      <c r="DM566" s="3"/>
      <c r="DN566" s="3"/>
      <c r="DO566" s="3"/>
      <c r="DP566" s="3"/>
      <c r="DQ566" s="131"/>
      <c r="DR566" s="15"/>
      <c r="DS566" s="99"/>
      <c r="DT566" s="149"/>
      <c r="DU566" s="134"/>
      <c r="DV566" s="134"/>
      <c r="DW566" s="137"/>
      <c r="DX566" s="150"/>
      <c r="DY566" s="137"/>
      <c r="DZ566" s="137"/>
      <c r="EA566" s="3"/>
      <c r="EB566" s="138"/>
      <c r="EC566" s="2"/>
      <c r="ED566" s="139"/>
      <c r="EE566" s="3"/>
      <c r="EF566" s="3"/>
      <c r="EG566" s="3"/>
      <c r="EH566" s="3"/>
      <c r="EI566" s="3"/>
      <c r="EJ566" s="3"/>
      <c r="EK566" s="3"/>
      <c r="EL566" s="3"/>
      <c r="EM566" s="3"/>
      <c r="EN566" s="3"/>
      <c r="EO566" s="131"/>
      <c r="EP566" s="15"/>
      <c r="EQ566" s="99"/>
      <c r="ER566" s="149"/>
      <c r="ES566" s="134"/>
      <c r="ET566" s="134"/>
      <c r="EU566" s="137"/>
      <c r="EV566" s="150"/>
      <c r="EW566" s="137"/>
      <c r="EX566" s="137"/>
      <c r="EY566" s="3"/>
      <c r="EZ566" s="138"/>
      <c r="FA566" s="2"/>
      <c r="FB566" s="139"/>
      <c r="FC566" s="3"/>
      <c r="FD566" s="3"/>
      <c r="FE566" s="3"/>
      <c r="FF566" s="3"/>
      <c r="FG566" s="3"/>
      <c r="FH566" s="3"/>
      <c r="FI566" s="3"/>
      <c r="FJ566" s="3"/>
      <c r="FK566" s="3"/>
      <c r="FL566" s="3"/>
      <c r="FM566" s="131"/>
      <c r="FN566" s="15"/>
      <c r="FO566" s="99"/>
      <c r="FP566" s="149"/>
      <c r="FQ566" s="134"/>
      <c r="FR566" s="134"/>
      <c r="FS566" s="137"/>
      <c r="FT566" s="150"/>
      <c r="FU566" s="137"/>
      <c r="FV566" s="137"/>
      <c r="FW566" s="3"/>
      <c r="FX566" s="138"/>
      <c r="FY566" s="2"/>
      <c r="FZ566" s="139"/>
      <c r="GA566" s="3"/>
      <c r="GB566" s="3"/>
      <c r="GC566" s="3"/>
      <c r="GD566" s="3"/>
      <c r="GE566" s="3"/>
      <c r="GF566" s="3"/>
      <c r="GG566" s="3"/>
      <c r="GH566" s="3"/>
      <c r="GI566" s="3"/>
      <c r="GJ566" s="3"/>
      <c r="GK566" s="131"/>
      <c r="GL566" s="15"/>
      <c r="GM566" s="99"/>
      <c r="GN566" s="149"/>
      <c r="GO566" s="134"/>
      <c r="GP566" s="134"/>
      <c r="GQ566" s="137"/>
      <c r="GR566" s="150"/>
      <c r="GS566" s="137"/>
      <c r="GT566" s="137"/>
      <c r="GU566" s="3"/>
      <c r="GV566" s="138"/>
      <c r="GW566" s="2"/>
      <c r="GX566" s="139"/>
      <c r="GY566" s="3"/>
      <c r="GZ566" s="3"/>
      <c r="HA566" s="3"/>
      <c r="HB566" s="3"/>
      <c r="HC566" s="3"/>
      <c r="HD566" s="3"/>
      <c r="HE566" s="3"/>
      <c r="HF566" s="3"/>
      <c r="HG566" s="3"/>
      <c r="HH566" s="3"/>
      <c r="HI566" s="131"/>
      <c r="HJ566" s="15"/>
      <c r="HK566" s="99"/>
      <c r="HL566" s="149"/>
      <c r="HM566" s="134"/>
      <c r="HN566" s="134"/>
      <c r="HO566" s="137"/>
      <c r="HP566" s="150"/>
      <c r="HQ566" s="137"/>
      <c r="HR566" s="137"/>
      <c r="HS566" s="3"/>
      <c r="HT566" s="138"/>
      <c r="HU566" s="2"/>
      <c r="HV566" s="139"/>
      <c r="HW566" s="3"/>
      <c r="HX566" s="3"/>
      <c r="HY566" s="3"/>
      <c r="HZ566" s="3"/>
      <c r="IA566" s="3"/>
      <c r="IB566" s="3"/>
      <c r="IC566" s="3"/>
      <c r="ID566" s="3"/>
      <c r="IE566" s="3"/>
      <c r="IF566" s="3"/>
      <c r="IG566" s="131"/>
      <c r="IH566" s="15"/>
      <c r="II566" s="99"/>
      <c r="IJ566" s="149"/>
      <c r="IK566" s="134"/>
      <c r="IL566" s="134"/>
      <c r="IM566" s="137"/>
      <c r="IN566" s="150"/>
      <c r="IO566" s="137"/>
      <c r="IP566" s="137"/>
      <c r="IQ566" s="3"/>
      <c r="IR566" s="138"/>
      <c r="IS566" s="2"/>
      <c r="IT566" s="139"/>
      <c r="IU566" s="3"/>
      <c r="IV566" s="3"/>
    </row>
    <row r="567" spans="1:256" s="125" customFormat="1" ht="13.5" customHeight="1">
      <c r="A567" s="213">
        <v>3</v>
      </c>
      <c r="B567" s="56">
        <v>43083</v>
      </c>
      <c r="C567" s="18"/>
      <c r="D567" s="19" t="s">
        <v>284</v>
      </c>
      <c r="E567" s="20" t="s">
        <v>291</v>
      </c>
      <c r="F567" s="62" t="s">
        <v>765</v>
      </c>
      <c r="G567" s="63">
        <v>1709</v>
      </c>
      <c r="H567" s="121">
        <v>1212600</v>
      </c>
      <c r="I567" s="24"/>
      <c r="J567" s="24">
        <f t="shared" si="53"/>
        <v>1154857.1428571427</v>
      </c>
      <c r="K567" s="24">
        <f t="shared" si="49"/>
        <v>1154857.1428571427</v>
      </c>
      <c r="L567" s="123">
        <v>1</v>
      </c>
      <c r="M567" s="24">
        <f t="shared" si="50"/>
        <v>1154857.1428571427</v>
      </c>
      <c r="N567" s="124">
        <f t="shared" si="51"/>
        <v>0</v>
      </c>
      <c r="O567" s="196" t="s">
        <v>311</v>
      </c>
      <c r="P567" s="3"/>
      <c r="Q567" s="140"/>
      <c r="R567" s="3"/>
      <c r="S567" s="3"/>
      <c r="T567" s="3"/>
      <c r="U567" s="3"/>
      <c r="V567" s="3"/>
      <c r="W567" s="3"/>
      <c r="X567" s="3"/>
      <c r="Y567" s="131"/>
      <c r="Z567" s="15"/>
      <c r="AA567" s="99"/>
      <c r="AB567" s="149"/>
      <c r="AC567" s="134"/>
      <c r="AD567" s="134"/>
      <c r="AE567" s="137"/>
      <c r="AF567" s="150"/>
      <c r="AG567" s="137"/>
      <c r="AH567" s="137"/>
      <c r="AI567" s="3"/>
      <c r="AJ567" s="138"/>
      <c r="AK567" s="2"/>
      <c r="AL567" s="139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131"/>
      <c r="AX567" s="15"/>
      <c r="AY567" s="99"/>
      <c r="AZ567" s="149"/>
      <c r="BA567" s="134"/>
      <c r="BB567" s="134"/>
      <c r="BC567" s="137"/>
      <c r="BD567" s="150"/>
      <c r="BE567" s="137"/>
      <c r="BF567" s="137"/>
      <c r="BG567" s="3"/>
      <c r="BH567" s="138"/>
      <c r="BI567" s="2"/>
      <c r="BJ567" s="139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131"/>
      <c r="BV567" s="15"/>
      <c r="BW567" s="99"/>
      <c r="BX567" s="149"/>
      <c r="BY567" s="134"/>
      <c r="BZ567" s="134"/>
      <c r="CA567" s="137"/>
      <c r="CB567" s="150"/>
      <c r="CC567" s="137"/>
      <c r="CD567" s="137"/>
      <c r="CE567" s="3"/>
      <c r="CF567" s="138"/>
      <c r="CG567" s="2"/>
      <c r="CH567" s="139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131"/>
      <c r="CT567" s="15"/>
      <c r="CU567" s="99"/>
      <c r="CV567" s="149"/>
      <c r="CW567" s="134"/>
      <c r="CX567" s="134"/>
      <c r="CY567" s="137"/>
      <c r="CZ567" s="150"/>
      <c r="DA567" s="137"/>
      <c r="DB567" s="137"/>
      <c r="DC567" s="3"/>
      <c r="DD567" s="138"/>
      <c r="DE567" s="2"/>
      <c r="DF567" s="139"/>
      <c r="DG567" s="3"/>
      <c r="DH567" s="3"/>
      <c r="DI567" s="3"/>
      <c r="DJ567" s="3"/>
      <c r="DK567" s="3"/>
      <c r="DL567" s="3"/>
      <c r="DM567" s="3"/>
      <c r="DN567" s="3"/>
      <c r="DO567" s="3"/>
      <c r="DP567" s="3"/>
      <c r="DQ567" s="131"/>
      <c r="DR567" s="15"/>
      <c r="DS567" s="99"/>
      <c r="DT567" s="149"/>
      <c r="DU567" s="134"/>
      <c r="DV567" s="134"/>
      <c r="DW567" s="137"/>
      <c r="DX567" s="150"/>
      <c r="DY567" s="137"/>
      <c r="DZ567" s="137"/>
      <c r="EA567" s="3"/>
      <c r="EB567" s="138"/>
      <c r="EC567" s="2"/>
      <c r="ED567" s="139"/>
      <c r="EE567" s="3"/>
      <c r="EF567" s="3"/>
      <c r="EG567" s="3"/>
      <c r="EH567" s="3"/>
      <c r="EI567" s="3"/>
      <c r="EJ567" s="3"/>
      <c r="EK567" s="3"/>
      <c r="EL567" s="3"/>
      <c r="EM567" s="3"/>
      <c r="EN567" s="3"/>
      <c r="EO567" s="131"/>
      <c r="EP567" s="15"/>
      <c r="EQ567" s="99"/>
      <c r="ER567" s="149"/>
      <c r="ES567" s="134"/>
      <c r="ET567" s="134"/>
      <c r="EU567" s="137"/>
      <c r="EV567" s="150"/>
      <c r="EW567" s="137"/>
      <c r="EX567" s="137"/>
      <c r="EY567" s="3"/>
      <c r="EZ567" s="138"/>
      <c r="FA567" s="2"/>
      <c r="FB567" s="139"/>
      <c r="FC567" s="3"/>
      <c r="FD567" s="3"/>
      <c r="FE567" s="3"/>
      <c r="FF567" s="3"/>
      <c r="FG567" s="3"/>
      <c r="FH567" s="3"/>
      <c r="FI567" s="3"/>
      <c r="FJ567" s="3"/>
      <c r="FK567" s="3"/>
      <c r="FL567" s="3"/>
      <c r="FM567" s="131"/>
      <c r="FN567" s="15"/>
      <c r="FO567" s="99"/>
      <c r="FP567" s="149"/>
      <c r="FQ567" s="134"/>
      <c r="FR567" s="134"/>
      <c r="FS567" s="137"/>
      <c r="FT567" s="150"/>
      <c r="FU567" s="137"/>
      <c r="FV567" s="137"/>
      <c r="FW567" s="3"/>
      <c r="FX567" s="138"/>
      <c r="FY567" s="2"/>
      <c r="FZ567" s="139"/>
      <c r="GA567" s="3"/>
      <c r="GB567" s="3"/>
      <c r="GC567" s="3"/>
      <c r="GD567" s="3"/>
      <c r="GE567" s="3"/>
      <c r="GF567" s="3"/>
      <c r="GG567" s="3"/>
      <c r="GH567" s="3"/>
      <c r="GI567" s="3"/>
      <c r="GJ567" s="3"/>
      <c r="GK567" s="131"/>
      <c r="GL567" s="15"/>
      <c r="GM567" s="99"/>
      <c r="GN567" s="149"/>
      <c r="GO567" s="134"/>
      <c r="GP567" s="134"/>
      <c r="GQ567" s="137"/>
      <c r="GR567" s="150"/>
      <c r="GS567" s="137"/>
      <c r="GT567" s="137"/>
      <c r="GU567" s="3"/>
      <c r="GV567" s="138"/>
      <c r="GW567" s="2"/>
      <c r="GX567" s="139"/>
      <c r="GY567" s="3"/>
      <c r="GZ567" s="3"/>
      <c r="HA567" s="3"/>
      <c r="HB567" s="3"/>
      <c r="HC567" s="3"/>
      <c r="HD567" s="3"/>
      <c r="HE567" s="3"/>
      <c r="HF567" s="3"/>
      <c r="HG567" s="3"/>
      <c r="HH567" s="3"/>
      <c r="HI567" s="131"/>
      <c r="HJ567" s="15"/>
      <c r="HK567" s="99"/>
      <c r="HL567" s="149"/>
      <c r="HM567" s="134"/>
      <c r="HN567" s="134"/>
      <c r="HO567" s="137"/>
      <c r="HP567" s="150"/>
      <c r="HQ567" s="137"/>
      <c r="HR567" s="137"/>
      <c r="HS567" s="3"/>
      <c r="HT567" s="138"/>
      <c r="HU567" s="2"/>
      <c r="HV567" s="139"/>
      <c r="HW567" s="3"/>
      <c r="HX567" s="3"/>
      <c r="HY567" s="3"/>
      <c r="HZ567" s="3"/>
      <c r="IA567" s="3"/>
      <c r="IB567" s="3"/>
      <c r="IC567" s="3"/>
      <c r="ID567" s="3"/>
      <c r="IE567" s="3"/>
      <c r="IF567" s="3"/>
      <c r="IG567" s="131"/>
      <c r="IH567" s="15"/>
      <c r="II567" s="99"/>
      <c r="IJ567" s="149"/>
      <c r="IK567" s="134"/>
      <c r="IL567" s="134"/>
      <c r="IM567" s="137"/>
      <c r="IN567" s="150"/>
      <c r="IO567" s="137"/>
      <c r="IP567" s="137"/>
      <c r="IQ567" s="3"/>
      <c r="IR567" s="138"/>
      <c r="IS567" s="2"/>
      <c r="IT567" s="139"/>
      <c r="IU567" s="3"/>
      <c r="IV567" s="3"/>
    </row>
    <row r="568" spans="1:256" s="125" customFormat="1" ht="13.5" customHeight="1">
      <c r="A568" s="213">
        <v>4</v>
      </c>
      <c r="B568" s="60">
        <v>43095</v>
      </c>
      <c r="C568" s="18"/>
      <c r="D568" s="19" t="s">
        <v>359</v>
      </c>
      <c r="E568" s="20" t="s">
        <v>372</v>
      </c>
      <c r="F568" s="168" t="s">
        <v>766</v>
      </c>
      <c r="G568" s="63">
        <v>1709</v>
      </c>
      <c r="H568" s="121">
        <v>4671800</v>
      </c>
      <c r="I568" s="24"/>
      <c r="J568" s="24">
        <f t="shared" si="53"/>
        <v>4449333.333333333</v>
      </c>
      <c r="K568" s="24">
        <f t="shared" si="49"/>
        <v>4449333.333333333</v>
      </c>
      <c r="L568" s="123">
        <v>1</v>
      </c>
      <c r="M568" s="24">
        <f t="shared" si="50"/>
        <v>4449333.333333333</v>
      </c>
      <c r="N568" s="124">
        <f t="shared" si="51"/>
        <v>0</v>
      </c>
      <c r="O568" s="196" t="s">
        <v>311</v>
      </c>
      <c r="P568" s="3"/>
      <c r="Q568" s="140"/>
      <c r="R568" s="3"/>
      <c r="S568" s="3"/>
      <c r="T568" s="3"/>
      <c r="U568" s="3"/>
      <c r="V568" s="3"/>
      <c r="W568" s="3"/>
      <c r="X568" s="3"/>
      <c r="Y568" s="131"/>
      <c r="Z568" s="15"/>
      <c r="AA568" s="99"/>
      <c r="AB568" s="149"/>
      <c r="AC568" s="134"/>
      <c r="AD568" s="134"/>
      <c r="AE568" s="137"/>
      <c r="AF568" s="150"/>
      <c r="AG568" s="137"/>
      <c r="AH568" s="137"/>
      <c r="AI568" s="3"/>
      <c r="AJ568" s="138"/>
      <c r="AK568" s="2"/>
      <c r="AL568" s="139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131"/>
      <c r="AX568" s="15"/>
      <c r="AY568" s="99"/>
      <c r="AZ568" s="149"/>
      <c r="BA568" s="134"/>
      <c r="BB568" s="134"/>
      <c r="BC568" s="137"/>
      <c r="BD568" s="150"/>
      <c r="BE568" s="137"/>
      <c r="BF568" s="137"/>
      <c r="BG568" s="3"/>
      <c r="BH568" s="138"/>
      <c r="BI568" s="2"/>
      <c r="BJ568" s="139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131"/>
      <c r="BV568" s="15"/>
      <c r="BW568" s="99"/>
      <c r="BX568" s="149"/>
      <c r="BY568" s="134"/>
      <c r="BZ568" s="134"/>
      <c r="CA568" s="137"/>
      <c r="CB568" s="150"/>
      <c r="CC568" s="137"/>
      <c r="CD568" s="137"/>
      <c r="CE568" s="3"/>
      <c r="CF568" s="138"/>
      <c r="CG568" s="2"/>
      <c r="CH568" s="139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131"/>
      <c r="CT568" s="15"/>
      <c r="CU568" s="99"/>
      <c r="CV568" s="149"/>
      <c r="CW568" s="134"/>
      <c r="CX568" s="134"/>
      <c r="CY568" s="137"/>
      <c r="CZ568" s="150"/>
      <c r="DA568" s="137"/>
      <c r="DB568" s="137"/>
      <c r="DC568" s="3"/>
      <c r="DD568" s="138"/>
      <c r="DE568" s="2"/>
      <c r="DF568" s="139"/>
      <c r="DG568" s="3"/>
      <c r="DH568" s="3"/>
      <c r="DI568" s="3"/>
      <c r="DJ568" s="3"/>
      <c r="DK568" s="3"/>
      <c r="DL568" s="3"/>
      <c r="DM568" s="3"/>
      <c r="DN568" s="3"/>
      <c r="DO568" s="3"/>
      <c r="DP568" s="3"/>
      <c r="DQ568" s="131"/>
      <c r="DR568" s="15"/>
      <c r="DS568" s="99"/>
      <c r="DT568" s="149"/>
      <c r="DU568" s="134"/>
      <c r="DV568" s="134"/>
      <c r="DW568" s="137"/>
      <c r="DX568" s="150"/>
      <c r="DY568" s="137"/>
      <c r="DZ568" s="137"/>
      <c r="EA568" s="3"/>
      <c r="EB568" s="138"/>
      <c r="EC568" s="2"/>
      <c r="ED568" s="139"/>
      <c r="EE568" s="3"/>
      <c r="EF568" s="3"/>
      <c r="EG568" s="3"/>
      <c r="EH568" s="3"/>
      <c r="EI568" s="3"/>
      <c r="EJ568" s="3"/>
      <c r="EK568" s="3"/>
      <c r="EL568" s="3"/>
      <c r="EM568" s="3"/>
      <c r="EN568" s="3"/>
      <c r="EO568" s="131"/>
      <c r="EP568" s="15"/>
      <c r="EQ568" s="99"/>
      <c r="ER568" s="149"/>
      <c r="ES568" s="134"/>
      <c r="ET568" s="134"/>
      <c r="EU568" s="137"/>
      <c r="EV568" s="150"/>
      <c r="EW568" s="137"/>
      <c r="EX568" s="137"/>
      <c r="EY568" s="3"/>
      <c r="EZ568" s="138"/>
      <c r="FA568" s="2"/>
      <c r="FB568" s="139"/>
      <c r="FC568" s="3"/>
      <c r="FD568" s="3"/>
      <c r="FE568" s="3"/>
      <c r="FF568" s="3"/>
      <c r="FG568" s="3"/>
      <c r="FH568" s="3"/>
      <c r="FI568" s="3"/>
      <c r="FJ568" s="3"/>
      <c r="FK568" s="3"/>
      <c r="FL568" s="3"/>
      <c r="FM568" s="131"/>
      <c r="FN568" s="15"/>
      <c r="FO568" s="99"/>
      <c r="FP568" s="149"/>
      <c r="FQ568" s="134"/>
      <c r="FR568" s="134"/>
      <c r="FS568" s="137"/>
      <c r="FT568" s="150"/>
      <c r="FU568" s="137"/>
      <c r="FV568" s="137"/>
      <c r="FW568" s="3"/>
      <c r="FX568" s="138"/>
      <c r="FY568" s="2"/>
      <c r="FZ568" s="139"/>
      <c r="GA568" s="3"/>
      <c r="GB568" s="3"/>
      <c r="GC568" s="3"/>
      <c r="GD568" s="3"/>
      <c r="GE568" s="3"/>
      <c r="GF568" s="3"/>
      <c r="GG568" s="3"/>
      <c r="GH568" s="3"/>
      <c r="GI568" s="3"/>
      <c r="GJ568" s="3"/>
      <c r="GK568" s="131"/>
      <c r="GL568" s="15"/>
      <c r="GM568" s="99"/>
      <c r="GN568" s="149"/>
      <c r="GO568" s="134"/>
      <c r="GP568" s="134"/>
      <c r="GQ568" s="137"/>
      <c r="GR568" s="150"/>
      <c r="GS568" s="137"/>
      <c r="GT568" s="137"/>
      <c r="GU568" s="3"/>
      <c r="GV568" s="138"/>
      <c r="GW568" s="2"/>
      <c r="GX568" s="139"/>
      <c r="GY568" s="3"/>
      <c r="GZ568" s="3"/>
      <c r="HA568" s="3"/>
      <c r="HB568" s="3"/>
      <c r="HC568" s="3"/>
      <c r="HD568" s="3"/>
      <c r="HE568" s="3"/>
      <c r="HF568" s="3"/>
      <c r="HG568" s="3"/>
      <c r="HH568" s="3"/>
      <c r="HI568" s="131"/>
      <c r="HJ568" s="15"/>
      <c r="HK568" s="99"/>
      <c r="HL568" s="149"/>
      <c r="HM568" s="134"/>
      <c r="HN568" s="134"/>
      <c r="HO568" s="137"/>
      <c r="HP568" s="150"/>
      <c r="HQ568" s="137"/>
      <c r="HR568" s="137"/>
      <c r="HS568" s="3"/>
      <c r="HT568" s="138"/>
      <c r="HU568" s="2"/>
      <c r="HV568" s="139"/>
      <c r="HW568" s="3"/>
      <c r="HX568" s="3"/>
      <c r="HY568" s="3"/>
      <c r="HZ568" s="3"/>
      <c r="IA568" s="3"/>
      <c r="IB568" s="3"/>
      <c r="IC568" s="3"/>
      <c r="ID568" s="3"/>
      <c r="IE568" s="3"/>
      <c r="IF568" s="3"/>
      <c r="IG568" s="131"/>
      <c r="IH568" s="15"/>
      <c r="II568" s="99"/>
      <c r="IJ568" s="149"/>
      <c r="IK568" s="134"/>
      <c r="IL568" s="134"/>
      <c r="IM568" s="137"/>
      <c r="IN568" s="150"/>
      <c r="IO568" s="137"/>
      <c r="IP568" s="137"/>
      <c r="IQ568" s="3"/>
      <c r="IR568" s="138"/>
      <c r="IS568" s="2"/>
      <c r="IT568" s="139"/>
      <c r="IU568" s="3"/>
      <c r="IV568" s="3"/>
    </row>
    <row r="569" spans="1:256" s="125" customFormat="1" ht="13.5" customHeight="1">
      <c r="A569" s="213">
        <v>5</v>
      </c>
      <c r="B569" s="56">
        <v>43083</v>
      </c>
      <c r="C569" s="18"/>
      <c r="D569" s="19" t="s">
        <v>441</v>
      </c>
      <c r="E569" s="20" t="s">
        <v>447</v>
      </c>
      <c r="F569" s="62" t="s">
        <v>767</v>
      </c>
      <c r="G569" s="63">
        <v>1709</v>
      </c>
      <c r="H569" s="121">
        <v>1626200</v>
      </c>
      <c r="I569" s="24"/>
      <c r="J569" s="24">
        <f t="shared" si="53"/>
        <v>1548761.9047619046</v>
      </c>
      <c r="K569" s="24">
        <f t="shared" si="49"/>
        <v>1548761.9047619046</v>
      </c>
      <c r="L569" s="123">
        <v>1</v>
      </c>
      <c r="M569" s="24">
        <f t="shared" si="50"/>
        <v>1548761.9047619046</v>
      </c>
      <c r="N569" s="124">
        <f t="shared" si="51"/>
        <v>0</v>
      </c>
      <c r="O569" s="196" t="s">
        <v>311</v>
      </c>
      <c r="P569" s="3"/>
      <c r="Q569" s="140"/>
      <c r="R569" s="3"/>
      <c r="S569" s="3"/>
      <c r="T569" s="3"/>
      <c r="U569" s="3"/>
      <c r="V569" s="3"/>
      <c r="W569" s="3"/>
      <c r="X569" s="3"/>
      <c r="Y569" s="131"/>
      <c r="Z569" s="15"/>
      <c r="AA569" s="99"/>
      <c r="AB569" s="149"/>
      <c r="AC569" s="134"/>
      <c r="AD569" s="134"/>
      <c r="AE569" s="137"/>
      <c r="AF569" s="150"/>
      <c r="AG569" s="137"/>
      <c r="AH569" s="137"/>
      <c r="AI569" s="3"/>
      <c r="AJ569" s="138"/>
      <c r="AK569" s="2"/>
      <c r="AL569" s="139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131"/>
      <c r="AX569" s="15"/>
      <c r="AY569" s="99"/>
      <c r="AZ569" s="149"/>
      <c r="BA569" s="134"/>
      <c r="BB569" s="134"/>
      <c r="BC569" s="137"/>
      <c r="BD569" s="150"/>
      <c r="BE569" s="137"/>
      <c r="BF569" s="137"/>
      <c r="BG569" s="3"/>
      <c r="BH569" s="138"/>
      <c r="BI569" s="2"/>
      <c r="BJ569" s="139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131"/>
      <c r="BV569" s="15"/>
      <c r="BW569" s="99"/>
      <c r="BX569" s="149"/>
      <c r="BY569" s="134"/>
      <c r="BZ569" s="134"/>
      <c r="CA569" s="137"/>
      <c r="CB569" s="150"/>
      <c r="CC569" s="137"/>
      <c r="CD569" s="137"/>
      <c r="CE569" s="3"/>
      <c r="CF569" s="138"/>
      <c r="CG569" s="2"/>
      <c r="CH569" s="139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131"/>
      <c r="CT569" s="15"/>
      <c r="CU569" s="99"/>
      <c r="CV569" s="149"/>
      <c r="CW569" s="134"/>
      <c r="CX569" s="134"/>
      <c r="CY569" s="137"/>
      <c r="CZ569" s="150"/>
      <c r="DA569" s="137"/>
      <c r="DB569" s="137"/>
      <c r="DC569" s="3"/>
      <c r="DD569" s="138"/>
      <c r="DE569" s="2"/>
      <c r="DF569" s="139"/>
      <c r="DG569" s="3"/>
      <c r="DH569" s="3"/>
      <c r="DI569" s="3"/>
      <c r="DJ569" s="3"/>
      <c r="DK569" s="3"/>
      <c r="DL569" s="3"/>
      <c r="DM569" s="3"/>
      <c r="DN569" s="3"/>
      <c r="DO569" s="3"/>
      <c r="DP569" s="3"/>
      <c r="DQ569" s="131"/>
      <c r="DR569" s="15"/>
      <c r="DS569" s="99"/>
      <c r="DT569" s="149"/>
      <c r="DU569" s="134"/>
      <c r="DV569" s="134"/>
      <c r="DW569" s="137"/>
      <c r="DX569" s="150"/>
      <c r="DY569" s="137"/>
      <c r="DZ569" s="137"/>
      <c r="EA569" s="3"/>
      <c r="EB569" s="138"/>
      <c r="EC569" s="2"/>
      <c r="ED569" s="139"/>
      <c r="EE569" s="3"/>
      <c r="EF569" s="3"/>
      <c r="EG569" s="3"/>
      <c r="EH569" s="3"/>
      <c r="EI569" s="3"/>
      <c r="EJ569" s="3"/>
      <c r="EK569" s="3"/>
      <c r="EL569" s="3"/>
      <c r="EM569" s="3"/>
      <c r="EN569" s="3"/>
      <c r="EO569" s="131"/>
      <c r="EP569" s="15"/>
      <c r="EQ569" s="99"/>
      <c r="ER569" s="149"/>
      <c r="ES569" s="134"/>
      <c r="ET569" s="134"/>
      <c r="EU569" s="137"/>
      <c r="EV569" s="150"/>
      <c r="EW569" s="137"/>
      <c r="EX569" s="137"/>
      <c r="EY569" s="3"/>
      <c r="EZ569" s="138"/>
      <c r="FA569" s="2"/>
      <c r="FB569" s="139"/>
      <c r="FC569" s="3"/>
      <c r="FD569" s="3"/>
      <c r="FE569" s="3"/>
      <c r="FF569" s="3"/>
      <c r="FG569" s="3"/>
      <c r="FH569" s="3"/>
      <c r="FI569" s="3"/>
      <c r="FJ569" s="3"/>
      <c r="FK569" s="3"/>
      <c r="FL569" s="3"/>
      <c r="FM569" s="131"/>
      <c r="FN569" s="15"/>
      <c r="FO569" s="99"/>
      <c r="FP569" s="149"/>
      <c r="FQ569" s="134"/>
      <c r="FR569" s="134"/>
      <c r="FS569" s="137"/>
      <c r="FT569" s="150"/>
      <c r="FU569" s="137"/>
      <c r="FV569" s="137"/>
      <c r="FW569" s="3"/>
      <c r="FX569" s="138"/>
      <c r="FY569" s="2"/>
      <c r="FZ569" s="139"/>
      <c r="GA569" s="3"/>
      <c r="GB569" s="3"/>
      <c r="GC569" s="3"/>
      <c r="GD569" s="3"/>
      <c r="GE569" s="3"/>
      <c r="GF569" s="3"/>
      <c r="GG569" s="3"/>
      <c r="GH569" s="3"/>
      <c r="GI569" s="3"/>
      <c r="GJ569" s="3"/>
      <c r="GK569" s="131"/>
      <c r="GL569" s="15"/>
      <c r="GM569" s="99"/>
      <c r="GN569" s="149"/>
      <c r="GO569" s="134"/>
      <c r="GP569" s="134"/>
      <c r="GQ569" s="137"/>
      <c r="GR569" s="150"/>
      <c r="GS569" s="137"/>
      <c r="GT569" s="137"/>
      <c r="GU569" s="3"/>
      <c r="GV569" s="138"/>
      <c r="GW569" s="2"/>
      <c r="GX569" s="139"/>
      <c r="GY569" s="3"/>
      <c r="GZ569" s="3"/>
      <c r="HA569" s="3"/>
      <c r="HB569" s="3"/>
      <c r="HC569" s="3"/>
      <c r="HD569" s="3"/>
      <c r="HE569" s="3"/>
      <c r="HF569" s="3"/>
      <c r="HG569" s="3"/>
      <c r="HH569" s="3"/>
      <c r="HI569" s="131"/>
      <c r="HJ569" s="15"/>
      <c r="HK569" s="99"/>
      <c r="HL569" s="149"/>
      <c r="HM569" s="134"/>
      <c r="HN569" s="134"/>
      <c r="HO569" s="137"/>
      <c r="HP569" s="150"/>
      <c r="HQ569" s="137"/>
      <c r="HR569" s="137"/>
      <c r="HS569" s="3"/>
      <c r="HT569" s="138"/>
      <c r="HU569" s="2"/>
      <c r="HV569" s="139"/>
      <c r="HW569" s="3"/>
      <c r="HX569" s="3"/>
      <c r="HY569" s="3"/>
      <c r="HZ569" s="3"/>
      <c r="IA569" s="3"/>
      <c r="IB569" s="3"/>
      <c r="IC569" s="3"/>
      <c r="ID569" s="3"/>
      <c r="IE569" s="3"/>
      <c r="IF569" s="3"/>
      <c r="IG569" s="131"/>
      <c r="IH569" s="15"/>
      <c r="II569" s="99"/>
      <c r="IJ569" s="149"/>
      <c r="IK569" s="134"/>
      <c r="IL569" s="134"/>
      <c r="IM569" s="137"/>
      <c r="IN569" s="150"/>
      <c r="IO569" s="137"/>
      <c r="IP569" s="137"/>
      <c r="IQ569" s="3"/>
      <c r="IR569" s="138"/>
      <c r="IS569" s="2"/>
      <c r="IT569" s="139"/>
      <c r="IU569" s="3"/>
      <c r="IV569" s="3"/>
    </row>
    <row r="570" spans="1:256" s="125" customFormat="1" ht="13.5" customHeight="1">
      <c r="A570" s="213">
        <v>6</v>
      </c>
      <c r="B570" s="56">
        <v>43089</v>
      </c>
      <c r="C570" s="18"/>
      <c r="D570" s="19" t="s">
        <v>441</v>
      </c>
      <c r="E570" s="20" t="s">
        <v>447</v>
      </c>
      <c r="F570" s="82" t="s">
        <v>768</v>
      </c>
      <c r="G570" s="63">
        <v>1710</v>
      </c>
      <c r="H570" s="121">
        <v>1626200</v>
      </c>
      <c r="I570" s="24"/>
      <c r="J570" s="24">
        <f t="shared" si="53"/>
        <v>1548761.9047619046</v>
      </c>
      <c r="K570" s="24">
        <f t="shared" si="49"/>
        <v>1548761.9047619046</v>
      </c>
      <c r="L570" s="26">
        <v>1</v>
      </c>
      <c r="M570" s="24">
        <f t="shared" si="50"/>
        <v>1548761.9047619046</v>
      </c>
      <c r="N570" s="124">
        <f t="shared" si="51"/>
        <v>0</v>
      </c>
      <c r="O570" s="196" t="s">
        <v>311</v>
      </c>
      <c r="P570" s="3"/>
      <c r="Q570" s="140"/>
      <c r="R570" s="3"/>
      <c r="S570" s="3"/>
      <c r="T570" s="3"/>
      <c r="U570" s="3"/>
      <c r="V570" s="3"/>
      <c r="W570" s="3"/>
      <c r="X570" s="3"/>
      <c r="Y570" s="131"/>
      <c r="Z570" s="15"/>
      <c r="AA570" s="99"/>
      <c r="AB570" s="149"/>
      <c r="AC570" s="134"/>
      <c r="AD570" s="134"/>
      <c r="AE570" s="137"/>
      <c r="AF570" s="150"/>
      <c r="AG570" s="137"/>
      <c r="AH570" s="137"/>
      <c r="AI570" s="3"/>
      <c r="AJ570" s="138"/>
      <c r="AK570" s="2"/>
      <c r="AL570" s="139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131"/>
      <c r="AX570" s="15"/>
      <c r="AY570" s="99"/>
      <c r="AZ570" s="149"/>
      <c r="BA570" s="134"/>
      <c r="BB570" s="134"/>
      <c r="BC570" s="137"/>
      <c r="BD570" s="150"/>
      <c r="BE570" s="137"/>
      <c r="BF570" s="137"/>
      <c r="BG570" s="3"/>
      <c r="BH570" s="138"/>
      <c r="BI570" s="2"/>
      <c r="BJ570" s="139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131"/>
      <c r="BV570" s="15"/>
      <c r="BW570" s="99"/>
      <c r="BX570" s="149"/>
      <c r="BY570" s="134"/>
      <c r="BZ570" s="134"/>
      <c r="CA570" s="137"/>
      <c r="CB570" s="150"/>
      <c r="CC570" s="137"/>
      <c r="CD570" s="137"/>
      <c r="CE570" s="3"/>
      <c r="CF570" s="138"/>
      <c r="CG570" s="2"/>
      <c r="CH570" s="139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131"/>
      <c r="CT570" s="15"/>
      <c r="CU570" s="99"/>
      <c r="CV570" s="149"/>
      <c r="CW570" s="134"/>
      <c r="CX570" s="134"/>
      <c r="CY570" s="137"/>
      <c r="CZ570" s="150"/>
      <c r="DA570" s="137"/>
      <c r="DB570" s="137"/>
      <c r="DC570" s="3"/>
      <c r="DD570" s="138"/>
      <c r="DE570" s="2"/>
      <c r="DF570" s="139"/>
      <c r="DG570" s="3"/>
      <c r="DH570" s="3"/>
      <c r="DI570" s="3"/>
      <c r="DJ570" s="3"/>
      <c r="DK570" s="3"/>
      <c r="DL570" s="3"/>
      <c r="DM570" s="3"/>
      <c r="DN570" s="3"/>
      <c r="DO570" s="3"/>
      <c r="DP570" s="3"/>
      <c r="DQ570" s="131"/>
      <c r="DR570" s="15"/>
      <c r="DS570" s="99"/>
      <c r="DT570" s="149"/>
      <c r="DU570" s="134"/>
      <c r="DV570" s="134"/>
      <c r="DW570" s="137"/>
      <c r="DX570" s="150"/>
      <c r="DY570" s="137"/>
      <c r="DZ570" s="137"/>
      <c r="EA570" s="3"/>
      <c r="EB570" s="138"/>
      <c r="EC570" s="2"/>
      <c r="ED570" s="139"/>
      <c r="EE570" s="3"/>
      <c r="EF570" s="3"/>
      <c r="EG570" s="3"/>
      <c r="EH570" s="3"/>
      <c r="EI570" s="3"/>
      <c r="EJ570" s="3"/>
      <c r="EK570" s="3"/>
      <c r="EL570" s="3"/>
      <c r="EM570" s="3"/>
      <c r="EN570" s="3"/>
      <c r="EO570" s="131"/>
      <c r="EP570" s="15"/>
      <c r="EQ570" s="99"/>
      <c r="ER570" s="149"/>
      <c r="ES570" s="134"/>
      <c r="ET570" s="134"/>
      <c r="EU570" s="137"/>
      <c r="EV570" s="150"/>
      <c r="EW570" s="137"/>
      <c r="EX570" s="137"/>
      <c r="EY570" s="3"/>
      <c r="EZ570" s="138"/>
      <c r="FA570" s="2"/>
      <c r="FB570" s="139"/>
      <c r="FC570" s="3"/>
      <c r="FD570" s="3"/>
      <c r="FE570" s="3"/>
      <c r="FF570" s="3"/>
      <c r="FG570" s="3"/>
      <c r="FH570" s="3"/>
      <c r="FI570" s="3"/>
      <c r="FJ570" s="3"/>
      <c r="FK570" s="3"/>
      <c r="FL570" s="3"/>
      <c r="FM570" s="131"/>
      <c r="FN570" s="15"/>
      <c r="FO570" s="99"/>
      <c r="FP570" s="149"/>
      <c r="FQ570" s="134"/>
      <c r="FR570" s="134"/>
      <c r="FS570" s="137"/>
      <c r="FT570" s="150"/>
      <c r="FU570" s="137"/>
      <c r="FV570" s="137"/>
      <c r="FW570" s="3"/>
      <c r="FX570" s="138"/>
      <c r="FY570" s="2"/>
      <c r="FZ570" s="139"/>
      <c r="GA570" s="3"/>
      <c r="GB570" s="3"/>
      <c r="GC570" s="3"/>
      <c r="GD570" s="3"/>
      <c r="GE570" s="3"/>
      <c r="GF570" s="3"/>
      <c r="GG570" s="3"/>
      <c r="GH570" s="3"/>
      <c r="GI570" s="3"/>
      <c r="GJ570" s="3"/>
      <c r="GK570" s="131"/>
      <c r="GL570" s="15"/>
      <c r="GM570" s="99"/>
      <c r="GN570" s="149"/>
      <c r="GO570" s="134"/>
      <c r="GP570" s="134"/>
      <c r="GQ570" s="137"/>
      <c r="GR570" s="150"/>
      <c r="GS570" s="137"/>
      <c r="GT570" s="137"/>
      <c r="GU570" s="3"/>
      <c r="GV570" s="138"/>
      <c r="GW570" s="2"/>
      <c r="GX570" s="139"/>
      <c r="GY570" s="3"/>
      <c r="GZ570" s="3"/>
      <c r="HA570" s="3"/>
      <c r="HB570" s="3"/>
      <c r="HC570" s="3"/>
      <c r="HD570" s="3"/>
      <c r="HE570" s="3"/>
      <c r="HF570" s="3"/>
      <c r="HG570" s="3"/>
      <c r="HH570" s="3"/>
      <c r="HI570" s="131"/>
      <c r="HJ570" s="15"/>
      <c r="HK570" s="99"/>
      <c r="HL570" s="149"/>
      <c r="HM570" s="134"/>
      <c r="HN570" s="134"/>
      <c r="HO570" s="137"/>
      <c r="HP570" s="150"/>
      <c r="HQ570" s="137"/>
      <c r="HR570" s="137"/>
      <c r="HS570" s="3"/>
      <c r="HT570" s="138"/>
      <c r="HU570" s="2"/>
      <c r="HV570" s="139"/>
      <c r="HW570" s="3"/>
      <c r="HX570" s="3"/>
      <c r="HY570" s="3"/>
      <c r="HZ570" s="3"/>
      <c r="IA570" s="3"/>
      <c r="IB570" s="3"/>
      <c r="IC570" s="3"/>
      <c r="ID570" s="3"/>
      <c r="IE570" s="3"/>
      <c r="IF570" s="3"/>
      <c r="IG570" s="131"/>
      <c r="IH570" s="15"/>
      <c r="II570" s="99"/>
      <c r="IJ570" s="149"/>
      <c r="IK570" s="134"/>
      <c r="IL570" s="134"/>
      <c r="IM570" s="137"/>
      <c r="IN570" s="150"/>
      <c r="IO570" s="137"/>
      <c r="IP570" s="137"/>
      <c r="IQ570" s="3"/>
      <c r="IR570" s="138"/>
      <c r="IS570" s="2"/>
      <c r="IT570" s="139"/>
      <c r="IU570" s="3"/>
      <c r="IV570" s="3"/>
    </row>
    <row r="571" spans="1:256" s="125" customFormat="1" ht="13.5" customHeight="1">
      <c r="A571" s="213">
        <v>7</v>
      </c>
      <c r="B571" s="56">
        <v>43089</v>
      </c>
      <c r="C571" s="18"/>
      <c r="D571" s="19" t="s">
        <v>441</v>
      </c>
      <c r="E571" s="20" t="s">
        <v>454</v>
      </c>
      <c r="F571" s="82" t="s">
        <v>769</v>
      </c>
      <c r="G571" s="63">
        <v>1708</v>
      </c>
      <c r="H571" s="121">
        <v>1823600</v>
      </c>
      <c r="I571" s="24"/>
      <c r="J571" s="24">
        <f t="shared" si="53"/>
        <v>1736761.9047619046</v>
      </c>
      <c r="K571" s="24">
        <f t="shared" si="49"/>
        <v>1736761.9047619046</v>
      </c>
      <c r="L571" s="123">
        <v>1</v>
      </c>
      <c r="M571" s="24">
        <f t="shared" si="50"/>
        <v>1736761.9047619046</v>
      </c>
      <c r="N571" s="124">
        <f t="shared" si="51"/>
        <v>0</v>
      </c>
      <c r="O571" s="196" t="s">
        <v>311</v>
      </c>
      <c r="P571" s="3"/>
      <c r="Q571" s="140"/>
      <c r="R571" s="3"/>
      <c r="S571" s="3"/>
      <c r="T571" s="3"/>
      <c r="U571" s="3"/>
      <c r="V571" s="3"/>
      <c r="W571" s="3"/>
      <c r="X571" s="3"/>
      <c r="Y571" s="131"/>
      <c r="Z571" s="15"/>
      <c r="AA571" s="99"/>
      <c r="AB571" s="149"/>
      <c r="AC571" s="134"/>
      <c r="AD571" s="134"/>
      <c r="AE571" s="137"/>
      <c r="AF571" s="150"/>
      <c r="AG571" s="137"/>
      <c r="AH571" s="137"/>
      <c r="AI571" s="3"/>
      <c r="AJ571" s="138"/>
      <c r="AK571" s="2"/>
      <c r="AL571" s="139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131"/>
      <c r="AX571" s="15"/>
      <c r="AY571" s="99"/>
      <c r="AZ571" s="149"/>
      <c r="BA571" s="134"/>
      <c r="BB571" s="134"/>
      <c r="BC571" s="137"/>
      <c r="BD571" s="150"/>
      <c r="BE571" s="137"/>
      <c r="BF571" s="137"/>
      <c r="BG571" s="3"/>
      <c r="BH571" s="138"/>
      <c r="BI571" s="2"/>
      <c r="BJ571" s="139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131"/>
      <c r="BV571" s="15"/>
      <c r="BW571" s="99"/>
      <c r="BX571" s="149"/>
      <c r="BY571" s="134"/>
      <c r="BZ571" s="134"/>
      <c r="CA571" s="137"/>
      <c r="CB571" s="150"/>
      <c r="CC571" s="137"/>
      <c r="CD571" s="137"/>
      <c r="CE571" s="3"/>
      <c r="CF571" s="138"/>
      <c r="CG571" s="2"/>
      <c r="CH571" s="139"/>
      <c r="CI571" s="3"/>
      <c r="CJ571" s="3"/>
      <c r="CK571" s="3"/>
      <c r="CL571" s="3"/>
      <c r="CM571" s="3"/>
      <c r="CN571" s="3"/>
      <c r="CO571" s="3"/>
      <c r="CP571" s="3"/>
      <c r="CQ571" s="3"/>
      <c r="CR571" s="3"/>
      <c r="CS571" s="131"/>
      <c r="CT571" s="15"/>
      <c r="CU571" s="99"/>
      <c r="CV571" s="149"/>
      <c r="CW571" s="134"/>
      <c r="CX571" s="134"/>
      <c r="CY571" s="137"/>
      <c r="CZ571" s="150"/>
      <c r="DA571" s="137"/>
      <c r="DB571" s="137"/>
      <c r="DC571" s="3"/>
      <c r="DD571" s="138"/>
      <c r="DE571" s="2"/>
      <c r="DF571" s="139"/>
      <c r="DG571" s="3"/>
      <c r="DH571" s="3"/>
      <c r="DI571" s="3"/>
      <c r="DJ571" s="3"/>
      <c r="DK571" s="3"/>
      <c r="DL571" s="3"/>
      <c r="DM571" s="3"/>
      <c r="DN571" s="3"/>
      <c r="DO571" s="3"/>
      <c r="DP571" s="3"/>
      <c r="DQ571" s="131"/>
      <c r="DR571" s="15"/>
      <c r="DS571" s="99"/>
      <c r="DT571" s="149"/>
      <c r="DU571" s="134"/>
      <c r="DV571" s="134"/>
      <c r="DW571" s="137"/>
      <c r="DX571" s="150"/>
      <c r="DY571" s="137"/>
      <c r="DZ571" s="137"/>
      <c r="EA571" s="3"/>
      <c r="EB571" s="138"/>
      <c r="EC571" s="2"/>
      <c r="ED571" s="139"/>
      <c r="EE571" s="3"/>
      <c r="EF571" s="3"/>
      <c r="EG571" s="3"/>
      <c r="EH571" s="3"/>
      <c r="EI571" s="3"/>
      <c r="EJ571" s="3"/>
      <c r="EK571" s="3"/>
      <c r="EL571" s="3"/>
      <c r="EM571" s="3"/>
      <c r="EN571" s="3"/>
      <c r="EO571" s="131"/>
      <c r="EP571" s="15"/>
      <c r="EQ571" s="99"/>
      <c r="ER571" s="149"/>
      <c r="ES571" s="134"/>
      <c r="ET571" s="134"/>
      <c r="EU571" s="137"/>
      <c r="EV571" s="150"/>
      <c r="EW571" s="137"/>
      <c r="EX571" s="137"/>
      <c r="EY571" s="3"/>
      <c r="EZ571" s="138"/>
      <c r="FA571" s="2"/>
      <c r="FB571" s="139"/>
      <c r="FC571" s="3"/>
      <c r="FD571" s="3"/>
      <c r="FE571" s="3"/>
      <c r="FF571" s="3"/>
      <c r="FG571" s="3"/>
      <c r="FH571" s="3"/>
      <c r="FI571" s="3"/>
      <c r="FJ571" s="3"/>
      <c r="FK571" s="3"/>
      <c r="FL571" s="3"/>
      <c r="FM571" s="131"/>
      <c r="FN571" s="15"/>
      <c r="FO571" s="99"/>
      <c r="FP571" s="149"/>
      <c r="FQ571" s="134"/>
      <c r="FR571" s="134"/>
      <c r="FS571" s="137"/>
      <c r="FT571" s="150"/>
      <c r="FU571" s="137"/>
      <c r="FV571" s="137"/>
      <c r="FW571" s="3"/>
      <c r="FX571" s="138"/>
      <c r="FY571" s="2"/>
      <c r="FZ571" s="139"/>
      <c r="GA571" s="3"/>
      <c r="GB571" s="3"/>
      <c r="GC571" s="3"/>
      <c r="GD571" s="3"/>
      <c r="GE571" s="3"/>
      <c r="GF571" s="3"/>
      <c r="GG571" s="3"/>
      <c r="GH571" s="3"/>
      <c r="GI571" s="3"/>
      <c r="GJ571" s="3"/>
      <c r="GK571" s="131"/>
      <c r="GL571" s="15"/>
      <c r="GM571" s="99"/>
      <c r="GN571" s="149"/>
      <c r="GO571" s="134"/>
      <c r="GP571" s="134"/>
      <c r="GQ571" s="137"/>
      <c r="GR571" s="150"/>
      <c r="GS571" s="137"/>
      <c r="GT571" s="137"/>
      <c r="GU571" s="3"/>
      <c r="GV571" s="138"/>
      <c r="GW571" s="2"/>
      <c r="GX571" s="139"/>
      <c r="GY571" s="3"/>
      <c r="GZ571" s="3"/>
      <c r="HA571" s="3"/>
      <c r="HB571" s="3"/>
      <c r="HC571" s="3"/>
      <c r="HD571" s="3"/>
      <c r="HE571" s="3"/>
      <c r="HF571" s="3"/>
      <c r="HG571" s="3"/>
      <c r="HH571" s="3"/>
      <c r="HI571" s="131"/>
      <c r="HJ571" s="15"/>
      <c r="HK571" s="99"/>
      <c r="HL571" s="149"/>
      <c r="HM571" s="134"/>
      <c r="HN571" s="134"/>
      <c r="HO571" s="137"/>
      <c r="HP571" s="150"/>
      <c r="HQ571" s="137"/>
      <c r="HR571" s="137"/>
      <c r="HS571" s="3"/>
      <c r="HT571" s="138"/>
      <c r="HU571" s="2"/>
      <c r="HV571" s="139"/>
      <c r="HW571" s="3"/>
      <c r="HX571" s="3"/>
      <c r="HY571" s="3"/>
      <c r="HZ571" s="3"/>
      <c r="IA571" s="3"/>
      <c r="IB571" s="3"/>
      <c r="IC571" s="3"/>
      <c r="ID571" s="3"/>
      <c r="IE571" s="3"/>
      <c r="IF571" s="3"/>
      <c r="IG571" s="131"/>
      <c r="IH571" s="15"/>
      <c r="II571" s="99"/>
      <c r="IJ571" s="149"/>
      <c r="IK571" s="134"/>
      <c r="IL571" s="134"/>
      <c r="IM571" s="137"/>
      <c r="IN571" s="150"/>
      <c r="IO571" s="137"/>
      <c r="IP571" s="137"/>
      <c r="IQ571" s="3"/>
      <c r="IR571" s="138"/>
      <c r="IS571" s="2"/>
      <c r="IT571" s="139"/>
      <c r="IU571" s="3"/>
      <c r="IV571" s="3"/>
    </row>
    <row r="572" spans="1:256" s="125" customFormat="1" ht="13.5" customHeight="1">
      <c r="A572" s="213">
        <v>8</v>
      </c>
      <c r="B572" s="56">
        <v>43081</v>
      </c>
      <c r="C572" s="18"/>
      <c r="D572" s="19" t="s">
        <v>284</v>
      </c>
      <c r="E572" s="20" t="s">
        <v>285</v>
      </c>
      <c r="F572" s="82" t="s">
        <v>770</v>
      </c>
      <c r="G572" s="63">
        <v>1708</v>
      </c>
      <c r="H572" s="121">
        <v>1406000</v>
      </c>
      <c r="I572" s="24"/>
      <c r="J572" s="24">
        <f t="shared" si="53"/>
        <v>1339047.6190476189</v>
      </c>
      <c r="K572" s="24">
        <f t="shared" si="49"/>
        <v>1339047.6190476189</v>
      </c>
      <c r="L572" s="123">
        <v>1</v>
      </c>
      <c r="M572" s="24">
        <f t="shared" si="50"/>
        <v>1339047.6190476189</v>
      </c>
      <c r="N572" s="124">
        <f t="shared" si="51"/>
        <v>0</v>
      </c>
      <c r="O572" s="196" t="s">
        <v>226</v>
      </c>
      <c r="P572" s="3"/>
      <c r="Q572" s="140"/>
      <c r="R572" s="3"/>
      <c r="S572" s="3"/>
      <c r="T572" s="3"/>
      <c r="U572" s="3"/>
      <c r="V572" s="3"/>
      <c r="W572" s="3"/>
      <c r="X572" s="3"/>
      <c r="Y572" s="131"/>
      <c r="Z572" s="15"/>
      <c r="AA572" s="99"/>
      <c r="AB572" s="149"/>
      <c r="AC572" s="134"/>
      <c r="AD572" s="134"/>
      <c r="AE572" s="137"/>
      <c r="AF572" s="150"/>
      <c r="AG572" s="137"/>
      <c r="AH572" s="137"/>
      <c r="AI572" s="3"/>
      <c r="AJ572" s="138"/>
      <c r="AK572" s="2"/>
      <c r="AL572" s="139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131"/>
      <c r="AX572" s="15"/>
      <c r="AY572" s="99"/>
      <c r="AZ572" s="149"/>
      <c r="BA572" s="134"/>
      <c r="BB572" s="134"/>
      <c r="BC572" s="137"/>
      <c r="BD572" s="150"/>
      <c r="BE572" s="137"/>
      <c r="BF572" s="137"/>
      <c r="BG572" s="3"/>
      <c r="BH572" s="138"/>
      <c r="BI572" s="2"/>
      <c r="BJ572" s="139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131"/>
      <c r="BV572" s="15"/>
      <c r="BW572" s="99"/>
      <c r="BX572" s="149"/>
      <c r="BY572" s="134"/>
      <c r="BZ572" s="134"/>
      <c r="CA572" s="137"/>
      <c r="CB572" s="150"/>
      <c r="CC572" s="137"/>
      <c r="CD572" s="137"/>
      <c r="CE572" s="3"/>
      <c r="CF572" s="138"/>
      <c r="CG572" s="2"/>
      <c r="CH572" s="139"/>
      <c r="CI572" s="3"/>
      <c r="CJ572" s="3"/>
      <c r="CK572" s="3"/>
      <c r="CL572" s="3"/>
      <c r="CM572" s="3"/>
      <c r="CN572" s="3"/>
      <c r="CO572" s="3"/>
      <c r="CP572" s="3"/>
      <c r="CQ572" s="3"/>
      <c r="CR572" s="3"/>
      <c r="CS572" s="131"/>
      <c r="CT572" s="15"/>
      <c r="CU572" s="99"/>
      <c r="CV572" s="149"/>
      <c r="CW572" s="134"/>
      <c r="CX572" s="134"/>
      <c r="CY572" s="137"/>
      <c r="CZ572" s="150"/>
      <c r="DA572" s="137"/>
      <c r="DB572" s="137"/>
      <c r="DC572" s="3"/>
      <c r="DD572" s="138"/>
      <c r="DE572" s="2"/>
      <c r="DF572" s="139"/>
      <c r="DG572" s="3"/>
      <c r="DH572" s="3"/>
      <c r="DI572" s="3"/>
      <c r="DJ572" s="3"/>
      <c r="DK572" s="3"/>
      <c r="DL572" s="3"/>
      <c r="DM572" s="3"/>
      <c r="DN572" s="3"/>
      <c r="DO572" s="3"/>
      <c r="DP572" s="3"/>
      <c r="DQ572" s="131"/>
      <c r="DR572" s="15"/>
      <c r="DS572" s="99"/>
      <c r="DT572" s="149"/>
      <c r="DU572" s="134"/>
      <c r="DV572" s="134"/>
      <c r="DW572" s="137"/>
      <c r="DX572" s="150"/>
      <c r="DY572" s="137"/>
      <c r="DZ572" s="137"/>
      <c r="EA572" s="3"/>
      <c r="EB572" s="138"/>
      <c r="EC572" s="2"/>
      <c r="ED572" s="139"/>
      <c r="EE572" s="3"/>
      <c r="EF572" s="3"/>
      <c r="EG572" s="3"/>
      <c r="EH572" s="3"/>
      <c r="EI572" s="3"/>
      <c r="EJ572" s="3"/>
      <c r="EK572" s="3"/>
      <c r="EL572" s="3"/>
      <c r="EM572" s="3"/>
      <c r="EN572" s="3"/>
      <c r="EO572" s="131"/>
      <c r="EP572" s="15"/>
      <c r="EQ572" s="99"/>
      <c r="ER572" s="149"/>
      <c r="ES572" s="134"/>
      <c r="ET572" s="134"/>
      <c r="EU572" s="137"/>
      <c r="EV572" s="150"/>
      <c r="EW572" s="137"/>
      <c r="EX572" s="137"/>
      <c r="EY572" s="3"/>
      <c r="EZ572" s="138"/>
      <c r="FA572" s="2"/>
      <c r="FB572" s="139"/>
      <c r="FC572" s="3"/>
      <c r="FD572" s="3"/>
      <c r="FE572" s="3"/>
      <c r="FF572" s="3"/>
      <c r="FG572" s="3"/>
      <c r="FH572" s="3"/>
      <c r="FI572" s="3"/>
      <c r="FJ572" s="3"/>
      <c r="FK572" s="3"/>
      <c r="FL572" s="3"/>
      <c r="FM572" s="131"/>
      <c r="FN572" s="15"/>
      <c r="FO572" s="99"/>
      <c r="FP572" s="149"/>
      <c r="FQ572" s="134"/>
      <c r="FR572" s="134"/>
      <c r="FS572" s="137"/>
      <c r="FT572" s="150"/>
      <c r="FU572" s="137"/>
      <c r="FV572" s="137"/>
      <c r="FW572" s="3"/>
      <c r="FX572" s="138"/>
      <c r="FY572" s="2"/>
      <c r="FZ572" s="139"/>
      <c r="GA572" s="3"/>
      <c r="GB572" s="3"/>
      <c r="GC572" s="3"/>
      <c r="GD572" s="3"/>
      <c r="GE572" s="3"/>
      <c r="GF572" s="3"/>
      <c r="GG572" s="3"/>
      <c r="GH572" s="3"/>
      <c r="GI572" s="3"/>
      <c r="GJ572" s="3"/>
      <c r="GK572" s="131"/>
      <c r="GL572" s="15"/>
      <c r="GM572" s="99"/>
      <c r="GN572" s="149"/>
      <c r="GO572" s="134"/>
      <c r="GP572" s="134"/>
      <c r="GQ572" s="137"/>
      <c r="GR572" s="150"/>
      <c r="GS572" s="137"/>
      <c r="GT572" s="137"/>
      <c r="GU572" s="3"/>
      <c r="GV572" s="138"/>
      <c r="GW572" s="2"/>
      <c r="GX572" s="139"/>
      <c r="GY572" s="3"/>
      <c r="GZ572" s="3"/>
      <c r="HA572" s="3"/>
      <c r="HB572" s="3"/>
      <c r="HC572" s="3"/>
      <c r="HD572" s="3"/>
      <c r="HE572" s="3"/>
      <c r="HF572" s="3"/>
      <c r="HG572" s="3"/>
      <c r="HH572" s="3"/>
      <c r="HI572" s="131"/>
      <c r="HJ572" s="15"/>
      <c r="HK572" s="99"/>
      <c r="HL572" s="149"/>
      <c r="HM572" s="134"/>
      <c r="HN572" s="134"/>
      <c r="HO572" s="137"/>
      <c r="HP572" s="150"/>
      <c r="HQ572" s="137"/>
      <c r="HR572" s="137"/>
      <c r="HS572" s="3"/>
      <c r="HT572" s="138"/>
      <c r="HU572" s="2"/>
      <c r="HV572" s="139"/>
      <c r="HW572" s="3"/>
      <c r="HX572" s="3"/>
      <c r="HY572" s="3"/>
      <c r="HZ572" s="3"/>
      <c r="IA572" s="3"/>
      <c r="IB572" s="3"/>
      <c r="IC572" s="3"/>
      <c r="ID572" s="3"/>
      <c r="IE572" s="3"/>
      <c r="IF572" s="3"/>
      <c r="IG572" s="131"/>
      <c r="IH572" s="15"/>
      <c r="II572" s="99"/>
      <c r="IJ572" s="149"/>
      <c r="IK572" s="134"/>
      <c r="IL572" s="134"/>
      <c r="IM572" s="137"/>
      <c r="IN572" s="150"/>
      <c r="IO572" s="137"/>
      <c r="IP572" s="137"/>
      <c r="IQ572" s="3"/>
      <c r="IR572" s="138"/>
      <c r="IS572" s="2"/>
      <c r="IT572" s="139"/>
      <c r="IU572" s="3"/>
      <c r="IV572" s="3"/>
    </row>
    <row r="573" spans="1:256" s="125" customFormat="1" ht="13.5" customHeight="1">
      <c r="A573" s="213">
        <v>9</v>
      </c>
      <c r="B573" s="83">
        <v>43080</v>
      </c>
      <c r="C573" s="18"/>
      <c r="D573" s="19" t="s">
        <v>305</v>
      </c>
      <c r="E573" s="20" t="s">
        <v>536</v>
      </c>
      <c r="F573" s="82" t="s">
        <v>771</v>
      </c>
      <c r="G573" s="63">
        <v>1709</v>
      </c>
      <c r="H573" s="121">
        <v>1840000</v>
      </c>
      <c r="I573" s="24"/>
      <c r="J573" s="24">
        <f t="shared" si="53"/>
        <v>1752380.9523809522</v>
      </c>
      <c r="K573" s="24">
        <f t="shared" si="49"/>
        <v>1752380.9523809522</v>
      </c>
      <c r="L573" s="123">
        <v>1</v>
      </c>
      <c r="M573" s="24">
        <f t="shared" si="50"/>
        <v>1752380.9523809522</v>
      </c>
      <c r="N573" s="124">
        <f t="shared" si="51"/>
        <v>0</v>
      </c>
      <c r="O573" s="196" t="s">
        <v>226</v>
      </c>
      <c r="P573" s="3"/>
      <c r="Q573" s="140"/>
      <c r="R573" s="3"/>
      <c r="S573" s="3"/>
      <c r="T573" s="3"/>
      <c r="U573" s="3"/>
      <c r="V573" s="3"/>
      <c r="W573" s="3"/>
      <c r="X573" s="3"/>
      <c r="Y573" s="131"/>
      <c r="Z573" s="15"/>
      <c r="AA573" s="99"/>
      <c r="AB573" s="149"/>
      <c r="AC573" s="134"/>
      <c r="AD573" s="134"/>
      <c r="AE573" s="137"/>
      <c r="AF573" s="150"/>
      <c r="AG573" s="137"/>
      <c r="AH573" s="137"/>
      <c r="AI573" s="3"/>
      <c r="AJ573" s="138"/>
      <c r="AK573" s="2"/>
      <c r="AL573" s="139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131"/>
      <c r="AX573" s="15"/>
      <c r="AY573" s="99"/>
      <c r="AZ573" s="149"/>
      <c r="BA573" s="134"/>
      <c r="BB573" s="134"/>
      <c r="BC573" s="137"/>
      <c r="BD573" s="150"/>
      <c r="BE573" s="137"/>
      <c r="BF573" s="137"/>
      <c r="BG573" s="3"/>
      <c r="BH573" s="138"/>
      <c r="BI573" s="2"/>
      <c r="BJ573" s="139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131"/>
      <c r="BV573" s="15"/>
      <c r="BW573" s="99"/>
      <c r="BX573" s="149"/>
      <c r="BY573" s="134"/>
      <c r="BZ573" s="134"/>
      <c r="CA573" s="137"/>
      <c r="CB573" s="150"/>
      <c r="CC573" s="137"/>
      <c r="CD573" s="137"/>
      <c r="CE573" s="3"/>
      <c r="CF573" s="138"/>
      <c r="CG573" s="2"/>
      <c r="CH573" s="139"/>
      <c r="CI573" s="3"/>
      <c r="CJ573" s="3"/>
      <c r="CK573" s="3"/>
      <c r="CL573" s="3"/>
      <c r="CM573" s="3"/>
      <c r="CN573" s="3"/>
      <c r="CO573" s="3"/>
      <c r="CP573" s="3"/>
      <c r="CQ573" s="3"/>
      <c r="CR573" s="3"/>
      <c r="CS573" s="131"/>
      <c r="CT573" s="15"/>
      <c r="CU573" s="99"/>
      <c r="CV573" s="149"/>
      <c r="CW573" s="134"/>
      <c r="CX573" s="134"/>
      <c r="CY573" s="137"/>
      <c r="CZ573" s="150"/>
      <c r="DA573" s="137"/>
      <c r="DB573" s="137"/>
      <c r="DC573" s="3"/>
      <c r="DD573" s="138"/>
      <c r="DE573" s="2"/>
      <c r="DF573" s="139"/>
      <c r="DG573" s="3"/>
      <c r="DH573" s="3"/>
      <c r="DI573" s="3"/>
      <c r="DJ573" s="3"/>
      <c r="DK573" s="3"/>
      <c r="DL573" s="3"/>
      <c r="DM573" s="3"/>
      <c r="DN573" s="3"/>
      <c r="DO573" s="3"/>
      <c r="DP573" s="3"/>
      <c r="DQ573" s="131"/>
      <c r="DR573" s="15"/>
      <c r="DS573" s="99"/>
      <c r="DT573" s="149"/>
      <c r="DU573" s="134"/>
      <c r="DV573" s="134"/>
      <c r="DW573" s="137"/>
      <c r="DX573" s="150"/>
      <c r="DY573" s="137"/>
      <c r="DZ573" s="137"/>
      <c r="EA573" s="3"/>
      <c r="EB573" s="138"/>
      <c r="EC573" s="2"/>
      <c r="ED573" s="139"/>
      <c r="EE573" s="3"/>
      <c r="EF573" s="3"/>
      <c r="EG573" s="3"/>
      <c r="EH573" s="3"/>
      <c r="EI573" s="3"/>
      <c r="EJ573" s="3"/>
      <c r="EK573" s="3"/>
      <c r="EL573" s="3"/>
      <c r="EM573" s="3"/>
      <c r="EN573" s="3"/>
      <c r="EO573" s="131"/>
      <c r="EP573" s="15"/>
      <c r="EQ573" s="99"/>
      <c r="ER573" s="149"/>
      <c r="ES573" s="134"/>
      <c r="ET573" s="134"/>
      <c r="EU573" s="137"/>
      <c r="EV573" s="150"/>
      <c r="EW573" s="137"/>
      <c r="EX573" s="137"/>
      <c r="EY573" s="3"/>
      <c r="EZ573" s="138"/>
      <c r="FA573" s="2"/>
      <c r="FB573" s="139"/>
      <c r="FC573" s="3"/>
      <c r="FD573" s="3"/>
      <c r="FE573" s="3"/>
      <c r="FF573" s="3"/>
      <c r="FG573" s="3"/>
      <c r="FH573" s="3"/>
      <c r="FI573" s="3"/>
      <c r="FJ573" s="3"/>
      <c r="FK573" s="3"/>
      <c r="FL573" s="3"/>
      <c r="FM573" s="131"/>
      <c r="FN573" s="15"/>
      <c r="FO573" s="99"/>
      <c r="FP573" s="149"/>
      <c r="FQ573" s="134"/>
      <c r="FR573" s="134"/>
      <c r="FS573" s="137"/>
      <c r="FT573" s="150"/>
      <c r="FU573" s="137"/>
      <c r="FV573" s="137"/>
      <c r="FW573" s="3"/>
      <c r="FX573" s="138"/>
      <c r="FY573" s="2"/>
      <c r="FZ573" s="139"/>
      <c r="GA573" s="3"/>
      <c r="GB573" s="3"/>
      <c r="GC573" s="3"/>
      <c r="GD573" s="3"/>
      <c r="GE573" s="3"/>
      <c r="GF573" s="3"/>
      <c r="GG573" s="3"/>
      <c r="GH573" s="3"/>
      <c r="GI573" s="3"/>
      <c r="GJ573" s="3"/>
      <c r="GK573" s="131"/>
      <c r="GL573" s="15"/>
      <c r="GM573" s="99"/>
      <c r="GN573" s="149"/>
      <c r="GO573" s="134"/>
      <c r="GP573" s="134"/>
      <c r="GQ573" s="137"/>
      <c r="GR573" s="150"/>
      <c r="GS573" s="137"/>
      <c r="GT573" s="137"/>
      <c r="GU573" s="3"/>
      <c r="GV573" s="138"/>
      <c r="GW573" s="2"/>
      <c r="GX573" s="139"/>
      <c r="GY573" s="3"/>
      <c r="GZ573" s="3"/>
      <c r="HA573" s="3"/>
      <c r="HB573" s="3"/>
      <c r="HC573" s="3"/>
      <c r="HD573" s="3"/>
      <c r="HE573" s="3"/>
      <c r="HF573" s="3"/>
      <c r="HG573" s="3"/>
      <c r="HH573" s="3"/>
      <c r="HI573" s="131"/>
      <c r="HJ573" s="15"/>
      <c r="HK573" s="99"/>
      <c r="HL573" s="149"/>
      <c r="HM573" s="134"/>
      <c r="HN573" s="134"/>
      <c r="HO573" s="137"/>
      <c r="HP573" s="150"/>
      <c r="HQ573" s="137"/>
      <c r="HR573" s="137"/>
      <c r="HS573" s="3"/>
      <c r="HT573" s="138"/>
      <c r="HU573" s="2"/>
      <c r="HV573" s="139"/>
      <c r="HW573" s="3"/>
      <c r="HX573" s="3"/>
      <c r="HY573" s="3"/>
      <c r="HZ573" s="3"/>
      <c r="IA573" s="3"/>
      <c r="IB573" s="3"/>
      <c r="IC573" s="3"/>
      <c r="ID573" s="3"/>
      <c r="IE573" s="3"/>
      <c r="IF573" s="3"/>
      <c r="IG573" s="131"/>
      <c r="IH573" s="15"/>
      <c r="II573" s="99"/>
      <c r="IJ573" s="149"/>
      <c r="IK573" s="134"/>
      <c r="IL573" s="134"/>
      <c r="IM573" s="137"/>
      <c r="IN573" s="150"/>
      <c r="IO573" s="137"/>
      <c r="IP573" s="137"/>
      <c r="IQ573" s="3"/>
      <c r="IR573" s="138"/>
      <c r="IS573" s="2"/>
      <c r="IT573" s="139"/>
      <c r="IU573" s="3"/>
      <c r="IV573" s="3"/>
    </row>
    <row r="574" spans="1:256" s="125" customFormat="1" ht="13.5" customHeight="1">
      <c r="A574" s="213">
        <v>10</v>
      </c>
      <c r="B574" s="60">
        <v>43073</v>
      </c>
      <c r="C574" s="18"/>
      <c r="D574" s="19" t="s">
        <v>323</v>
      </c>
      <c r="E574" s="20" t="s">
        <v>330</v>
      </c>
      <c r="F574" s="168" t="s">
        <v>772</v>
      </c>
      <c r="G574" s="63">
        <v>1708</v>
      </c>
      <c r="H574" s="121">
        <v>2368800</v>
      </c>
      <c r="I574" s="24"/>
      <c r="J574" s="24">
        <f t="shared" si="53"/>
        <v>2256000</v>
      </c>
      <c r="K574" s="24">
        <f t="shared" si="49"/>
        <v>2256000</v>
      </c>
      <c r="L574" s="26">
        <v>1</v>
      </c>
      <c r="M574" s="24">
        <f t="shared" si="50"/>
        <v>2256000</v>
      </c>
      <c r="N574" s="124">
        <f t="shared" si="51"/>
        <v>0</v>
      </c>
      <c r="O574" s="196" t="s">
        <v>747</v>
      </c>
      <c r="P574" s="3"/>
      <c r="Q574" s="140"/>
      <c r="R574" s="3"/>
      <c r="S574" s="3"/>
      <c r="T574" s="3"/>
      <c r="U574" s="3"/>
      <c r="V574" s="3"/>
      <c r="W574" s="3"/>
      <c r="X574" s="3"/>
      <c r="Y574" s="131"/>
      <c r="Z574" s="15"/>
      <c r="AA574" s="99"/>
      <c r="AB574" s="149"/>
      <c r="AC574" s="134"/>
      <c r="AD574" s="134"/>
      <c r="AE574" s="137"/>
      <c r="AF574" s="150"/>
      <c r="AG574" s="137"/>
      <c r="AH574" s="137"/>
      <c r="AI574" s="3"/>
      <c r="AJ574" s="138"/>
      <c r="AK574" s="2"/>
      <c r="AL574" s="139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131"/>
      <c r="AX574" s="15"/>
      <c r="AY574" s="99"/>
      <c r="AZ574" s="149"/>
      <c r="BA574" s="134"/>
      <c r="BB574" s="134"/>
      <c r="BC574" s="137"/>
      <c r="BD574" s="150"/>
      <c r="BE574" s="137"/>
      <c r="BF574" s="137"/>
      <c r="BG574" s="3"/>
      <c r="BH574" s="138"/>
      <c r="BI574" s="2"/>
      <c r="BJ574" s="139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131"/>
      <c r="BV574" s="15"/>
      <c r="BW574" s="99"/>
      <c r="BX574" s="149"/>
      <c r="BY574" s="134"/>
      <c r="BZ574" s="134"/>
      <c r="CA574" s="137"/>
      <c r="CB574" s="150"/>
      <c r="CC574" s="137"/>
      <c r="CD574" s="137"/>
      <c r="CE574" s="3"/>
      <c r="CF574" s="138"/>
      <c r="CG574" s="2"/>
      <c r="CH574" s="139"/>
      <c r="CI574" s="3"/>
      <c r="CJ574" s="3"/>
      <c r="CK574" s="3"/>
      <c r="CL574" s="3"/>
      <c r="CM574" s="3"/>
      <c r="CN574" s="3"/>
      <c r="CO574" s="3"/>
      <c r="CP574" s="3"/>
      <c r="CQ574" s="3"/>
      <c r="CR574" s="3"/>
      <c r="CS574" s="131"/>
      <c r="CT574" s="15"/>
      <c r="CU574" s="99"/>
      <c r="CV574" s="149"/>
      <c r="CW574" s="134"/>
      <c r="CX574" s="134"/>
      <c r="CY574" s="137"/>
      <c r="CZ574" s="150"/>
      <c r="DA574" s="137"/>
      <c r="DB574" s="137"/>
      <c r="DC574" s="3"/>
      <c r="DD574" s="138"/>
      <c r="DE574" s="2"/>
      <c r="DF574" s="139"/>
      <c r="DG574" s="3"/>
      <c r="DH574" s="3"/>
      <c r="DI574" s="3"/>
      <c r="DJ574" s="3"/>
      <c r="DK574" s="3"/>
      <c r="DL574" s="3"/>
      <c r="DM574" s="3"/>
      <c r="DN574" s="3"/>
      <c r="DO574" s="3"/>
      <c r="DP574" s="3"/>
      <c r="DQ574" s="131"/>
      <c r="DR574" s="15"/>
      <c r="DS574" s="99"/>
      <c r="DT574" s="149"/>
      <c r="DU574" s="134"/>
      <c r="DV574" s="134"/>
      <c r="DW574" s="137"/>
      <c r="DX574" s="150"/>
      <c r="DY574" s="137"/>
      <c r="DZ574" s="137"/>
      <c r="EA574" s="3"/>
      <c r="EB574" s="138"/>
      <c r="EC574" s="2"/>
      <c r="ED574" s="139"/>
      <c r="EE574" s="3"/>
      <c r="EF574" s="3"/>
      <c r="EG574" s="3"/>
      <c r="EH574" s="3"/>
      <c r="EI574" s="3"/>
      <c r="EJ574" s="3"/>
      <c r="EK574" s="3"/>
      <c r="EL574" s="3"/>
      <c r="EM574" s="3"/>
      <c r="EN574" s="3"/>
      <c r="EO574" s="131"/>
      <c r="EP574" s="15"/>
      <c r="EQ574" s="99"/>
      <c r="ER574" s="149"/>
      <c r="ES574" s="134"/>
      <c r="ET574" s="134"/>
      <c r="EU574" s="137"/>
      <c r="EV574" s="150"/>
      <c r="EW574" s="137"/>
      <c r="EX574" s="137"/>
      <c r="EY574" s="3"/>
      <c r="EZ574" s="138"/>
      <c r="FA574" s="2"/>
      <c r="FB574" s="139"/>
      <c r="FC574" s="3"/>
      <c r="FD574" s="3"/>
      <c r="FE574" s="3"/>
      <c r="FF574" s="3"/>
      <c r="FG574" s="3"/>
      <c r="FH574" s="3"/>
      <c r="FI574" s="3"/>
      <c r="FJ574" s="3"/>
      <c r="FK574" s="3"/>
      <c r="FL574" s="3"/>
      <c r="FM574" s="131"/>
      <c r="FN574" s="15"/>
      <c r="FO574" s="99"/>
      <c r="FP574" s="149"/>
      <c r="FQ574" s="134"/>
      <c r="FR574" s="134"/>
      <c r="FS574" s="137"/>
      <c r="FT574" s="150"/>
      <c r="FU574" s="137"/>
      <c r="FV574" s="137"/>
      <c r="FW574" s="3"/>
      <c r="FX574" s="138"/>
      <c r="FY574" s="2"/>
      <c r="FZ574" s="139"/>
      <c r="GA574" s="3"/>
      <c r="GB574" s="3"/>
      <c r="GC574" s="3"/>
      <c r="GD574" s="3"/>
      <c r="GE574" s="3"/>
      <c r="GF574" s="3"/>
      <c r="GG574" s="3"/>
      <c r="GH574" s="3"/>
      <c r="GI574" s="3"/>
      <c r="GJ574" s="3"/>
      <c r="GK574" s="131"/>
      <c r="GL574" s="15"/>
      <c r="GM574" s="99"/>
      <c r="GN574" s="149"/>
      <c r="GO574" s="134"/>
      <c r="GP574" s="134"/>
      <c r="GQ574" s="137"/>
      <c r="GR574" s="150"/>
      <c r="GS574" s="137"/>
      <c r="GT574" s="137"/>
      <c r="GU574" s="3"/>
      <c r="GV574" s="138"/>
      <c r="GW574" s="2"/>
      <c r="GX574" s="139"/>
      <c r="GY574" s="3"/>
      <c r="GZ574" s="3"/>
      <c r="HA574" s="3"/>
      <c r="HB574" s="3"/>
      <c r="HC574" s="3"/>
      <c r="HD574" s="3"/>
      <c r="HE574" s="3"/>
      <c r="HF574" s="3"/>
      <c r="HG574" s="3"/>
      <c r="HH574" s="3"/>
      <c r="HI574" s="131"/>
      <c r="HJ574" s="15"/>
      <c r="HK574" s="99"/>
      <c r="HL574" s="149"/>
      <c r="HM574" s="134"/>
      <c r="HN574" s="134"/>
      <c r="HO574" s="137"/>
      <c r="HP574" s="150"/>
      <c r="HQ574" s="137"/>
      <c r="HR574" s="137"/>
      <c r="HS574" s="3"/>
      <c r="HT574" s="138"/>
      <c r="HU574" s="2"/>
      <c r="HV574" s="139"/>
      <c r="HW574" s="3"/>
      <c r="HX574" s="3"/>
      <c r="HY574" s="3"/>
      <c r="HZ574" s="3"/>
      <c r="IA574" s="3"/>
      <c r="IB574" s="3"/>
      <c r="IC574" s="3"/>
      <c r="ID574" s="3"/>
      <c r="IE574" s="3"/>
      <c r="IF574" s="3"/>
      <c r="IG574" s="131"/>
      <c r="IH574" s="15"/>
      <c r="II574" s="99"/>
      <c r="IJ574" s="149"/>
      <c r="IK574" s="134"/>
      <c r="IL574" s="134"/>
      <c r="IM574" s="137"/>
      <c r="IN574" s="150"/>
      <c r="IO574" s="137"/>
      <c r="IP574" s="137"/>
      <c r="IQ574" s="3"/>
      <c r="IR574" s="138"/>
      <c r="IS574" s="2"/>
      <c r="IT574" s="139"/>
      <c r="IU574" s="3"/>
      <c r="IV574" s="3"/>
    </row>
    <row r="575" spans="1:256" s="125" customFormat="1" ht="13.5" customHeight="1">
      <c r="A575" s="213">
        <v>11</v>
      </c>
      <c r="B575" s="56">
        <v>43091</v>
      </c>
      <c r="C575" s="18"/>
      <c r="D575" s="19" t="s">
        <v>359</v>
      </c>
      <c r="E575" s="20" t="s">
        <v>363</v>
      </c>
      <c r="F575" s="82" t="s">
        <v>773</v>
      </c>
      <c r="G575" s="58">
        <v>1708</v>
      </c>
      <c r="H575" s="121">
        <v>3478000</v>
      </c>
      <c r="I575" s="24"/>
      <c r="J575" s="24">
        <f t="shared" si="53"/>
        <v>3312380.9523809524</v>
      </c>
      <c r="K575" s="24">
        <f t="shared" si="49"/>
        <v>3312380.9523809524</v>
      </c>
      <c r="L575" s="123">
        <v>1</v>
      </c>
      <c r="M575" s="24">
        <f t="shared" si="50"/>
        <v>3312380.9523809524</v>
      </c>
      <c r="N575" s="124">
        <f t="shared" si="51"/>
        <v>0</v>
      </c>
      <c r="O575" s="196" t="s">
        <v>747</v>
      </c>
      <c r="P575" s="3"/>
      <c r="Q575" s="140"/>
      <c r="R575" s="3"/>
      <c r="S575" s="3"/>
      <c r="T575" s="3"/>
      <c r="U575" s="3"/>
      <c r="V575" s="3"/>
      <c r="W575" s="3"/>
      <c r="X575" s="3"/>
      <c r="Y575" s="131"/>
      <c r="Z575" s="15"/>
      <c r="AA575" s="99"/>
      <c r="AB575" s="149"/>
      <c r="AC575" s="134"/>
      <c r="AD575" s="134"/>
      <c r="AE575" s="137"/>
      <c r="AF575" s="150"/>
      <c r="AG575" s="137"/>
      <c r="AH575" s="137"/>
      <c r="AI575" s="3"/>
      <c r="AJ575" s="138"/>
      <c r="AK575" s="2"/>
      <c r="AL575" s="139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131"/>
      <c r="AX575" s="15"/>
      <c r="AY575" s="99"/>
      <c r="AZ575" s="149"/>
      <c r="BA575" s="134"/>
      <c r="BB575" s="134"/>
      <c r="BC575" s="137"/>
      <c r="BD575" s="150"/>
      <c r="BE575" s="137"/>
      <c r="BF575" s="137"/>
      <c r="BG575" s="3"/>
      <c r="BH575" s="138"/>
      <c r="BI575" s="2"/>
      <c r="BJ575" s="139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131"/>
      <c r="BV575" s="15"/>
      <c r="BW575" s="99"/>
      <c r="BX575" s="149"/>
      <c r="BY575" s="134"/>
      <c r="BZ575" s="134"/>
      <c r="CA575" s="137"/>
      <c r="CB575" s="150"/>
      <c r="CC575" s="137"/>
      <c r="CD575" s="137"/>
      <c r="CE575" s="3"/>
      <c r="CF575" s="138"/>
      <c r="CG575" s="2"/>
      <c r="CH575" s="139"/>
      <c r="CI575" s="3"/>
      <c r="CJ575" s="3"/>
      <c r="CK575" s="3"/>
      <c r="CL575" s="3"/>
      <c r="CM575" s="3"/>
      <c r="CN575" s="3"/>
      <c r="CO575" s="3"/>
      <c r="CP575" s="3"/>
      <c r="CQ575" s="3"/>
      <c r="CR575" s="3"/>
      <c r="CS575" s="131"/>
      <c r="CT575" s="15"/>
      <c r="CU575" s="99"/>
      <c r="CV575" s="149"/>
      <c r="CW575" s="134"/>
      <c r="CX575" s="134"/>
      <c r="CY575" s="137"/>
      <c r="CZ575" s="150"/>
      <c r="DA575" s="137"/>
      <c r="DB575" s="137"/>
      <c r="DC575" s="3"/>
      <c r="DD575" s="138"/>
      <c r="DE575" s="2"/>
      <c r="DF575" s="139"/>
      <c r="DG575" s="3"/>
      <c r="DH575" s="3"/>
      <c r="DI575" s="3"/>
      <c r="DJ575" s="3"/>
      <c r="DK575" s="3"/>
      <c r="DL575" s="3"/>
      <c r="DM575" s="3"/>
      <c r="DN575" s="3"/>
      <c r="DO575" s="3"/>
      <c r="DP575" s="3"/>
      <c r="DQ575" s="131"/>
      <c r="DR575" s="15"/>
      <c r="DS575" s="99"/>
      <c r="DT575" s="149"/>
      <c r="DU575" s="134"/>
      <c r="DV575" s="134"/>
      <c r="DW575" s="137"/>
      <c r="DX575" s="150"/>
      <c r="DY575" s="137"/>
      <c r="DZ575" s="137"/>
      <c r="EA575" s="3"/>
      <c r="EB575" s="138"/>
      <c r="EC575" s="2"/>
      <c r="ED575" s="139"/>
      <c r="EE575" s="3"/>
      <c r="EF575" s="3"/>
      <c r="EG575" s="3"/>
      <c r="EH575" s="3"/>
      <c r="EI575" s="3"/>
      <c r="EJ575" s="3"/>
      <c r="EK575" s="3"/>
      <c r="EL575" s="3"/>
      <c r="EM575" s="3"/>
      <c r="EN575" s="3"/>
      <c r="EO575" s="131"/>
      <c r="EP575" s="15"/>
      <c r="EQ575" s="99"/>
      <c r="ER575" s="149"/>
      <c r="ES575" s="134"/>
      <c r="ET575" s="134"/>
      <c r="EU575" s="137"/>
      <c r="EV575" s="150"/>
      <c r="EW575" s="137"/>
      <c r="EX575" s="137"/>
      <c r="EY575" s="3"/>
      <c r="EZ575" s="138"/>
      <c r="FA575" s="2"/>
      <c r="FB575" s="139"/>
      <c r="FC575" s="3"/>
      <c r="FD575" s="3"/>
      <c r="FE575" s="3"/>
      <c r="FF575" s="3"/>
      <c r="FG575" s="3"/>
      <c r="FH575" s="3"/>
      <c r="FI575" s="3"/>
      <c r="FJ575" s="3"/>
      <c r="FK575" s="3"/>
      <c r="FL575" s="3"/>
      <c r="FM575" s="131"/>
      <c r="FN575" s="15"/>
      <c r="FO575" s="99"/>
      <c r="FP575" s="149"/>
      <c r="FQ575" s="134"/>
      <c r="FR575" s="134"/>
      <c r="FS575" s="137"/>
      <c r="FT575" s="150"/>
      <c r="FU575" s="137"/>
      <c r="FV575" s="137"/>
      <c r="FW575" s="3"/>
      <c r="FX575" s="138"/>
      <c r="FY575" s="2"/>
      <c r="FZ575" s="139"/>
      <c r="GA575" s="3"/>
      <c r="GB575" s="3"/>
      <c r="GC575" s="3"/>
      <c r="GD575" s="3"/>
      <c r="GE575" s="3"/>
      <c r="GF575" s="3"/>
      <c r="GG575" s="3"/>
      <c r="GH575" s="3"/>
      <c r="GI575" s="3"/>
      <c r="GJ575" s="3"/>
      <c r="GK575" s="131"/>
      <c r="GL575" s="15"/>
      <c r="GM575" s="99"/>
      <c r="GN575" s="149"/>
      <c r="GO575" s="134"/>
      <c r="GP575" s="134"/>
      <c r="GQ575" s="137"/>
      <c r="GR575" s="150"/>
      <c r="GS575" s="137"/>
      <c r="GT575" s="137"/>
      <c r="GU575" s="3"/>
      <c r="GV575" s="138"/>
      <c r="GW575" s="2"/>
      <c r="GX575" s="139"/>
      <c r="GY575" s="3"/>
      <c r="GZ575" s="3"/>
      <c r="HA575" s="3"/>
      <c r="HB575" s="3"/>
      <c r="HC575" s="3"/>
      <c r="HD575" s="3"/>
      <c r="HE575" s="3"/>
      <c r="HF575" s="3"/>
      <c r="HG575" s="3"/>
      <c r="HH575" s="3"/>
      <c r="HI575" s="131"/>
      <c r="HJ575" s="15"/>
      <c r="HK575" s="99"/>
      <c r="HL575" s="149"/>
      <c r="HM575" s="134"/>
      <c r="HN575" s="134"/>
      <c r="HO575" s="137"/>
      <c r="HP575" s="150"/>
      <c r="HQ575" s="137"/>
      <c r="HR575" s="137"/>
      <c r="HS575" s="3"/>
      <c r="HT575" s="138"/>
      <c r="HU575" s="2"/>
      <c r="HV575" s="139"/>
      <c r="HW575" s="3"/>
      <c r="HX575" s="3"/>
      <c r="HY575" s="3"/>
      <c r="HZ575" s="3"/>
      <c r="IA575" s="3"/>
      <c r="IB575" s="3"/>
      <c r="IC575" s="3"/>
      <c r="ID575" s="3"/>
      <c r="IE575" s="3"/>
      <c r="IF575" s="3"/>
      <c r="IG575" s="131"/>
      <c r="IH575" s="15"/>
      <c r="II575" s="99"/>
      <c r="IJ575" s="149"/>
      <c r="IK575" s="134"/>
      <c r="IL575" s="134"/>
      <c r="IM575" s="137"/>
      <c r="IN575" s="150"/>
      <c r="IO575" s="137"/>
      <c r="IP575" s="137"/>
      <c r="IQ575" s="3"/>
      <c r="IR575" s="138"/>
      <c r="IS575" s="2"/>
      <c r="IT575" s="139"/>
      <c r="IU575" s="3"/>
      <c r="IV575" s="3"/>
    </row>
    <row r="576" spans="1:256" s="125" customFormat="1" ht="13.5" customHeight="1">
      <c r="A576" s="213">
        <v>12</v>
      </c>
      <c r="B576" s="56">
        <v>43090</v>
      </c>
      <c r="C576" s="18"/>
      <c r="D576" s="19" t="s">
        <v>284</v>
      </c>
      <c r="E576" s="20" t="s">
        <v>291</v>
      </c>
      <c r="F576" s="62" t="s">
        <v>774</v>
      </c>
      <c r="G576" s="63">
        <v>1709</v>
      </c>
      <c r="H576" s="121">
        <v>1212600</v>
      </c>
      <c r="I576" s="24"/>
      <c r="J576" s="24">
        <f t="shared" si="53"/>
        <v>1154857.1428571427</v>
      </c>
      <c r="K576" s="24">
        <f t="shared" si="49"/>
        <v>1154857.1428571427</v>
      </c>
      <c r="L576" s="123">
        <v>1</v>
      </c>
      <c r="M576" s="24">
        <f t="shared" si="50"/>
        <v>1154857.1428571427</v>
      </c>
      <c r="N576" s="124">
        <f t="shared" si="51"/>
        <v>0</v>
      </c>
      <c r="O576" s="196" t="s">
        <v>647</v>
      </c>
      <c r="P576" s="3"/>
      <c r="Q576" s="140"/>
      <c r="R576" s="3"/>
      <c r="S576" s="3"/>
      <c r="T576" s="3"/>
      <c r="U576" s="3"/>
      <c r="V576" s="3"/>
      <c r="W576" s="3"/>
      <c r="X576" s="3"/>
      <c r="Y576" s="131"/>
      <c r="Z576" s="15"/>
      <c r="AA576" s="99"/>
      <c r="AB576" s="149"/>
      <c r="AC576" s="134"/>
      <c r="AD576" s="134"/>
      <c r="AE576" s="137"/>
      <c r="AF576" s="150"/>
      <c r="AG576" s="137"/>
      <c r="AH576" s="137"/>
      <c r="AI576" s="3"/>
      <c r="AJ576" s="138"/>
      <c r="AK576" s="2"/>
      <c r="AL576" s="139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131"/>
      <c r="AX576" s="15"/>
      <c r="AY576" s="99"/>
      <c r="AZ576" s="149"/>
      <c r="BA576" s="134"/>
      <c r="BB576" s="134"/>
      <c r="BC576" s="137"/>
      <c r="BD576" s="150"/>
      <c r="BE576" s="137"/>
      <c r="BF576" s="137"/>
      <c r="BG576" s="3"/>
      <c r="BH576" s="138"/>
      <c r="BI576" s="2"/>
      <c r="BJ576" s="139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131"/>
      <c r="BV576" s="15"/>
      <c r="BW576" s="99"/>
      <c r="BX576" s="149"/>
      <c r="BY576" s="134"/>
      <c r="BZ576" s="134"/>
      <c r="CA576" s="137"/>
      <c r="CB576" s="150"/>
      <c r="CC576" s="137"/>
      <c r="CD576" s="137"/>
      <c r="CE576" s="3"/>
      <c r="CF576" s="138"/>
      <c r="CG576" s="2"/>
      <c r="CH576" s="139"/>
      <c r="CI576" s="3"/>
      <c r="CJ576" s="3"/>
      <c r="CK576" s="3"/>
      <c r="CL576" s="3"/>
      <c r="CM576" s="3"/>
      <c r="CN576" s="3"/>
      <c r="CO576" s="3"/>
      <c r="CP576" s="3"/>
      <c r="CQ576" s="3"/>
      <c r="CR576" s="3"/>
      <c r="CS576" s="131"/>
      <c r="CT576" s="15"/>
      <c r="CU576" s="99"/>
      <c r="CV576" s="149"/>
      <c r="CW576" s="134"/>
      <c r="CX576" s="134"/>
      <c r="CY576" s="137"/>
      <c r="CZ576" s="150"/>
      <c r="DA576" s="137"/>
      <c r="DB576" s="137"/>
      <c r="DC576" s="3"/>
      <c r="DD576" s="138"/>
      <c r="DE576" s="2"/>
      <c r="DF576" s="139"/>
      <c r="DG576" s="3"/>
      <c r="DH576" s="3"/>
      <c r="DI576" s="3"/>
      <c r="DJ576" s="3"/>
      <c r="DK576" s="3"/>
      <c r="DL576" s="3"/>
      <c r="DM576" s="3"/>
      <c r="DN576" s="3"/>
      <c r="DO576" s="3"/>
      <c r="DP576" s="3"/>
      <c r="DQ576" s="131"/>
      <c r="DR576" s="15"/>
      <c r="DS576" s="99"/>
      <c r="DT576" s="149"/>
      <c r="DU576" s="134"/>
      <c r="DV576" s="134"/>
      <c r="DW576" s="137"/>
      <c r="DX576" s="150"/>
      <c r="DY576" s="137"/>
      <c r="DZ576" s="137"/>
      <c r="EA576" s="3"/>
      <c r="EB576" s="138"/>
      <c r="EC576" s="2"/>
      <c r="ED576" s="139"/>
      <c r="EE576" s="3"/>
      <c r="EF576" s="3"/>
      <c r="EG576" s="3"/>
      <c r="EH576" s="3"/>
      <c r="EI576" s="3"/>
      <c r="EJ576" s="3"/>
      <c r="EK576" s="3"/>
      <c r="EL576" s="3"/>
      <c r="EM576" s="3"/>
      <c r="EN576" s="3"/>
      <c r="EO576" s="131"/>
      <c r="EP576" s="15"/>
      <c r="EQ576" s="99"/>
      <c r="ER576" s="149"/>
      <c r="ES576" s="134"/>
      <c r="ET576" s="134"/>
      <c r="EU576" s="137"/>
      <c r="EV576" s="150"/>
      <c r="EW576" s="137"/>
      <c r="EX576" s="137"/>
      <c r="EY576" s="3"/>
      <c r="EZ576" s="138"/>
      <c r="FA576" s="2"/>
      <c r="FB576" s="139"/>
      <c r="FC576" s="3"/>
      <c r="FD576" s="3"/>
      <c r="FE576" s="3"/>
      <c r="FF576" s="3"/>
      <c r="FG576" s="3"/>
      <c r="FH576" s="3"/>
      <c r="FI576" s="3"/>
      <c r="FJ576" s="3"/>
      <c r="FK576" s="3"/>
      <c r="FL576" s="3"/>
      <c r="FM576" s="131"/>
      <c r="FN576" s="15"/>
      <c r="FO576" s="99"/>
      <c r="FP576" s="149"/>
      <c r="FQ576" s="134"/>
      <c r="FR576" s="134"/>
      <c r="FS576" s="137"/>
      <c r="FT576" s="150"/>
      <c r="FU576" s="137"/>
      <c r="FV576" s="137"/>
      <c r="FW576" s="3"/>
      <c r="FX576" s="138"/>
      <c r="FY576" s="2"/>
      <c r="FZ576" s="139"/>
      <c r="GA576" s="3"/>
      <c r="GB576" s="3"/>
      <c r="GC576" s="3"/>
      <c r="GD576" s="3"/>
      <c r="GE576" s="3"/>
      <c r="GF576" s="3"/>
      <c r="GG576" s="3"/>
      <c r="GH576" s="3"/>
      <c r="GI576" s="3"/>
      <c r="GJ576" s="3"/>
      <c r="GK576" s="131"/>
      <c r="GL576" s="15"/>
      <c r="GM576" s="99"/>
      <c r="GN576" s="149"/>
      <c r="GO576" s="134"/>
      <c r="GP576" s="134"/>
      <c r="GQ576" s="137"/>
      <c r="GR576" s="150"/>
      <c r="GS576" s="137"/>
      <c r="GT576" s="137"/>
      <c r="GU576" s="3"/>
      <c r="GV576" s="138"/>
      <c r="GW576" s="2"/>
      <c r="GX576" s="139"/>
      <c r="GY576" s="3"/>
      <c r="GZ576" s="3"/>
      <c r="HA576" s="3"/>
      <c r="HB576" s="3"/>
      <c r="HC576" s="3"/>
      <c r="HD576" s="3"/>
      <c r="HE576" s="3"/>
      <c r="HF576" s="3"/>
      <c r="HG576" s="3"/>
      <c r="HH576" s="3"/>
      <c r="HI576" s="131"/>
      <c r="HJ576" s="15"/>
      <c r="HK576" s="99"/>
      <c r="HL576" s="149"/>
      <c r="HM576" s="134"/>
      <c r="HN576" s="134"/>
      <c r="HO576" s="137"/>
      <c r="HP576" s="150"/>
      <c r="HQ576" s="137"/>
      <c r="HR576" s="137"/>
      <c r="HS576" s="3"/>
      <c r="HT576" s="138"/>
      <c r="HU576" s="2"/>
      <c r="HV576" s="139"/>
      <c r="HW576" s="3"/>
      <c r="HX576" s="3"/>
      <c r="HY576" s="3"/>
      <c r="HZ576" s="3"/>
      <c r="IA576" s="3"/>
      <c r="IB576" s="3"/>
      <c r="IC576" s="3"/>
      <c r="ID576" s="3"/>
      <c r="IE576" s="3"/>
      <c r="IF576" s="3"/>
      <c r="IG576" s="131"/>
      <c r="IH576" s="15"/>
      <c r="II576" s="99"/>
      <c r="IJ576" s="149"/>
      <c r="IK576" s="134"/>
      <c r="IL576" s="134"/>
      <c r="IM576" s="137"/>
      <c r="IN576" s="150"/>
      <c r="IO576" s="137"/>
      <c r="IP576" s="137"/>
      <c r="IQ576" s="3"/>
      <c r="IR576" s="138"/>
      <c r="IS576" s="2"/>
      <c r="IT576" s="139"/>
      <c r="IU576" s="3"/>
      <c r="IV576" s="3"/>
    </row>
    <row r="577" spans="1:256" s="125" customFormat="1" ht="13.5" customHeight="1">
      <c r="A577" s="213">
        <v>13</v>
      </c>
      <c r="B577" s="60">
        <v>43089</v>
      </c>
      <c r="C577" s="18"/>
      <c r="D577" s="19" t="s">
        <v>379</v>
      </c>
      <c r="E577" s="20" t="s">
        <v>383</v>
      </c>
      <c r="F577" s="82" t="s">
        <v>775</v>
      </c>
      <c r="G577" s="58">
        <v>1708</v>
      </c>
      <c r="H577" s="121">
        <v>1410000</v>
      </c>
      <c r="I577" s="24"/>
      <c r="J577" s="24">
        <f t="shared" si="53"/>
        <v>1342857.1428571427</v>
      </c>
      <c r="K577" s="24">
        <f t="shared" si="49"/>
        <v>1342857.1428571427</v>
      </c>
      <c r="L577" s="123">
        <v>1</v>
      </c>
      <c r="M577" s="24">
        <f t="shared" si="50"/>
        <v>1342857.1428571427</v>
      </c>
      <c r="N577" s="124">
        <f t="shared" si="51"/>
        <v>0</v>
      </c>
      <c r="O577" s="196" t="s">
        <v>647</v>
      </c>
      <c r="P577" s="3"/>
      <c r="Q577" s="140"/>
      <c r="R577" s="3"/>
      <c r="S577" s="3"/>
      <c r="T577" s="3"/>
      <c r="U577" s="3"/>
      <c r="V577" s="3"/>
      <c r="W577" s="3"/>
      <c r="X577" s="3"/>
      <c r="Y577" s="131"/>
      <c r="Z577" s="15"/>
      <c r="AA577" s="99"/>
      <c r="AB577" s="149"/>
      <c r="AC577" s="134"/>
      <c r="AD577" s="134"/>
      <c r="AE577" s="137"/>
      <c r="AF577" s="150"/>
      <c r="AG577" s="137"/>
      <c r="AH577" s="137"/>
      <c r="AI577" s="3"/>
      <c r="AJ577" s="138"/>
      <c r="AK577" s="2"/>
      <c r="AL577" s="139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131"/>
      <c r="AX577" s="15"/>
      <c r="AY577" s="99"/>
      <c r="AZ577" s="149"/>
      <c r="BA577" s="134"/>
      <c r="BB577" s="134"/>
      <c r="BC577" s="137"/>
      <c r="BD577" s="150"/>
      <c r="BE577" s="137"/>
      <c r="BF577" s="137"/>
      <c r="BG577" s="3"/>
      <c r="BH577" s="138"/>
      <c r="BI577" s="2"/>
      <c r="BJ577" s="139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131"/>
      <c r="BV577" s="15"/>
      <c r="BW577" s="99"/>
      <c r="BX577" s="149"/>
      <c r="BY577" s="134"/>
      <c r="BZ577" s="134"/>
      <c r="CA577" s="137"/>
      <c r="CB577" s="150"/>
      <c r="CC577" s="137"/>
      <c r="CD577" s="137"/>
      <c r="CE577" s="3"/>
      <c r="CF577" s="138"/>
      <c r="CG577" s="2"/>
      <c r="CH577" s="139"/>
      <c r="CI577" s="3"/>
      <c r="CJ577" s="3"/>
      <c r="CK577" s="3"/>
      <c r="CL577" s="3"/>
      <c r="CM577" s="3"/>
      <c r="CN577" s="3"/>
      <c r="CO577" s="3"/>
      <c r="CP577" s="3"/>
      <c r="CQ577" s="3"/>
      <c r="CR577" s="3"/>
      <c r="CS577" s="131"/>
      <c r="CT577" s="15"/>
      <c r="CU577" s="99"/>
      <c r="CV577" s="149"/>
      <c r="CW577" s="134"/>
      <c r="CX577" s="134"/>
      <c r="CY577" s="137"/>
      <c r="CZ577" s="150"/>
      <c r="DA577" s="137"/>
      <c r="DB577" s="137"/>
      <c r="DC577" s="3"/>
      <c r="DD577" s="138"/>
      <c r="DE577" s="2"/>
      <c r="DF577" s="139"/>
      <c r="DG577" s="3"/>
      <c r="DH577" s="3"/>
      <c r="DI577" s="3"/>
      <c r="DJ577" s="3"/>
      <c r="DK577" s="3"/>
      <c r="DL577" s="3"/>
      <c r="DM577" s="3"/>
      <c r="DN577" s="3"/>
      <c r="DO577" s="3"/>
      <c r="DP577" s="3"/>
      <c r="DQ577" s="131"/>
      <c r="DR577" s="15"/>
      <c r="DS577" s="99"/>
      <c r="DT577" s="149"/>
      <c r="DU577" s="134"/>
      <c r="DV577" s="134"/>
      <c r="DW577" s="137"/>
      <c r="DX577" s="150"/>
      <c r="DY577" s="137"/>
      <c r="DZ577" s="137"/>
      <c r="EA577" s="3"/>
      <c r="EB577" s="138"/>
      <c r="EC577" s="2"/>
      <c r="ED577" s="139"/>
      <c r="EE577" s="3"/>
      <c r="EF577" s="3"/>
      <c r="EG577" s="3"/>
      <c r="EH577" s="3"/>
      <c r="EI577" s="3"/>
      <c r="EJ577" s="3"/>
      <c r="EK577" s="3"/>
      <c r="EL577" s="3"/>
      <c r="EM577" s="3"/>
      <c r="EN577" s="3"/>
      <c r="EO577" s="131"/>
      <c r="EP577" s="15"/>
      <c r="EQ577" s="99"/>
      <c r="ER577" s="149"/>
      <c r="ES577" s="134"/>
      <c r="ET577" s="134"/>
      <c r="EU577" s="137"/>
      <c r="EV577" s="150"/>
      <c r="EW577" s="137"/>
      <c r="EX577" s="137"/>
      <c r="EY577" s="3"/>
      <c r="EZ577" s="138"/>
      <c r="FA577" s="2"/>
      <c r="FB577" s="139"/>
      <c r="FC577" s="3"/>
      <c r="FD577" s="3"/>
      <c r="FE577" s="3"/>
      <c r="FF577" s="3"/>
      <c r="FG577" s="3"/>
      <c r="FH577" s="3"/>
      <c r="FI577" s="3"/>
      <c r="FJ577" s="3"/>
      <c r="FK577" s="3"/>
      <c r="FL577" s="3"/>
      <c r="FM577" s="131"/>
      <c r="FN577" s="15"/>
      <c r="FO577" s="99"/>
      <c r="FP577" s="149"/>
      <c r="FQ577" s="134"/>
      <c r="FR577" s="134"/>
      <c r="FS577" s="137"/>
      <c r="FT577" s="150"/>
      <c r="FU577" s="137"/>
      <c r="FV577" s="137"/>
      <c r="FW577" s="3"/>
      <c r="FX577" s="138"/>
      <c r="FY577" s="2"/>
      <c r="FZ577" s="139"/>
      <c r="GA577" s="3"/>
      <c r="GB577" s="3"/>
      <c r="GC577" s="3"/>
      <c r="GD577" s="3"/>
      <c r="GE577" s="3"/>
      <c r="GF577" s="3"/>
      <c r="GG577" s="3"/>
      <c r="GH577" s="3"/>
      <c r="GI577" s="3"/>
      <c r="GJ577" s="3"/>
      <c r="GK577" s="131"/>
      <c r="GL577" s="15"/>
      <c r="GM577" s="99"/>
      <c r="GN577" s="149"/>
      <c r="GO577" s="134"/>
      <c r="GP577" s="134"/>
      <c r="GQ577" s="137"/>
      <c r="GR577" s="150"/>
      <c r="GS577" s="137"/>
      <c r="GT577" s="137"/>
      <c r="GU577" s="3"/>
      <c r="GV577" s="138"/>
      <c r="GW577" s="2"/>
      <c r="GX577" s="139"/>
      <c r="GY577" s="3"/>
      <c r="GZ577" s="3"/>
      <c r="HA577" s="3"/>
      <c r="HB577" s="3"/>
      <c r="HC577" s="3"/>
      <c r="HD577" s="3"/>
      <c r="HE577" s="3"/>
      <c r="HF577" s="3"/>
      <c r="HG577" s="3"/>
      <c r="HH577" s="3"/>
      <c r="HI577" s="131"/>
      <c r="HJ577" s="15"/>
      <c r="HK577" s="99"/>
      <c r="HL577" s="149"/>
      <c r="HM577" s="134"/>
      <c r="HN577" s="134"/>
      <c r="HO577" s="137"/>
      <c r="HP577" s="150"/>
      <c r="HQ577" s="137"/>
      <c r="HR577" s="137"/>
      <c r="HS577" s="3"/>
      <c r="HT577" s="138"/>
      <c r="HU577" s="2"/>
      <c r="HV577" s="139"/>
      <c r="HW577" s="3"/>
      <c r="HX577" s="3"/>
      <c r="HY577" s="3"/>
      <c r="HZ577" s="3"/>
      <c r="IA577" s="3"/>
      <c r="IB577" s="3"/>
      <c r="IC577" s="3"/>
      <c r="ID577" s="3"/>
      <c r="IE577" s="3"/>
      <c r="IF577" s="3"/>
      <c r="IG577" s="131"/>
      <c r="IH577" s="15"/>
      <c r="II577" s="99"/>
      <c r="IJ577" s="149"/>
      <c r="IK577" s="134"/>
      <c r="IL577" s="134"/>
      <c r="IM577" s="137"/>
      <c r="IN577" s="150"/>
      <c r="IO577" s="137"/>
      <c r="IP577" s="137"/>
      <c r="IQ577" s="3"/>
      <c r="IR577" s="138"/>
      <c r="IS577" s="2"/>
      <c r="IT577" s="139"/>
      <c r="IU577" s="3"/>
      <c r="IV577" s="3"/>
    </row>
    <row r="578" spans="1:256" s="125" customFormat="1" ht="13.5" customHeight="1">
      <c r="A578" s="213">
        <v>14</v>
      </c>
      <c r="B578" s="60">
        <v>43090</v>
      </c>
      <c r="C578" s="18"/>
      <c r="D578" s="19" t="s">
        <v>379</v>
      </c>
      <c r="E578" s="20" t="s">
        <v>383</v>
      </c>
      <c r="F578" s="168" t="s">
        <v>776</v>
      </c>
      <c r="G578" s="63">
        <v>1708</v>
      </c>
      <c r="H578" s="121">
        <v>1410000</v>
      </c>
      <c r="I578" s="24"/>
      <c r="J578" s="24">
        <f t="shared" si="53"/>
        <v>1342857.1428571427</v>
      </c>
      <c r="K578" s="24">
        <f t="shared" si="49"/>
        <v>1342857.1428571427</v>
      </c>
      <c r="L578" s="123">
        <v>1</v>
      </c>
      <c r="M578" s="24">
        <f t="shared" si="50"/>
        <v>1342857.1428571427</v>
      </c>
      <c r="N578" s="124">
        <f t="shared" si="51"/>
        <v>0</v>
      </c>
      <c r="O578" s="196" t="s">
        <v>647</v>
      </c>
      <c r="P578" s="3"/>
      <c r="Q578" s="140"/>
      <c r="R578" s="3"/>
      <c r="S578" s="3"/>
      <c r="T578" s="3"/>
      <c r="U578" s="3"/>
      <c r="V578" s="3"/>
      <c r="W578" s="3"/>
      <c r="X578" s="3"/>
      <c r="Y578" s="131"/>
      <c r="Z578" s="15"/>
      <c r="AA578" s="99"/>
      <c r="AB578" s="149"/>
      <c r="AC578" s="134"/>
      <c r="AD578" s="134"/>
      <c r="AE578" s="137"/>
      <c r="AF578" s="150"/>
      <c r="AG578" s="137"/>
      <c r="AH578" s="137"/>
      <c r="AI578" s="3"/>
      <c r="AJ578" s="138"/>
      <c r="AK578" s="2"/>
      <c r="AL578" s="139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131"/>
      <c r="AX578" s="15"/>
      <c r="AY578" s="99"/>
      <c r="AZ578" s="149"/>
      <c r="BA578" s="134"/>
      <c r="BB578" s="134"/>
      <c r="BC578" s="137"/>
      <c r="BD578" s="150"/>
      <c r="BE578" s="137"/>
      <c r="BF578" s="137"/>
      <c r="BG578" s="3"/>
      <c r="BH578" s="138"/>
      <c r="BI578" s="2"/>
      <c r="BJ578" s="139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131"/>
      <c r="BV578" s="15"/>
      <c r="BW578" s="99"/>
      <c r="BX578" s="149"/>
      <c r="BY578" s="134"/>
      <c r="BZ578" s="134"/>
      <c r="CA578" s="137"/>
      <c r="CB578" s="150"/>
      <c r="CC578" s="137"/>
      <c r="CD578" s="137"/>
      <c r="CE578" s="3"/>
      <c r="CF578" s="138"/>
      <c r="CG578" s="2"/>
      <c r="CH578" s="139"/>
      <c r="CI578" s="3"/>
      <c r="CJ578" s="3"/>
      <c r="CK578" s="3"/>
      <c r="CL578" s="3"/>
      <c r="CM578" s="3"/>
      <c r="CN578" s="3"/>
      <c r="CO578" s="3"/>
      <c r="CP578" s="3"/>
      <c r="CQ578" s="3"/>
      <c r="CR578" s="3"/>
      <c r="CS578" s="131"/>
      <c r="CT578" s="15"/>
      <c r="CU578" s="99"/>
      <c r="CV578" s="149"/>
      <c r="CW578" s="134"/>
      <c r="CX578" s="134"/>
      <c r="CY578" s="137"/>
      <c r="CZ578" s="150"/>
      <c r="DA578" s="137"/>
      <c r="DB578" s="137"/>
      <c r="DC578" s="3"/>
      <c r="DD578" s="138"/>
      <c r="DE578" s="2"/>
      <c r="DF578" s="139"/>
      <c r="DG578" s="3"/>
      <c r="DH578" s="3"/>
      <c r="DI578" s="3"/>
      <c r="DJ578" s="3"/>
      <c r="DK578" s="3"/>
      <c r="DL578" s="3"/>
      <c r="DM578" s="3"/>
      <c r="DN578" s="3"/>
      <c r="DO578" s="3"/>
      <c r="DP578" s="3"/>
      <c r="DQ578" s="131"/>
      <c r="DR578" s="15"/>
      <c r="DS578" s="99"/>
      <c r="DT578" s="149"/>
      <c r="DU578" s="134"/>
      <c r="DV578" s="134"/>
      <c r="DW578" s="137"/>
      <c r="DX578" s="150"/>
      <c r="DY578" s="137"/>
      <c r="DZ578" s="137"/>
      <c r="EA578" s="3"/>
      <c r="EB578" s="138"/>
      <c r="EC578" s="2"/>
      <c r="ED578" s="139"/>
      <c r="EE578" s="3"/>
      <c r="EF578" s="3"/>
      <c r="EG578" s="3"/>
      <c r="EH578" s="3"/>
      <c r="EI578" s="3"/>
      <c r="EJ578" s="3"/>
      <c r="EK578" s="3"/>
      <c r="EL578" s="3"/>
      <c r="EM578" s="3"/>
      <c r="EN578" s="3"/>
      <c r="EO578" s="131"/>
      <c r="EP578" s="15"/>
      <c r="EQ578" s="99"/>
      <c r="ER578" s="149"/>
      <c r="ES578" s="134"/>
      <c r="ET578" s="134"/>
      <c r="EU578" s="137"/>
      <c r="EV578" s="150"/>
      <c r="EW578" s="137"/>
      <c r="EX578" s="137"/>
      <c r="EY578" s="3"/>
      <c r="EZ578" s="138"/>
      <c r="FA578" s="2"/>
      <c r="FB578" s="139"/>
      <c r="FC578" s="3"/>
      <c r="FD578" s="3"/>
      <c r="FE578" s="3"/>
      <c r="FF578" s="3"/>
      <c r="FG578" s="3"/>
      <c r="FH578" s="3"/>
      <c r="FI578" s="3"/>
      <c r="FJ578" s="3"/>
      <c r="FK578" s="3"/>
      <c r="FL578" s="3"/>
      <c r="FM578" s="131"/>
      <c r="FN578" s="15"/>
      <c r="FO578" s="99"/>
      <c r="FP578" s="149"/>
      <c r="FQ578" s="134"/>
      <c r="FR578" s="134"/>
      <c r="FS578" s="137"/>
      <c r="FT578" s="150"/>
      <c r="FU578" s="137"/>
      <c r="FV578" s="137"/>
      <c r="FW578" s="3"/>
      <c r="FX578" s="138"/>
      <c r="FY578" s="2"/>
      <c r="FZ578" s="139"/>
      <c r="GA578" s="3"/>
      <c r="GB578" s="3"/>
      <c r="GC578" s="3"/>
      <c r="GD578" s="3"/>
      <c r="GE578" s="3"/>
      <c r="GF578" s="3"/>
      <c r="GG578" s="3"/>
      <c r="GH578" s="3"/>
      <c r="GI578" s="3"/>
      <c r="GJ578" s="3"/>
      <c r="GK578" s="131"/>
      <c r="GL578" s="15"/>
      <c r="GM578" s="99"/>
      <c r="GN578" s="149"/>
      <c r="GO578" s="134"/>
      <c r="GP578" s="134"/>
      <c r="GQ578" s="137"/>
      <c r="GR578" s="150"/>
      <c r="GS578" s="137"/>
      <c r="GT578" s="137"/>
      <c r="GU578" s="3"/>
      <c r="GV578" s="138"/>
      <c r="GW578" s="2"/>
      <c r="GX578" s="139"/>
      <c r="GY578" s="3"/>
      <c r="GZ578" s="3"/>
      <c r="HA578" s="3"/>
      <c r="HB578" s="3"/>
      <c r="HC578" s="3"/>
      <c r="HD578" s="3"/>
      <c r="HE578" s="3"/>
      <c r="HF578" s="3"/>
      <c r="HG578" s="3"/>
      <c r="HH578" s="3"/>
      <c r="HI578" s="131"/>
      <c r="HJ578" s="15"/>
      <c r="HK578" s="99"/>
      <c r="HL578" s="149"/>
      <c r="HM578" s="134"/>
      <c r="HN578" s="134"/>
      <c r="HO578" s="137"/>
      <c r="HP578" s="150"/>
      <c r="HQ578" s="137"/>
      <c r="HR578" s="137"/>
      <c r="HS578" s="3"/>
      <c r="HT578" s="138"/>
      <c r="HU578" s="2"/>
      <c r="HV578" s="139"/>
      <c r="HW578" s="3"/>
      <c r="HX578" s="3"/>
      <c r="HY578" s="3"/>
      <c r="HZ578" s="3"/>
      <c r="IA578" s="3"/>
      <c r="IB578" s="3"/>
      <c r="IC578" s="3"/>
      <c r="ID578" s="3"/>
      <c r="IE578" s="3"/>
      <c r="IF578" s="3"/>
      <c r="IG578" s="131"/>
      <c r="IH578" s="15"/>
      <c r="II578" s="99"/>
      <c r="IJ578" s="149"/>
      <c r="IK578" s="134"/>
      <c r="IL578" s="134"/>
      <c r="IM578" s="137"/>
      <c r="IN578" s="150"/>
      <c r="IO578" s="137"/>
      <c r="IP578" s="137"/>
      <c r="IQ578" s="3"/>
      <c r="IR578" s="138"/>
      <c r="IS578" s="2"/>
      <c r="IT578" s="139"/>
      <c r="IU578" s="3"/>
      <c r="IV578" s="3"/>
    </row>
    <row r="579" spans="1:256" s="125" customFormat="1" ht="13.5" customHeight="1">
      <c r="A579" s="213">
        <v>15</v>
      </c>
      <c r="B579" s="56">
        <v>43080</v>
      </c>
      <c r="C579" s="18"/>
      <c r="D579" s="19" t="s">
        <v>379</v>
      </c>
      <c r="E579" s="20" t="s">
        <v>777</v>
      </c>
      <c r="F579" s="57" t="s">
        <v>778</v>
      </c>
      <c r="G579" s="58">
        <v>1707</v>
      </c>
      <c r="H579" s="121">
        <f>1530000-30000</f>
        <v>1500000</v>
      </c>
      <c r="I579" s="24"/>
      <c r="J579" s="24">
        <f t="shared" si="53"/>
        <v>1428571.4285714284</v>
      </c>
      <c r="K579" s="24">
        <f t="shared" si="49"/>
        <v>1428571.4285714284</v>
      </c>
      <c r="L579" s="123">
        <v>1</v>
      </c>
      <c r="M579" s="24">
        <f t="shared" si="50"/>
        <v>1428571.4285714284</v>
      </c>
      <c r="N579" s="124">
        <f t="shared" si="51"/>
        <v>0</v>
      </c>
      <c r="O579" s="196" t="s">
        <v>624</v>
      </c>
      <c r="P579" s="3"/>
      <c r="Q579" s="140"/>
      <c r="R579" s="3"/>
      <c r="S579" s="3"/>
      <c r="T579" s="3"/>
      <c r="U579" s="3"/>
      <c r="V579" s="3"/>
      <c r="W579" s="3"/>
      <c r="X579" s="3"/>
      <c r="Y579" s="131"/>
      <c r="Z579" s="15"/>
      <c r="AA579" s="99"/>
      <c r="AB579" s="149"/>
      <c r="AC579" s="134"/>
      <c r="AD579" s="134"/>
      <c r="AE579" s="137"/>
      <c r="AF579" s="150"/>
      <c r="AG579" s="137"/>
      <c r="AH579" s="137"/>
      <c r="AI579" s="3"/>
      <c r="AJ579" s="138"/>
      <c r="AK579" s="2"/>
      <c r="AL579" s="139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131"/>
      <c r="AX579" s="15"/>
      <c r="AY579" s="99"/>
      <c r="AZ579" s="149"/>
      <c r="BA579" s="134"/>
      <c r="BB579" s="134"/>
      <c r="BC579" s="137"/>
      <c r="BD579" s="150"/>
      <c r="BE579" s="137"/>
      <c r="BF579" s="137"/>
      <c r="BG579" s="3"/>
      <c r="BH579" s="138"/>
      <c r="BI579" s="2"/>
      <c r="BJ579" s="139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131"/>
      <c r="BV579" s="15"/>
      <c r="BW579" s="99"/>
      <c r="BX579" s="149"/>
      <c r="BY579" s="134"/>
      <c r="BZ579" s="134"/>
      <c r="CA579" s="137"/>
      <c r="CB579" s="150"/>
      <c r="CC579" s="137"/>
      <c r="CD579" s="137"/>
      <c r="CE579" s="3"/>
      <c r="CF579" s="138"/>
      <c r="CG579" s="2"/>
      <c r="CH579" s="139"/>
      <c r="CI579" s="3"/>
      <c r="CJ579" s="3"/>
      <c r="CK579" s="3"/>
      <c r="CL579" s="3"/>
      <c r="CM579" s="3"/>
      <c r="CN579" s="3"/>
      <c r="CO579" s="3"/>
      <c r="CP579" s="3"/>
      <c r="CQ579" s="3"/>
      <c r="CR579" s="3"/>
      <c r="CS579" s="131"/>
      <c r="CT579" s="15"/>
      <c r="CU579" s="99"/>
      <c r="CV579" s="149"/>
      <c r="CW579" s="134"/>
      <c r="CX579" s="134"/>
      <c r="CY579" s="137"/>
      <c r="CZ579" s="150"/>
      <c r="DA579" s="137"/>
      <c r="DB579" s="137"/>
      <c r="DC579" s="3"/>
      <c r="DD579" s="138"/>
      <c r="DE579" s="2"/>
      <c r="DF579" s="139"/>
      <c r="DG579" s="3"/>
      <c r="DH579" s="3"/>
      <c r="DI579" s="3"/>
      <c r="DJ579" s="3"/>
      <c r="DK579" s="3"/>
      <c r="DL579" s="3"/>
      <c r="DM579" s="3"/>
      <c r="DN579" s="3"/>
      <c r="DO579" s="3"/>
      <c r="DP579" s="3"/>
      <c r="DQ579" s="131"/>
      <c r="DR579" s="15"/>
      <c r="DS579" s="99"/>
      <c r="DT579" s="149"/>
      <c r="DU579" s="134"/>
      <c r="DV579" s="134"/>
      <c r="DW579" s="137"/>
      <c r="DX579" s="150"/>
      <c r="DY579" s="137"/>
      <c r="DZ579" s="137"/>
      <c r="EA579" s="3"/>
      <c r="EB579" s="138"/>
      <c r="EC579" s="2"/>
      <c r="ED579" s="139"/>
      <c r="EE579" s="3"/>
      <c r="EF579" s="3"/>
      <c r="EG579" s="3"/>
      <c r="EH579" s="3"/>
      <c r="EI579" s="3"/>
      <c r="EJ579" s="3"/>
      <c r="EK579" s="3"/>
      <c r="EL579" s="3"/>
      <c r="EM579" s="3"/>
      <c r="EN579" s="3"/>
      <c r="EO579" s="131"/>
      <c r="EP579" s="15"/>
      <c r="EQ579" s="99"/>
      <c r="ER579" s="149"/>
      <c r="ES579" s="134"/>
      <c r="ET579" s="134"/>
      <c r="EU579" s="137"/>
      <c r="EV579" s="150"/>
      <c r="EW579" s="137"/>
      <c r="EX579" s="137"/>
      <c r="EY579" s="3"/>
      <c r="EZ579" s="138"/>
      <c r="FA579" s="2"/>
      <c r="FB579" s="139"/>
      <c r="FC579" s="3"/>
      <c r="FD579" s="3"/>
      <c r="FE579" s="3"/>
      <c r="FF579" s="3"/>
      <c r="FG579" s="3"/>
      <c r="FH579" s="3"/>
      <c r="FI579" s="3"/>
      <c r="FJ579" s="3"/>
      <c r="FK579" s="3"/>
      <c r="FL579" s="3"/>
      <c r="FM579" s="131"/>
      <c r="FN579" s="15"/>
      <c r="FO579" s="99"/>
      <c r="FP579" s="149"/>
      <c r="FQ579" s="134"/>
      <c r="FR579" s="134"/>
      <c r="FS579" s="137"/>
      <c r="FT579" s="150"/>
      <c r="FU579" s="137"/>
      <c r="FV579" s="137"/>
      <c r="FW579" s="3"/>
      <c r="FX579" s="138"/>
      <c r="FY579" s="2"/>
      <c r="FZ579" s="139"/>
      <c r="GA579" s="3"/>
      <c r="GB579" s="3"/>
      <c r="GC579" s="3"/>
      <c r="GD579" s="3"/>
      <c r="GE579" s="3"/>
      <c r="GF579" s="3"/>
      <c r="GG579" s="3"/>
      <c r="GH579" s="3"/>
      <c r="GI579" s="3"/>
      <c r="GJ579" s="3"/>
      <c r="GK579" s="131"/>
      <c r="GL579" s="15"/>
      <c r="GM579" s="99"/>
      <c r="GN579" s="149"/>
      <c r="GO579" s="134"/>
      <c r="GP579" s="134"/>
      <c r="GQ579" s="137"/>
      <c r="GR579" s="150"/>
      <c r="GS579" s="137"/>
      <c r="GT579" s="137"/>
      <c r="GU579" s="3"/>
      <c r="GV579" s="138"/>
      <c r="GW579" s="2"/>
      <c r="GX579" s="139"/>
      <c r="GY579" s="3"/>
      <c r="GZ579" s="3"/>
      <c r="HA579" s="3"/>
      <c r="HB579" s="3"/>
      <c r="HC579" s="3"/>
      <c r="HD579" s="3"/>
      <c r="HE579" s="3"/>
      <c r="HF579" s="3"/>
      <c r="HG579" s="3"/>
      <c r="HH579" s="3"/>
      <c r="HI579" s="131"/>
      <c r="HJ579" s="15"/>
      <c r="HK579" s="99"/>
      <c r="HL579" s="149"/>
      <c r="HM579" s="134"/>
      <c r="HN579" s="134"/>
      <c r="HO579" s="137"/>
      <c r="HP579" s="150"/>
      <c r="HQ579" s="137"/>
      <c r="HR579" s="137"/>
      <c r="HS579" s="3"/>
      <c r="HT579" s="138"/>
      <c r="HU579" s="2"/>
      <c r="HV579" s="139"/>
      <c r="HW579" s="3"/>
      <c r="HX579" s="3"/>
      <c r="HY579" s="3"/>
      <c r="HZ579" s="3"/>
      <c r="IA579" s="3"/>
      <c r="IB579" s="3"/>
      <c r="IC579" s="3"/>
      <c r="ID579" s="3"/>
      <c r="IE579" s="3"/>
      <c r="IF579" s="3"/>
      <c r="IG579" s="131"/>
      <c r="IH579" s="15"/>
      <c r="II579" s="99"/>
      <c r="IJ579" s="149"/>
      <c r="IK579" s="134"/>
      <c r="IL579" s="134"/>
      <c r="IM579" s="137"/>
      <c r="IN579" s="150"/>
      <c r="IO579" s="137"/>
      <c r="IP579" s="137"/>
      <c r="IQ579" s="3"/>
      <c r="IR579" s="138"/>
      <c r="IS579" s="2"/>
      <c r="IT579" s="139"/>
      <c r="IU579" s="3"/>
      <c r="IV579" s="3"/>
    </row>
    <row r="580" spans="1:256" s="125" customFormat="1" ht="13.5" customHeight="1">
      <c r="A580" s="213">
        <v>16</v>
      </c>
      <c r="B580" s="29">
        <v>43081</v>
      </c>
      <c r="C580" s="18"/>
      <c r="D580" s="19" t="s">
        <v>305</v>
      </c>
      <c r="E580" s="20" t="s">
        <v>536</v>
      </c>
      <c r="F580" s="62" t="s">
        <v>779</v>
      </c>
      <c r="G580" s="63">
        <v>1708</v>
      </c>
      <c r="H580" s="121">
        <v>1840000</v>
      </c>
      <c r="I580" s="24"/>
      <c r="J580" s="24">
        <f t="shared" si="53"/>
        <v>1752380.9523809522</v>
      </c>
      <c r="K580" s="24">
        <f t="shared" si="49"/>
        <v>1752380.9523809522</v>
      </c>
      <c r="L580" s="123">
        <v>1</v>
      </c>
      <c r="M580" s="24">
        <f t="shared" si="50"/>
        <v>1752380.9523809522</v>
      </c>
      <c r="N580" s="124">
        <f t="shared" si="51"/>
        <v>0</v>
      </c>
      <c r="O580" s="196" t="s">
        <v>624</v>
      </c>
      <c r="P580" s="3"/>
      <c r="Q580" s="140"/>
      <c r="R580" s="3"/>
      <c r="S580" s="3"/>
      <c r="T580" s="3"/>
      <c r="U580" s="3"/>
      <c r="V580" s="3"/>
      <c r="W580" s="3"/>
      <c r="X580" s="3"/>
      <c r="Y580" s="131"/>
      <c r="Z580" s="15"/>
      <c r="AA580" s="99"/>
      <c r="AB580" s="149"/>
      <c r="AC580" s="134"/>
      <c r="AD580" s="134"/>
      <c r="AE580" s="137"/>
      <c r="AF580" s="150"/>
      <c r="AG580" s="137"/>
      <c r="AH580" s="137"/>
      <c r="AI580" s="3"/>
      <c r="AJ580" s="138"/>
      <c r="AK580" s="2"/>
      <c r="AL580" s="139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131"/>
      <c r="AX580" s="15"/>
      <c r="AY580" s="99"/>
      <c r="AZ580" s="149"/>
      <c r="BA580" s="134"/>
      <c r="BB580" s="134"/>
      <c r="BC580" s="137"/>
      <c r="BD580" s="150"/>
      <c r="BE580" s="137"/>
      <c r="BF580" s="137"/>
      <c r="BG580" s="3"/>
      <c r="BH580" s="138"/>
      <c r="BI580" s="2"/>
      <c r="BJ580" s="139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131"/>
      <c r="BV580" s="15"/>
      <c r="BW580" s="99"/>
      <c r="BX580" s="149"/>
      <c r="BY580" s="134"/>
      <c r="BZ580" s="134"/>
      <c r="CA580" s="137"/>
      <c r="CB580" s="150"/>
      <c r="CC580" s="137"/>
      <c r="CD580" s="137"/>
      <c r="CE580" s="3"/>
      <c r="CF580" s="138"/>
      <c r="CG580" s="2"/>
      <c r="CH580" s="139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131"/>
      <c r="CT580" s="15"/>
      <c r="CU580" s="99"/>
      <c r="CV580" s="149"/>
      <c r="CW580" s="134"/>
      <c r="CX580" s="134"/>
      <c r="CY580" s="137"/>
      <c r="CZ580" s="150"/>
      <c r="DA580" s="137"/>
      <c r="DB580" s="137"/>
      <c r="DC580" s="3"/>
      <c r="DD580" s="138"/>
      <c r="DE580" s="2"/>
      <c r="DF580" s="139"/>
      <c r="DG580" s="3"/>
      <c r="DH580" s="3"/>
      <c r="DI580" s="3"/>
      <c r="DJ580" s="3"/>
      <c r="DK580" s="3"/>
      <c r="DL580" s="3"/>
      <c r="DM580" s="3"/>
      <c r="DN580" s="3"/>
      <c r="DO580" s="3"/>
      <c r="DP580" s="3"/>
      <c r="DQ580" s="131"/>
      <c r="DR580" s="15"/>
      <c r="DS580" s="99"/>
      <c r="DT580" s="149"/>
      <c r="DU580" s="134"/>
      <c r="DV580" s="134"/>
      <c r="DW580" s="137"/>
      <c r="DX580" s="150"/>
      <c r="DY580" s="137"/>
      <c r="DZ580" s="137"/>
      <c r="EA580" s="3"/>
      <c r="EB580" s="138"/>
      <c r="EC580" s="2"/>
      <c r="ED580" s="139"/>
      <c r="EE580" s="3"/>
      <c r="EF580" s="3"/>
      <c r="EG580" s="3"/>
      <c r="EH580" s="3"/>
      <c r="EI580" s="3"/>
      <c r="EJ580" s="3"/>
      <c r="EK580" s="3"/>
      <c r="EL580" s="3"/>
      <c r="EM580" s="3"/>
      <c r="EN580" s="3"/>
      <c r="EO580" s="131"/>
      <c r="EP580" s="15"/>
      <c r="EQ580" s="99"/>
      <c r="ER580" s="149"/>
      <c r="ES580" s="134"/>
      <c r="ET580" s="134"/>
      <c r="EU580" s="137"/>
      <c r="EV580" s="150"/>
      <c r="EW580" s="137"/>
      <c r="EX580" s="137"/>
      <c r="EY580" s="3"/>
      <c r="EZ580" s="138"/>
      <c r="FA580" s="2"/>
      <c r="FB580" s="139"/>
      <c r="FC580" s="3"/>
      <c r="FD580" s="3"/>
      <c r="FE580" s="3"/>
      <c r="FF580" s="3"/>
      <c r="FG580" s="3"/>
      <c r="FH580" s="3"/>
      <c r="FI580" s="3"/>
      <c r="FJ580" s="3"/>
      <c r="FK580" s="3"/>
      <c r="FL580" s="3"/>
      <c r="FM580" s="131"/>
      <c r="FN580" s="15"/>
      <c r="FO580" s="99"/>
      <c r="FP580" s="149"/>
      <c r="FQ580" s="134"/>
      <c r="FR580" s="134"/>
      <c r="FS580" s="137"/>
      <c r="FT580" s="150"/>
      <c r="FU580" s="137"/>
      <c r="FV580" s="137"/>
      <c r="FW580" s="3"/>
      <c r="FX580" s="138"/>
      <c r="FY580" s="2"/>
      <c r="FZ580" s="139"/>
      <c r="GA580" s="3"/>
      <c r="GB580" s="3"/>
      <c r="GC580" s="3"/>
      <c r="GD580" s="3"/>
      <c r="GE580" s="3"/>
      <c r="GF580" s="3"/>
      <c r="GG580" s="3"/>
      <c r="GH580" s="3"/>
      <c r="GI580" s="3"/>
      <c r="GJ580" s="3"/>
      <c r="GK580" s="131"/>
      <c r="GL580" s="15"/>
      <c r="GM580" s="99"/>
      <c r="GN580" s="149"/>
      <c r="GO580" s="134"/>
      <c r="GP580" s="134"/>
      <c r="GQ580" s="137"/>
      <c r="GR580" s="150"/>
      <c r="GS580" s="137"/>
      <c r="GT580" s="137"/>
      <c r="GU580" s="3"/>
      <c r="GV580" s="138"/>
      <c r="GW580" s="2"/>
      <c r="GX580" s="139"/>
      <c r="GY580" s="3"/>
      <c r="GZ580" s="3"/>
      <c r="HA580" s="3"/>
      <c r="HB580" s="3"/>
      <c r="HC580" s="3"/>
      <c r="HD580" s="3"/>
      <c r="HE580" s="3"/>
      <c r="HF580" s="3"/>
      <c r="HG580" s="3"/>
      <c r="HH580" s="3"/>
      <c r="HI580" s="131"/>
      <c r="HJ580" s="15"/>
      <c r="HK580" s="99"/>
      <c r="HL580" s="149"/>
      <c r="HM580" s="134"/>
      <c r="HN580" s="134"/>
      <c r="HO580" s="137"/>
      <c r="HP580" s="150"/>
      <c r="HQ580" s="137"/>
      <c r="HR580" s="137"/>
      <c r="HS580" s="3"/>
      <c r="HT580" s="138"/>
      <c r="HU580" s="2"/>
      <c r="HV580" s="139"/>
      <c r="HW580" s="3"/>
      <c r="HX580" s="3"/>
      <c r="HY580" s="3"/>
      <c r="HZ580" s="3"/>
      <c r="IA580" s="3"/>
      <c r="IB580" s="3"/>
      <c r="IC580" s="3"/>
      <c r="ID580" s="3"/>
      <c r="IE580" s="3"/>
      <c r="IF580" s="3"/>
      <c r="IG580" s="131"/>
      <c r="IH580" s="15"/>
      <c r="II580" s="99"/>
      <c r="IJ580" s="149"/>
      <c r="IK580" s="134"/>
      <c r="IL580" s="134"/>
      <c r="IM580" s="137"/>
      <c r="IN580" s="150"/>
      <c r="IO580" s="137"/>
      <c r="IP580" s="137"/>
      <c r="IQ580" s="3"/>
      <c r="IR580" s="138"/>
      <c r="IS580" s="2"/>
      <c r="IT580" s="139"/>
      <c r="IU580" s="3"/>
      <c r="IV580" s="3"/>
    </row>
    <row r="581" spans="1:256" s="125" customFormat="1" ht="13.5" customHeight="1">
      <c r="A581" s="213">
        <v>17</v>
      </c>
      <c r="B581" s="60">
        <v>43094</v>
      </c>
      <c r="C581" s="18"/>
      <c r="D581" s="19" t="s">
        <v>479</v>
      </c>
      <c r="E581" s="20" t="s">
        <v>483</v>
      </c>
      <c r="F581" s="168" t="s">
        <v>780</v>
      </c>
      <c r="G581" s="63">
        <v>1708</v>
      </c>
      <c r="H581" s="121">
        <v>3040000</v>
      </c>
      <c r="I581" s="24"/>
      <c r="J581" s="24">
        <f t="shared" si="53"/>
        <v>2895238.0952380951</v>
      </c>
      <c r="K581" s="24">
        <f t="shared" si="49"/>
        <v>2895238.0952380951</v>
      </c>
      <c r="L581" s="123">
        <v>1</v>
      </c>
      <c r="M581" s="24">
        <f t="shared" si="50"/>
        <v>2895238.0952380951</v>
      </c>
      <c r="N581" s="124">
        <f t="shared" si="51"/>
        <v>0</v>
      </c>
      <c r="O581" s="196" t="s">
        <v>624</v>
      </c>
      <c r="P581" s="3"/>
      <c r="Q581" s="140"/>
      <c r="R581" s="3"/>
      <c r="S581" s="3"/>
      <c r="T581" s="3"/>
      <c r="U581" s="3"/>
      <c r="V581" s="3"/>
      <c r="W581" s="3"/>
      <c r="X581" s="3"/>
      <c r="Y581" s="131"/>
      <c r="Z581" s="15"/>
      <c r="AA581" s="99"/>
      <c r="AB581" s="149"/>
      <c r="AC581" s="134"/>
      <c r="AD581" s="134"/>
      <c r="AE581" s="137"/>
      <c r="AF581" s="150"/>
      <c r="AG581" s="137"/>
      <c r="AH581" s="137"/>
      <c r="AI581" s="3"/>
      <c r="AJ581" s="138"/>
      <c r="AK581" s="2"/>
      <c r="AL581" s="139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131"/>
      <c r="AX581" s="15"/>
      <c r="AY581" s="99"/>
      <c r="AZ581" s="149"/>
      <c r="BA581" s="134"/>
      <c r="BB581" s="134"/>
      <c r="BC581" s="137"/>
      <c r="BD581" s="150"/>
      <c r="BE581" s="137"/>
      <c r="BF581" s="137"/>
      <c r="BG581" s="3"/>
      <c r="BH581" s="138"/>
      <c r="BI581" s="2"/>
      <c r="BJ581" s="139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131"/>
      <c r="BV581" s="15"/>
      <c r="BW581" s="99"/>
      <c r="BX581" s="149"/>
      <c r="BY581" s="134"/>
      <c r="BZ581" s="134"/>
      <c r="CA581" s="137"/>
      <c r="CB581" s="150"/>
      <c r="CC581" s="137"/>
      <c r="CD581" s="137"/>
      <c r="CE581" s="3"/>
      <c r="CF581" s="138"/>
      <c r="CG581" s="2"/>
      <c r="CH581" s="139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131"/>
      <c r="CT581" s="15"/>
      <c r="CU581" s="99"/>
      <c r="CV581" s="149"/>
      <c r="CW581" s="134"/>
      <c r="CX581" s="134"/>
      <c r="CY581" s="137"/>
      <c r="CZ581" s="150"/>
      <c r="DA581" s="137"/>
      <c r="DB581" s="137"/>
      <c r="DC581" s="3"/>
      <c r="DD581" s="138"/>
      <c r="DE581" s="2"/>
      <c r="DF581" s="139"/>
      <c r="DG581" s="3"/>
      <c r="DH581" s="3"/>
      <c r="DI581" s="3"/>
      <c r="DJ581" s="3"/>
      <c r="DK581" s="3"/>
      <c r="DL581" s="3"/>
      <c r="DM581" s="3"/>
      <c r="DN581" s="3"/>
      <c r="DO581" s="3"/>
      <c r="DP581" s="3"/>
      <c r="DQ581" s="131"/>
      <c r="DR581" s="15"/>
      <c r="DS581" s="99"/>
      <c r="DT581" s="149"/>
      <c r="DU581" s="134"/>
      <c r="DV581" s="134"/>
      <c r="DW581" s="137"/>
      <c r="DX581" s="150"/>
      <c r="DY581" s="137"/>
      <c r="DZ581" s="137"/>
      <c r="EA581" s="3"/>
      <c r="EB581" s="138"/>
      <c r="EC581" s="2"/>
      <c r="ED581" s="139"/>
      <c r="EE581" s="3"/>
      <c r="EF581" s="3"/>
      <c r="EG581" s="3"/>
      <c r="EH581" s="3"/>
      <c r="EI581" s="3"/>
      <c r="EJ581" s="3"/>
      <c r="EK581" s="3"/>
      <c r="EL581" s="3"/>
      <c r="EM581" s="3"/>
      <c r="EN581" s="3"/>
      <c r="EO581" s="131"/>
      <c r="EP581" s="15"/>
      <c r="EQ581" s="99"/>
      <c r="ER581" s="149"/>
      <c r="ES581" s="134"/>
      <c r="ET581" s="134"/>
      <c r="EU581" s="137"/>
      <c r="EV581" s="150"/>
      <c r="EW581" s="137"/>
      <c r="EX581" s="137"/>
      <c r="EY581" s="3"/>
      <c r="EZ581" s="138"/>
      <c r="FA581" s="2"/>
      <c r="FB581" s="139"/>
      <c r="FC581" s="3"/>
      <c r="FD581" s="3"/>
      <c r="FE581" s="3"/>
      <c r="FF581" s="3"/>
      <c r="FG581" s="3"/>
      <c r="FH581" s="3"/>
      <c r="FI581" s="3"/>
      <c r="FJ581" s="3"/>
      <c r="FK581" s="3"/>
      <c r="FL581" s="3"/>
      <c r="FM581" s="131"/>
      <c r="FN581" s="15"/>
      <c r="FO581" s="99"/>
      <c r="FP581" s="149"/>
      <c r="FQ581" s="134"/>
      <c r="FR581" s="134"/>
      <c r="FS581" s="137"/>
      <c r="FT581" s="150"/>
      <c r="FU581" s="137"/>
      <c r="FV581" s="137"/>
      <c r="FW581" s="3"/>
      <c r="FX581" s="138"/>
      <c r="FY581" s="2"/>
      <c r="FZ581" s="139"/>
      <c r="GA581" s="3"/>
      <c r="GB581" s="3"/>
      <c r="GC581" s="3"/>
      <c r="GD581" s="3"/>
      <c r="GE581" s="3"/>
      <c r="GF581" s="3"/>
      <c r="GG581" s="3"/>
      <c r="GH581" s="3"/>
      <c r="GI581" s="3"/>
      <c r="GJ581" s="3"/>
      <c r="GK581" s="131"/>
      <c r="GL581" s="15"/>
      <c r="GM581" s="99"/>
      <c r="GN581" s="149"/>
      <c r="GO581" s="134"/>
      <c r="GP581" s="134"/>
      <c r="GQ581" s="137"/>
      <c r="GR581" s="150"/>
      <c r="GS581" s="137"/>
      <c r="GT581" s="137"/>
      <c r="GU581" s="3"/>
      <c r="GV581" s="138"/>
      <c r="GW581" s="2"/>
      <c r="GX581" s="139"/>
      <c r="GY581" s="3"/>
      <c r="GZ581" s="3"/>
      <c r="HA581" s="3"/>
      <c r="HB581" s="3"/>
      <c r="HC581" s="3"/>
      <c r="HD581" s="3"/>
      <c r="HE581" s="3"/>
      <c r="HF581" s="3"/>
      <c r="HG581" s="3"/>
      <c r="HH581" s="3"/>
      <c r="HI581" s="131"/>
      <c r="HJ581" s="15"/>
      <c r="HK581" s="99"/>
      <c r="HL581" s="149"/>
      <c r="HM581" s="134"/>
      <c r="HN581" s="134"/>
      <c r="HO581" s="137"/>
      <c r="HP581" s="150"/>
      <c r="HQ581" s="137"/>
      <c r="HR581" s="137"/>
      <c r="HS581" s="3"/>
      <c r="HT581" s="138"/>
      <c r="HU581" s="2"/>
      <c r="HV581" s="139"/>
      <c r="HW581" s="3"/>
      <c r="HX581" s="3"/>
      <c r="HY581" s="3"/>
      <c r="HZ581" s="3"/>
      <c r="IA581" s="3"/>
      <c r="IB581" s="3"/>
      <c r="IC581" s="3"/>
      <c r="ID581" s="3"/>
      <c r="IE581" s="3"/>
      <c r="IF581" s="3"/>
      <c r="IG581" s="131"/>
      <c r="IH581" s="15"/>
      <c r="II581" s="99"/>
      <c r="IJ581" s="149"/>
      <c r="IK581" s="134"/>
      <c r="IL581" s="134"/>
      <c r="IM581" s="137"/>
      <c r="IN581" s="150"/>
      <c r="IO581" s="137"/>
      <c r="IP581" s="137"/>
      <c r="IQ581" s="3"/>
      <c r="IR581" s="138"/>
      <c r="IS581" s="2"/>
      <c r="IT581" s="139"/>
      <c r="IU581" s="3"/>
      <c r="IV581" s="3"/>
    </row>
    <row r="582" spans="1:256" s="125" customFormat="1" ht="13.5" customHeight="1">
      <c r="A582" s="213">
        <v>18</v>
      </c>
      <c r="B582" s="56">
        <v>43073</v>
      </c>
      <c r="C582" s="18"/>
      <c r="D582" s="19" t="s">
        <v>379</v>
      </c>
      <c r="E582" s="20" t="s">
        <v>394</v>
      </c>
      <c r="F582" s="120" t="s">
        <v>781</v>
      </c>
      <c r="G582" s="63">
        <v>1707</v>
      </c>
      <c r="H582" s="121">
        <f>70000+1701400-30000</f>
        <v>1741400</v>
      </c>
      <c r="I582" s="24"/>
      <c r="J582" s="24">
        <f t="shared" si="53"/>
        <v>1658476.1904761903</v>
      </c>
      <c r="K582" s="24">
        <f t="shared" si="49"/>
        <v>1658476.1904761903</v>
      </c>
      <c r="L582" s="123">
        <v>1</v>
      </c>
      <c r="M582" s="24">
        <f t="shared" si="50"/>
        <v>1658476.1904761903</v>
      </c>
      <c r="N582" s="124">
        <f t="shared" si="51"/>
        <v>0</v>
      </c>
      <c r="O582" s="196" t="s">
        <v>716</v>
      </c>
      <c r="P582" s="3"/>
      <c r="Q582" s="140"/>
      <c r="R582" s="3"/>
      <c r="S582" s="3"/>
      <c r="T582" s="3"/>
      <c r="U582" s="3"/>
      <c r="V582" s="3"/>
      <c r="W582" s="3"/>
      <c r="X582" s="3"/>
      <c r="Y582" s="131"/>
      <c r="Z582" s="15"/>
      <c r="AA582" s="99"/>
      <c r="AB582" s="149"/>
      <c r="AC582" s="134"/>
      <c r="AD582" s="134"/>
      <c r="AE582" s="137"/>
      <c r="AF582" s="150"/>
      <c r="AG582" s="137"/>
      <c r="AH582" s="137"/>
      <c r="AI582" s="3"/>
      <c r="AJ582" s="138"/>
      <c r="AK582" s="2"/>
      <c r="AL582" s="139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131"/>
      <c r="AX582" s="15"/>
      <c r="AY582" s="99"/>
      <c r="AZ582" s="149"/>
      <c r="BA582" s="134"/>
      <c r="BB582" s="134"/>
      <c r="BC582" s="137"/>
      <c r="BD582" s="150"/>
      <c r="BE582" s="137"/>
      <c r="BF582" s="137"/>
      <c r="BG582" s="3"/>
      <c r="BH582" s="138"/>
      <c r="BI582" s="2"/>
      <c r="BJ582" s="139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131"/>
      <c r="BV582" s="15"/>
      <c r="BW582" s="99"/>
      <c r="BX582" s="149"/>
      <c r="BY582" s="134"/>
      <c r="BZ582" s="134"/>
      <c r="CA582" s="137"/>
      <c r="CB582" s="150"/>
      <c r="CC582" s="137"/>
      <c r="CD582" s="137"/>
      <c r="CE582" s="3"/>
      <c r="CF582" s="138"/>
      <c r="CG582" s="2"/>
      <c r="CH582" s="139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131"/>
      <c r="CT582" s="15"/>
      <c r="CU582" s="99"/>
      <c r="CV582" s="149"/>
      <c r="CW582" s="134"/>
      <c r="CX582" s="134"/>
      <c r="CY582" s="137"/>
      <c r="CZ582" s="150"/>
      <c r="DA582" s="137"/>
      <c r="DB582" s="137"/>
      <c r="DC582" s="3"/>
      <c r="DD582" s="138"/>
      <c r="DE582" s="2"/>
      <c r="DF582" s="139"/>
      <c r="DG582" s="3"/>
      <c r="DH582" s="3"/>
      <c r="DI582" s="3"/>
      <c r="DJ582" s="3"/>
      <c r="DK582" s="3"/>
      <c r="DL582" s="3"/>
      <c r="DM582" s="3"/>
      <c r="DN582" s="3"/>
      <c r="DO582" s="3"/>
      <c r="DP582" s="3"/>
      <c r="DQ582" s="131"/>
      <c r="DR582" s="15"/>
      <c r="DS582" s="99"/>
      <c r="DT582" s="149"/>
      <c r="DU582" s="134"/>
      <c r="DV582" s="134"/>
      <c r="DW582" s="137"/>
      <c r="DX582" s="150"/>
      <c r="DY582" s="137"/>
      <c r="DZ582" s="137"/>
      <c r="EA582" s="3"/>
      <c r="EB582" s="138"/>
      <c r="EC582" s="2"/>
      <c r="ED582" s="139"/>
      <c r="EE582" s="3"/>
      <c r="EF582" s="3"/>
      <c r="EG582" s="3"/>
      <c r="EH582" s="3"/>
      <c r="EI582" s="3"/>
      <c r="EJ582" s="3"/>
      <c r="EK582" s="3"/>
      <c r="EL582" s="3"/>
      <c r="EM582" s="3"/>
      <c r="EN582" s="3"/>
      <c r="EO582" s="131"/>
      <c r="EP582" s="15"/>
      <c r="EQ582" s="99"/>
      <c r="ER582" s="149"/>
      <c r="ES582" s="134"/>
      <c r="ET582" s="134"/>
      <c r="EU582" s="137"/>
      <c r="EV582" s="150"/>
      <c r="EW582" s="137"/>
      <c r="EX582" s="137"/>
      <c r="EY582" s="3"/>
      <c r="EZ582" s="138"/>
      <c r="FA582" s="2"/>
      <c r="FB582" s="139"/>
      <c r="FC582" s="3"/>
      <c r="FD582" s="3"/>
      <c r="FE582" s="3"/>
      <c r="FF582" s="3"/>
      <c r="FG582" s="3"/>
      <c r="FH582" s="3"/>
      <c r="FI582" s="3"/>
      <c r="FJ582" s="3"/>
      <c r="FK582" s="3"/>
      <c r="FL582" s="3"/>
      <c r="FM582" s="131"/>
      <c r="FN582" s="15"/>
      <c r="FO582" s="99"/>
      <c r="FP582" s="149"/>
      <c r="FQ582" s="134"/>
      <c r="FR582" s="134"/>
      <c r="FS582" s="137"/>
      <c r="FT582" s="150"/>
      <c r="FU582" s="137"/>
      <c r="FV582" s="137"/>
      <c r="FW582" s="3"/>
      <c r="FX582" s="138"/>
      <c r="FY582" s="2"/>
      <c r="FZ582" s="139"/>
      <c r="GA582" s="3"/>
      <c r="GB582" s="3"/>
      <c r="GC582" s="3"/>
      <c r="GD582" s="3"/>
      <c r="GE582" s="3"/>
      <c r="GF582" s="3"/>
      <c r="GG582" s="3"/>
      <c r="GH582" s="3"/>
      <c r="GI582" s="3"/>
      <c r="GJ582" s="3"/>
      <c r="GK582" s="131"/>
      <c r="GL582" s="15"/>
      <c r="GM582" s="99"/>
      <c r="GN582" s="149"/>
      <c r="GO582" s="134"/>
      <c r="GP582" s="134"/>
      <c r="GQ582" s="137"/>
      <c r="GR582" s="150"/>
      <c r="GS582" s="137"/>
      <c r="GT582" s="137"/>
      <c r="GU582" s="3"/>
      <c r="GV582" s="138"/>
      <c r="GW582" s="2"/>
      <c r="GX582" s="139"/>
      <c r="GY582" s="3"/>
      <c r="GZ582" s="3"/>
      <c r="HA582" s="3"/>
      <c r="HB582" s="3"/>
      <c r="HC582" s="3"/>
      <c r="HD582" s="3"/>
      <c r="HE582" s="3"/>
      <c r="HF582" s="3"/>
      <c r="HG582" s="3"/>
      <c r="HH582" s="3"/>
      <c r="HI582" s="131"/>
      <c r="HJ582" s="15"/>
      <c r="HK582" s="99"/>
      <c r="HL582" s="149"/>
      <c r="HM582" s="134"/>
      <c r="HN582" s="134"/>
      <c r="HO582" s="137"/>
      <c r="HP582" s="150"/>
      <c r="HQ582" s="137"/>
      <c r="HR582" s="137"/>
      <c r="HS582" s="3"/>
      <c r="HT582" s="138"/>
      <c r="HU582" s="2"/>
      <c r="HV582" s="139"/>
      <c r="HW582" s="3"/>
      <c r="HX582" s="3"/>
      <c r="HY582" s="3"/>
      <c r="HZ582" s="3"/>
      <c r="IA582" s="3"/>
      <c r="IB582" s="3"/>
      <c r="IC582" s="3"/>
      <c r="ID582" s="3"/>
      <c r="IE582" s="3"/>
      <c r="IF582" s="3"/>
      <c r="IG582" s="131"/>
      <c r="IH582" s="15"/>
      <c r="II582" s="99"/>
      <c r="IJ582" s="149"/>
      <c r="IK582" s="134"/>
      <c r="IL582" s="134"/>
      <c r="IM582" s="137"/>
      <c r="IN582" s="150"/>
      <c r="IO582" s="137"/>
      <c r="IP582" s="137"/>
      <c r="IQ582" s="3"/>
      <c r="IR582" s="138"/>
      <c r="IS582" s="2"/>
      <c r="IT582" s="139"/>
      <c r="IU582" s="3"/>
      <c r="IV582" s="3"/>
    </row>
    <row r="583" spans="1:256" s="125" customFormat="1" ht="13.5" customHeight="1">
      <c r="A583" s="213">
        <v>19</v>
      </c>
      <c r="B583" s="56">
        <v>43089</v>
      </c>
      <c r="C583" s="18"/>
      <c r="D583" s="19" t="s">
        <v>472</v>
      </c>
      <c r="E583" s="20" t="s">
        <v>473</v>
      </c>
      <c r="F583" s="82" t="s">
        <v>782</v>
      </c>
      <c r="G583" s="58">
        <v>1709</v>
      </c>
      <c r="H583" s="121">
        <v>2246600</v>
      </c>
      <c r="I583" s="24"/>
      <c r="J583" s="24">
        <f t="shared" si="53"/>
        <v>2139619.0476190476</v>
      </c>
      <c r="K583" s="24">
        <f t="shared" si="49"/>
        <v>2139619.0476190476</v>
      </c>
      <c r="L583" s="123">
        <v>1</v>
      </c>
      <c r="M583" s="24">
        <f t="shared" si="50"/>
        <v>2139619.0476190476</v>
      </c>
      <c r="N583" s="124">
        <f t="shared" si="51"/>
        <v>0</v>
      </c>
      <c r="O583" s="196" t="s">
        <v>716</v>
      </c>
      <c r="P583" s="3"/>
      <c r="Q583" s="140"/>
      <c r="R583" s="3"/>
      <c r="S583" s="3"/>
      <c r="T583" s="3"/>
      <c r="U583" s="3"/>
      <c r="V583" s="3"/>
      <c r="W583" s="3"/>
      <c r="X583" s="3"/>
      <c r="Y583" s="131"/>
      <c r="Z583" s="15"/>
      <c r="AA583" s="99"/>
      <c r="AB583" s="149"/>
      <c r="AC583" s="134"/>
      <c r="AD583" s="134"/>
      <c r="AE583" s="137"/>
      <c r="AF583" s="150"/>
      <c r="AG583" s="137"/>
      <c r="AH583" s="137"/>
      <c r="AI583" s="3"/>
      <c r="AJ583" s="138"/>
      <c r="AK583" s="2"/>
      <c r="AL583" s="139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131"/>
      <c r="AX583" s="15"/>
      <c r="AY583" s="99"/>
      <c r="AZ583" s="149"/>
      <c r="BA583" s="134"/>
      <c r="BB583" s="134"/>
      <c r="BC583" s="137"/>
      <c r="BD583" s="150"/>
      <c r="BE583" s="137"/>
      <c r="BF583" s="137"/>
      <c r="BG583" s="3"/>
      <c r="BH583" s="138"/>
      <c r="BI583" s="2"/>
      <c r="BJ583" s="139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131"/>
      <c r="BV583" s="15"/>
      <c r="BW583" s="99"/>
      <c r="BX583" s="149"/>
      <c r="BY583" s="134"/>
      <c r="BZ583" s="134"/>
      <c r="CA583" s="137"/>
      <c r="CB583" s="150"/>
      <c r="CC583" s="137"/>
      <c r="CD583" s="137"/>
      <c r="CE583" s="3"/>
      <c r="CF583" s="138"/>
      <c r="CG583" s="2"/>
      <c r="CH583" s="139"/>
      <c r="CI583" s="3"/>
      <c r="CJ583" s="3"/>
      <c r="CK583" s="3"/>
      <c r="CL583" s="3"/>
      <c r="CM583" s="3"/>
      <c r="CN583" s="3"/>
      <c r="CO583" s="3"/>
      <c r="CP583" s="3"/>
      <c r="CQ583" s="3"/>
      <c r="CR583" s="3"/>
      <c r="CS583" s="131"/>
      <c r="CT583" s="15"/>
      <c r="CU583" s="99"/>
      <c r="CV583" s="149"/>
      <c r="CW583" s="134"/>
      <c r="CX583" s="134"/>
      <c r="CY583" s="137"/>
      <c r="CZ583" s="150"/>
      <c r="DA583" s="137"/>
      <c r="DB583" s="137"/>
      <c r="DC583" s="3"/>
      <c r="DD583" s="138"/>
      <c r="DE583" s="2"/>
      <c r="DF583" s="139"/>
      <c r="DG583" s="3"/>
      <c r="DH583" s="3"/>
      <c r="DI583" s="3"/>
      <c r="DJ583" s="3"/>
      <c r="DK583" s="3"/>
      <c r="DL583" s="3"/>
      <c r="DM583" s="3"/>
      <c r="DN583" s="3"/>
      <c r="DO583" s="3"/>
      <c r="DP583" s="3"/>
      <c r="DQ583" s="131"/>
      <c r="DR583" s="15"/>
      <c r="DS583" s="99"/>
      <c r="DT583" s="149"/>
      <c r="DU583" s="134"/>
      <c r="DV583" s="134"/>
      <c r="DW583" s="137"/>
      <c r="DX583" s="150"/>
      <c r="DY583" s="137"/>
      <c r="DZ583" s="137"/>
      <c r="EA583" s="3"/>
      <c r="EB583" s="138"/>
      <c r="EC583" s="2"/>
      <c r="ED583" s="139"/>
      <c r="EE583" s="3"/>
      <c r="EF583" s="3"/>
      <c r="EG583" s="3"/>
      <c r="EH583" s="3"/>
      <c r="EI583" s="3"/>
      <c r="EJ583" s="3"/>
      <c r="EK583" s="3"/>
      <c r="EL583" s="3"/>
      <c r="EM583" s="3"/>
      <c r="EN583" s="3"/>
      <c r="EO583" s="131"/>
      <c r="EP583" s="15"/>
      <c r="EQ583" s="99"/>
      <c r="ER583" s="149"/>
      <c r="ES583" s="134"/>
      <c r="ET583" s="134"/>
      <c r="EU583" s="137"/>
      <c r="EV583" s="150"/>
      <c r="EW583" s="137"/>
      <c r="EX583" s="137"/>
      <c r="EY583" s="3"/>
      <c r="EZ583" s="138"/>
      <c r="FA583" s="2"/>
      <c r="FB583" s="139"/>
      <c r="FC583" s="3"/>
      <c r="FD583" s="3"/>
      <c r="FE583" s="3"/>
      <c r="FF583" s="3"/>
      <c r="FG583" s="3"/>
      <c r="FH583" s="3"/>
      <c r="FI583" s="3"/>
      <c r="FJ583" s="3"/>
      <c r="FK583" s="3"/>
      <c r="FL583" s="3"/>
      <c r="FM583" s="131"/>
      <c r="FN583" s="15"/>
      <c r="FO583" s="99"/>
      <c r="FP583" s="149"/>
      <c r="FQ583" s="134"/>
      <c r="FR583" s="134"/>
      <c r="FS583" s="137"/>
      <c r="FT583" s="150"/>
      <c r="FU583" s="137"/>
      <c r="FV583" s="137"/>
      <c r="FW583" s="3"/>
      <c r="FX583" s="138"/>
      <c r="FY583" s="2"/>
      <c r="FZ583" s="139"/>
      <c r="GA583" s="3"/>
      <c r="GB583" s="3"/>
      <c r="GC583" s="3"/>
      <c r="GD583" s="3"/>
      <c r="GE583" s="3"/>
      <c r="GF583" s="3"/>
      <c r="GG583" s="3"/>
      <c r="GH583" s="3"/>
      <c r="GI583" s="3"/>
      <c r="GJ583" s="3"/>
      <c r="GK583" s="131"/>
      <c r="GL583" s="15"/>
      <c r="GM583" s="99"/>
      <c r="GN583" s="149"/>
      <c r="GO583" s="134"/>
      <c r="GP583" s="134"/>
      <c r="GQ583" s="137"/>
      <c r="GR583" s="150"/>
      <c r="GS583" s="137"/>
      <c r="GT583" s="137"/>
      <c r="GU583" s="3"/>
      <c r="GV583" s="138"/>
      <c r="GW583" s="2"/>
      <c r="GX583" s="139"/>
      <c r="GY583" s="3"/>
      <c r="GZ583" s="3"/>
      <c r="HA583" s="3"/>
      <c r="HB583" s="3"/>
      <c r="HC583" s="3"/>
      <c r="HD583" s="3"/>
      <c r="HE583" s="3"/>
      <c r="HF583" s="3"/>
      <c r="HG583" s="3"/>
      <c r="HH583" s="3"/>
      <c r="HI583" s="131"/>
      <c r="HJ583" s="15"/>
      <c r="HK583" s="99"/>
      <c r="HL583" s="149"/>
      <c r="HM583" s="134"/>
      <c r="HN583" s="134"/>
      <c r="HO583" s="137"/>
      <c r="HP583" s="150"/>
      <c r="HQ583" s="137"/>
      <c r="HR583" s="137"/>
      <c r="HS583" s="3"/>
      <c r="HT583" s="138"/>
      <c r="HU583" s="2"/>
      <c r="HV583" s="139"/>
      <c r="HW583" s="3"/>
      <c r="HX583" s="3"/>
      <c r="HY583" s="3"/>
      <c r="HZ583" s="3"/>
      <c r="IA583" s="3"/>
      <c r="IB583" s="3"/>
      <c r="IC583" s="3"/>
      <c r="ID583" s="3"/>
      <c r="IE583" s="3"/>
      <c r="IF583" s="3"/>
      <c r="IG583" s="131"/>
      <c r="IH583" s="15"/>
      <c r="II583" s="99"/>
      <c r="IJ583" s="149"/>
      <c r="IK583" s="134"/>
      <c r="IL583" s="134"/>
      <c r="IM583" s="137"/>
      <c r="IN583" s="150"/>
      <c r="IO583" s="137"/>
      <c r="IP583" s="137"/>
      <c r="IQ583" s="3"/>
      <c r="IR583" s="138"/>
      <c r="IS583" s="2"/>
      <c r="IT583" s="139"/>
      <c r="IU583" s="3"/>
      <c r="IV583" s="3"/>
    </row>
    <row r="584" spans="1:256" s="125" customFormat="1" ht="13.5" customHeight="1">
      <c r="A584" s="213">
        <v>20</v>
      </c>
      <c r="B584" s="60">
        <v>43094</v>
      </c>
      <c r="C584" s="18"/>
      <c r="D584" s="19" t="s">
        <v>323</v>
      </c>
      <c r="E584" s="20" t="s">
        <v>330</v>
      </c>
      <c r="F584" s="168" t="s">
        <v>783</v>
      </c>
      <c r="G584" s="63">
        <v>1708</v>
      </c>
      <c r="H584" s="121">
        <v>2440000</v>
      </c>
      <c r="I584" s="24"/>
      <c r="J584" s="24">
        <f t="shared" si="53"/>
        <v>2323809.5238095238</v>
      </c>
      <c r="K584" s="24">
        <f t="shared" si="49"/>
        <v>2323809.5238095238</v>
      </c>
      <c r="L584" s="123">
        <v>1</v>
      </c>
      <c r="M584" s="24">
        <f t="shared" si="50"/>
        <v>2323809.5238095238</v>
      </c>
      <c r="N584" s="124">
        <f t="shared" si="51"/>
        <v>0</v>
      </c>
      <c r="O584" s="196" t="s">
        <v>563</v>
      </c>
      <c r="P584" s="3"/>
      <c r="Q584" s="140"/>
      <c r="R584" s="3"/>
      <c r="S584" s="3"/>
      <c r="T584" s="3"/>
      <c r="U584" s="3"/>
      <c r="V584" s="3"/>
      <c r="W584" s="3"/>
      <c r="X584" s="3"/>
      <c r="Y584" s="131"/>
      <c r="Z584" s="15"/>
      <c r="AA584" s="99"/>
      <c r="AB584" s="149"/>
      <c r="AC584" s="134"/>
      <c r="AD584" s="134"/>
      <c r="AE584" s="137"/>
      <c r="AF584" s="150"/>
      <c r="AG584" s="137"/>
      <c r="AH584" s="137"/>
      <c r="AI584" s="3"/>
      <c r="AJ584" s="138"/>
      <c r="AK584" s="2"/>
      <c r="AL584" s="139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131"/>
      <c r="AX584" s="15"/>
      <c r="AY584" s="99"/>
      <c r="AZ584" s="149"/>
      <c r="BA584" s="134"/>
      <c r="BB584" s="134"/>
      <c r="BC584" s="137"/>
      <c r="BD584" s="150"/>
      <c r="BE584" s="137"/>
      <c r="BF584" s="137"/>
      <c r="BG584" s="3"/>
      <c r="BH584" s="138"/>
      <c r="BI584" s="2"/>
      <c r="BJ584" s="139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131"/>
      <c r="BV584" s="15"/>
      <c r="BW584" s="99"/>
      <c r="BX584" s="149"/>
      <c r="BY584" s="134"/>
      <c r="BZ584" s="134"/>
      <c r="CA584" s="137"/>
      <c r="CB584" s="150"/>
      <c r="CC584" s="137"/>
      <c r="CD584" s="137"/>
      <c r="CE584" s="3"/>
      <c r="CF584" s="138"/>
      <c r="CG584" s="2"/>
      <c r="CH584" s="139"/>
      <c r="CI584" s="3"/>
      <c r="CJ584" s="3"/>
      <c r="CK584" s="3"/>
      <c r="CL584" s="3"/>
      <c r="CM584" s="3"/>
      <c r="CN584" s="3"/>
      <c r="CO584" s="3"/>
      <c r="CP584" s="3"/>
      <c r="CQ584" s="3"/>
      <c r="CR584" s="3"/>
      <c r="CS584" s="131"/>
      <c r="CT584" s="15"/>
      <c r="CU584" s="99"/>
      <c r="CV584" s="149"/>
      <c r="CW584" s="134"/>
      <c r="CX584" s="134"/>
      <c r="CY584" s="137"/>
      <c r="CZ584" s="150"/>
      <c r="DA584" s="137"/>
      <c r="DB584" s="137"/>
      <c r="DC584" s="3"/>
      <c r="DD584" s="138"/>
      <c r="DE584" s="2"/>
      <c r="DF584" s="139"/>
      <c r="DG584" s="3"/>
      <c r="DH584" s="3"/>
      <c r="DI584" s="3"/>
      <c r="DJ584" s="3"/>
      <c r="DK584" s="3"/>
      <c r="DL584" s="3"/>
      <c r="DM584" s="3"/>
      <c r="DN584" s="3"/>
      <c r="DO584" s="3"/>
      <c r="DP584" s="3"/>
      <c r="DQ584" s="131"/>
      <c r="DR584" s="15"/>
      <c r="DS584" s="99"/>
      <c r="DT584" s="149"/>
      <c r="DU584" s="134"/>
      <c r="DV584" s="134"/>
      <c r="DW584" s="137"/>
      <c r="DX584" s="150"/>
      <c r="DY584" s="137"/>
      <c r="DZ584" s="137"/>
      <c r="EA584" s="3"/>
      <c r="EB584" s="138"/>
      <c r="EC584" s="2"/>
      <c r="ED584" s="139"/>
      <c r="EE584" s="3"/>
      <c r="EF584" s="3"/>
      <c r="EG584" s="3"/>
      <c r="EH584" s="3"/>
      <c r="EI584" s="3"/>
      <c r="EJ584" s="3"/>
      <c r="EK584" s="3"/>
      <c r="EL584" s="3"/>
      <c r="EM584" s="3"/>
      <c r="EN584" s="3"/>
      <c r="EO584" s="131"/>
      <c r="EP584" s="15"/>
      <c r="EQ584" s="99"/>
      <c r="ER584" s="149"/>
      <c r="ES584" s="134"/>
      <c r="ET584" s="134"/>
      <c r="EU584" s="137"/>
      <c r="EV584" s="150"/>
      <c r="EW584" s="137"/>
      <c r="EX584" s="137"/>
      <c r="EY584" s="3"/>
      <c r="EZ584" s="138"/>
      <c r="FA584" s="2"/>
      <c r="FB584" s="139"/>
      <c r="FC584" s="3"/>
      <c r="FD584" s="3"/>
      <c r="FE584" s="3"/>
      <c r="FF584" s="3"/>
      <c r="FG584" s="3"/>
      <c r="FH584" s="3"/>
      <c r="FI584" s="3"/>
      <c r="FJ584" s="3"/>
      <c r="FK584" s="3"/>
      <c r="FL584" s="3"/>
      <c r="FM584" s="131"/>
      <c r="FN584" s="15"/>
      <c r="FO584" s="99"/>
      <c r="FP584" s="149"/>
      <c r="FQ584" s="134"/>
      <c r="FR584" s="134"/>
      <c r="FS584" s="137"/>
      <c r="FT584" s="150"/>
      <c r="FU584" s="137"/>
      <c r="FV584" s="137"/>
      <c r="FW584" s="3"/>
      <c r="FX584" s="138"/>
      <c r="FY584" s="2"/>
      <c r="FZ584" s="139"/>
      <c r="GA584" s="3"/>
      <c r="GB584" s="3"/>
      <c r="GC584" s="3"/>
      <c r="GD584" s="3"/>
      <c r="GE584" s="3"/>
      <c r="GF584" s="3"/>
      <c r="GG584" s="3"/>
      <c r="GH584" s="3"/>
      <c r="GI584" s="3"/>
      <c r="GJ584" s="3"/>
      <c r="GK584" s="131"/>
      <c r="GL584" s="15"/>
      <c r="GM584" s="99"/>
      <c r="GN584" s="149"/>
      <c r="GO584" s="134"/>
      <c r="GP584" s="134"/>
      <c r="GQ584" s="137"/>
      <c r="GR584" s="150"/>
      <c r="GS584" s="137"/>
      <c r="GT584" s="137"/>
      <c r="GU584" s="3"/>
      <c r="GV584" s="138"/>
      <c r="GW584" s="2"/>
      <c r="GX584" s="139"/>
      <c r="GY584" s="3"/>
      <c r="GZ584" s="3"/>
      <c r="HA584" s="3"/>
      <c r="HB584" s="3"/>
      <c r="HC584" s="3"/>
      <c r="HD584" s="3"/>
      <c r="HE584" s="3"/>
      <c r="HF584" s="3"/>
      <c r="HG584" s="3"/>
      <c r="HH584" s="3"/>
      <c r="HI584" s="131"/>
      <c r="HJ584" s="15"/>
      <c r="HK584" s="99"/>
      <c r="HL584" s="149"/>
      <c r="HM584" s="134"/>
      <c r="HN584" s="134"/>
      <c r="HO584" s="137"/>
      <c r="HP584" s="150"/>
      <c r="HQ584" s="137"/>
      <c r="HR584" s="137"/>
      <c r="HS584" s="3"/>
      <c r="HT584" s="138"/>
      <c r="HU584" s="2"/>
      <c r="HV584" s="139"/>
      <c r="HW584" s="3"/>
      <c r="HX584" s="3"/>
      <c r="HY584" s="3"/>
      <c r="HZ584" s="3"/>
      <c r="IA584" s="3"/>
      <c r="IB584" s="3"/>
      <c r="IC584" s="3"/>
      <c r="ID584" s="3"/>
      <c r="IE584" s="3"/>
      <c r="IF584" s="3"/>
      <c r="IG584" s="131"/>
      <c r="IH584" s="15"/>
      <c r="II584" s="99"/>
      <c r="IJ584" s="149"/>
      <c r="IK584" s="134"/>
      <c r="IL584" s="134"/>
      <c r="IM584" s="137"/>
      <c r="IN584" s="150"/>
      <c r="IO584" s="137"/>
      <c r="IP584" s="137"/>
      <c r="IQ584" s="3"/>
      <c r="IR584" s="138"/>
      <c r="IS584" s="2"/>
      <c r="IT584" s="139"/>
      <c r="IU584" s="3"/>
      <c r="IV584" s="3"/>
    </row>
    <row r="585" spans="1:256" s="125" customFormat="1" ht="13.5" customHeight="1">
      <c r="A585" s="213">
        <v>21</v>
      </c>
      <c r="B585" s="83">
        <v>43081</v>
      </c>
      <c r="C585" s="18"/>
      <c r="D585" s="19" t="s">
        <v>441</v>
      </c>
      <c r="E585" s="20" t="s">
        <v>447</v>
      </c>
      <c r="F585" s="82" t="s">
        <v>784</v>
      </c>
      <c r="G585" s="63">
        <v>1710</v>
      </c>
      <c r="H585" s="121">
        <v>1626200</v>
      </c>
      <c r="I585" s="24"/>
      <c r="J585" s="24">
        <f t="shared" si="53"/>
        <v>1548761.9047619046</v>
      </c>
      <c r="K585" s="24">
        <f t="shared" si="49"/>
        <v>1548761.9047619046</v>
      </c>
      <c r="L585" s="123">
        <v>1</v>
      </c>
      <c r="M585" s="24">
        <f t="shared" si="50"/>
        <v>1548761.9047619046</v>
      </c>
      <c r="N585" s="124">
        <f t="shared" si="51"/>
        <v>0</v>
      </c>
      <c r="O585" s="196" t="s">
        <v>563</v>
      </c>
      <c r="P585" s="3"/>
      <c r="Q585" s="140"/>
      <c r="R585" s="3"/>
      <c r="S585" s="3"/>
      <c r="T585" s="3"/>
      <c r="U585" s="3"/>
      <c r="V585" s="3"/>
      <c r="W585" s="3"/>
      <c r="X585" s="3"/>
      <c r="Y585" s="131"/>
      <c r="Z585" s="15"/>
      <c r="AA585" s="99"/>
      <c r="AB585" s="149"/>
      <c r="AC585" s="134"/>
      <c r="AD585" s="134"/>
      <c r="AE585" s="137"/>
      <c r="AF585" s="150"/>
      <c r="AG585" s="137"/>
      <c r="AH585" s="137"/>
      <c r="AI585" s="3"/>
      <c r="AJ585" s="138"/>
      <c r="AK585" s="2"/>
      <c r="AL585" s="139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131"/>
      <c r="AX585" s="15"/>
      <c r="AY585" s="99"/>
      <c r="AZ585" s="149"/>
      <c r="BA585" s="134"/>
      <c r="BB585" s="134"/>
      <c r="BC585" s="137"/>
      <c r="BD585" s="150"/>
      <c r="BE585" s="137"/>
      <c r="BF585" s="137"/>
      <c r="BG585" s="3"/>
      <c r="BH585" s="138"/>
      <c r="BI585" s="2"/>
      <c r="BJ585" s="139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131"/>
      <c r="BV585" s="15"/>
      <c r="BW585" s="99"/>
      <c r="BX585" s="149"/>
      <c r="BY585" s="134"/>
      <c r="BZ585" s="134"/>
      <c r="CA585" s="137"/>
      <c r="CB585" s="150"/>
      <c r="CC585" s="137"/>
      <c r="CD585" s="137"/>
      <c r="CE585" s="3"/>
      <c r="CF585" s="138"/>
      <c r="CG585" s="2"/>
      <c r="CH585" s="139"/>
      <c r="CI585" s="3"/>
      <c r="CJ585" s="3"/>
      <c r="CK585" s="3"/>
      <c r="CL585" s="3"/>
      <c r="CM585" s="3"/>
      <c r="CN585" s="3"/>
      <c r="CO585" s="3"/>
      <c r="CP585" s="3"/>
      <c r="CQ585" s="3"/>
      <c r="CR585" s="3"/>
      <c r="CS585" s="131"/>
      <c r="CT585" s="15"/>
      <c r="CU585" s="99"/>
      <c r="CV585" s="149"/>
      <c r="CW585" s="134"/>
      <c r="CX585" s="134"/>
      <c r="CY585" s="137"/>
      <c r="CZ585" s="150"/>
      <c r="DA585" s="137"/>
      <c r="DB585" s="137"/>
      <c r="DC585" s="3"/>
      <c r="DD585" s="138"/>
      <c r="DE585" s="2"/>
      <c r="DF585" s="139"/>
      <c r="DG585" s="3"/>
      <c r="DH585" s="3"/>
      <c r="DI585" s="3"/>
      <c r="DJ585" s="3"/>
      <c r="DK585" s="3"/>
      <c r="DL585" s="3"/>
      <c r="DM585" s="3"/>
      <c r="DN585" s="3"/>
      <c r="DO585" s="3"/>
      <c r="DP585" s="3"/>
      <c r="DQ585" s="131"/>
      <c r="DR585" s="15"/>
      <c r="DS585" s="99"/>
      <c r="DT585" s="149"/>
      <c r="DU585" s="134"/>
      <c r="DV585" s="134"/>
      <c r="DW585" s="137"/>
      <c r="DX585" s="150"/>
      <c r="DY585" s="137"/>
      <c r="DZ585" s="137"/>
      <c r="EA585" s="3"/>
      <c r="EB585" s="138"/>
      <c r="EC585" s="2"/>
      <c r="ED585" s="139"/>
      <c r="EE585" s="3"/>
      <c r="EF585" s="3"/>
      <c r="EG585" s="3"/>
      <c r="EH585" s="3"/>
      <c r="EI585" s="3"/>
      <c r="EJ585" s="3"/>
      <c r="EK585" s="3"/>
      <c r="EL585" s="3"/>
      <c r="EM585" s="3"/>
      <c r="EN585" s="3"/>
      <c r="EO585" s="131"/>
      <c r="EP585" s="15"/>
      <c r="EQ585" s="99"/>
      <c r="ER585" s="149"/>
      <c r="ES585" s="134"/>
      <c r="ET585" s="134"/>
      <c r="EU585" s="137"/>
      <c r="EV585" s="150"/>
      <c r="EW585" s="137"/>
      <c r="EX585" s="137"/>
      <c r="EY585" s="3"/>
      <c r="EZ585" s="138"/>
      <c r="FA585" s="2"/>
      <c r="FB585" s="139"/>
      <c r="FC585" s="3"/>
      <c r="FD585" s="3"/>
      <c r="FE585" s="3"/>
      <c r="FF585" s="3"/>
      <c r="FG585" s="3"/>
      <c r="FH585" s="3"/>
      <c r="FI585" s="3"/>
      <c r="FJ585" s="3"/>
      <c r="FK585" s="3"/>
      <c r="FL585" s="3"/>
      <c r="FM585" s="131"/>
      <c r="FN585" s="15"/>
      <c r="FO585" s="99"/>
      <c r="FP585" s="149"/>
      <c r="FQ585" s="134"/>
      <c r="FR585" s="134"/>
      <c r="FS585" s="137"/>
      <c r="FT585" s="150"/>
      <c r="FU585" s="137"/>
      <c r="FV585" s="137"/>
      <c r="FW585" s="3"/>
      <c r="FX585" s="138"/>
      <c r="FY585" s="2"/>
      <c r="FZ585" s="139"/>
      <c r="GA585" s="3"/>
      <c r="GB585" s="3"/>
      <c r="GC585" s="3"/>
      <c r="GD585" s="3"/>
      <c r="GE585" s="3"/>
      <c r="GF585" s="3"/>
      <c r="GG585" s="3"/>
      <c r="GH585" s="3"/>
      <c r="GI585" s="3"/>
      <c r="GJ585" s="3"/>
      <c r="GK585" s="131"/>
      <c r="GL585" s="15"/>
      <c r="GM585" s="99"/>
      <c r="GN585" s="149"/>
      <c r="GO585" s="134"/>
      <c r="GP585" s="134"/>
      <c r="GQ585" s="137"/>
      <c r="GR585" s="150"/>
      <c r="GS585" s="137"/>
      <c r="GT585" s="137"/>
      <c r="GU585" s="3"/>
      <c r="GV585" s="138"/>
      <c r="GW585" s="2"/>
      <c r="GX585" s="139"/>
      <c r="GY585" s="3"/>
      <c r="GZ585" s="3"/>
      <c r="HA585" s="3"/>
      <c r="HB585" s="3"/>
      <c r="HC585" s="3"/>
      <c r="HD585" s="3"/>
      <c r="HE585" s="3"/>
      <c r="HF585" s="3"/>
      <c r="HG585" s="3"/>
      <c r="HH585" s="3"/>
      <c r="HI585" s="131"/>
      <c r="HJ585" s="15"/>
      <c r="HK585" s="99"/>
      <c r="HL585" s="149"/>
      <c r="HM585" s="134"/>
      <c r="HN585" s="134"/>
      <c r="HO585" s="137"/>
      <c r="HP585" s="150"/>
      <c r="HQ585" s="137"/>
      <c r="HR585" s="137"/>
      <c r="HS585" s="3"/>
      <c r="HT585" s="138"/>
      <c r="HU585" s="2"/>
      <c r="HV585" s="139"/>
      <c r="HW585" s="3"/>
      <c r="HX585" s="3"/>
      <c r="HY585" s="3"/>
      <c r="HZ585" s="3"/>
      <c r="IA585" s="3"/>
      <c r="IB585" s="3"/>
      <c r="IC585" s="3"/>
      <c r="ID585" s="3"/>
      <c r="IE585" s="3"/>
      <c r="IF585" s="3"/>
      <c r="IG585" s="131"/>
      <c r="IH585" s="15"/>
      <c r="II585" s="99"/>
      <c r="IJ585" s="149"/>
      <c r="IK585" s="134"/>
      <c r="IL585" s="134"/>
      <c r="IM585" s="137"/>
      <c r="IN585" s="150"/>
      <c r="IO585" s="137"/>
      <c r="IP585" s="137"/>
      <c r="IQ585" s="3"/>
      <c r="IR585" s="138"/>
      <c r="IS585" s="2"/>
      <c r="IT585" s="139"/>
      <c r="IU585" s="3"/>
      <c r="IV585" s="3"/>
    </row>
    <row r="586" spans="1:256" s="125" customFormat="1" ht="13.5" customHeight="1">
      <c r="A586" s="213">
        <v>22</v>
      </c>
      <c r="B586" s="60">
        <v>43081</v>
      </c>
      <c r="C586" s="18"/>
      <c r="D586" s="19" t="s">
        <v>316</v>
      </c>
      <c r="E586" s="20" t="s">
        <v>413</v>
      </c>
      <c r="F586" s="168" t="s">
        <v>785</v>
      </c>
      <c r="G586" s="63">
        <v>1708</v>
      </c>
      <c r="H586" s="121">
        <v>2010000</v>
      </c>
      <c r="I586" s="24"/>
      <c r="J586" s="24">
        <f t="shared" si="53"/>
        <v>1914285.7142857143</v>
      </c>
      <c r="K586" s="24">
        <f t="shared" si="49"/>
        <v>1914285.7142857143</v>
      </c>
      <c r="L586" s="123">
        <v>1</v>
      </c>
      <c r="M586" s="24">
        <f t="shared" si="50"/>
        <v>1914285.7142857143</v>
      </c>
      <c r="N586" s="124">
        <f t="shared" si="51"/>
        <v>0</v>
      </c>
      <c r="O586" s="196" t="s">
        <v>541</v>
      </c>
      <c r="P586" s="3"/>
      <c r="Q586" s="140"/>
      <c r="R586" s="3"/>
      <c r="S586" s="3"/>
      <c r="T586" s="3"/>
      <c r="U586" s="3"/>
      <c r="V586" s="3"/>
      <c r="W586" s="3"/>
      <c r="X586" s="3"/>
      <c r="Y586" s="131"/>
      <c r="Z586" s="15"/>
      <c r="AA586" s="99"/>
      <c r="AB586" s="149"/>
      <c r="AC586" s="134"/>
      <c r="AD586" s="134"/>
      <c r="AE586" s="137"/>
      <c r="AF586" s="150"/>
      <c r="AG586" s="137"/>
      <c r="AH586" s="137"/>
      <c r="AI586" s="3"/>
      <c r="AJ586" s="138"/>
      <c r="AK586" s="2"/>
      <c r="AL586" s="139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131"/>
      <c r="AX586" s="15"/>
      <c r="AY586" s="99"/>
      <c r="AZ586" s="149"/>
      <c r="BA586" s="134"/>
      <c r="BB586" s="134"/>
      <c r="BC586" s="137"/>
      <c r="BD586" s="150"/>
      <c r="BE586" s="137"/>
      <c r="BF586" s="137"/>
      <c r="BG586" s="3"/>
      <c r="BH586" s="138"/>
      <c r="BI586" s="2"/>
      <c r="BJ586" s="139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131"/>
      <c r="BV586" s="15"/>
      <c r="BW586" s="99"/>
      <c r="BX586" s="149"/>
      <c r="BY586" s="134"/>
      <c r="BZ586" s="134"/>
      <c r="CA586" s="137"/>
      <c r="CB586" s="150"/>
      <c r="CC586" s="137"/>
      <c r="CD586" s="137"/>
      <c r="CE586" s="3"/>
      <c r="CF586" s="138"/>
      <c r="CG586" s="2"/>
      <c r="CH586" s="139"/>
      <c r="CI586" s="3"/>
      <c r="CJ586" s="3"/>
      <c r="CK586" s="3"/>
      <c r="CL586" s="3"/>
      <c r="CM586" s="3"/>
      <c r="CN586" s="3"/>
      <c r="CO586" s="3"/>
      <c r="CP586" s="3"/>
      <c r="CQ586" s="3"/>
      <c r="CR586" s="3"/>
      <c r="CS586" s="131"/>
      <c r="CT586" s="15"/>
      <c r="CU586" s="99"/>
      <c r="CV586" s="149"/>
      <c r="CW586" s="134"/>
      <c r="CX586" s="134"/>
      <c r="CY586" s="137"/>
      <c r="CZ586" s="150"/>
      <c r="DA586" s="137"/>
      <c r="DB586" s="137"/>
      <c r="DC586" s="3"/>
      <c r="DD586" s="138"/>
      <c r="DE586" s="2"/>
      <c r="DF586" s="139"/>
      <c r="DG586" s="3"/>
      <c r="DH586" s="3"/>
      <c r="DI586" s="3"/>
      <c r="DJ586" s="3"/>
      <c r="DK586" s="3"/>
      <c r="DL586" s="3"/>
      <c r="DM586" s="3"/>
      <c r="DN586" s="3"/>
      <c r="DO586" s="3"/>
      <c r="DP586" s="3"/>
      <c r="DQ586" s="131"/>
      <c r="DR586" s="15"/>
      <c r="DS586" s="99"/>
      <c r="DT586" s="149"/>
      <c r="DU586" s="134"/>
      <c r="DV586" s="134"/>
      <c r="DW586" s="137"/>
      <c r="DX586" s="150"/>
      <c r="DY586" s="137"/>
      <c r="DZ586" s="137"/>
      <c r="EA586" s="3"/>
      <c r="EB586" s="138"/>
      <c r="EC586" s="2"/>
      <c r="ED586" s="139"/>
      <c r="EE586" s="3"/>
      <c r="EF586" s="3"/>
      <c r="EG586" s="3"/>
      <c r="EH586" s="3"/>
      <c r="EI586" s="3"/>
      <c r="EJ586" s="3"/>
      <c r="EK586" s="3"/>
      <c r="EL586" s="3"/>
      <c r="EM586" s="3"/>
      <c r="EN586" s="3"/>
      <c r="EO586" s="131"/>
      <c r="EP586" s="15"/>
      <c r="EQ586" s="99"/>
      <c r="ER586" s="149"/>
      <c r="ES586" s="134"/>
      <c r="ET586" s="134"/>
      <c r="EU586" s="137"/>
      <c r="EV586" s="150"/>
      <c r="EW586" s="137"/>
      <c r="EX586" s="137"/>
      <c r="EY586" s="3"/>
      <c r="EZ586" s="138"/>
      <c r="FA586" s="2"/>
      <c r="FB586" s="139"/>
      <c r="FC586" s="3"/>
      <c r="FD586" s="3"/>
      <c r="FE586" s="3"/>
      <c r="FF586" s="3"/>
      <c r="FG586" s="3"/>
      <c r="FH586" s="3"/>
      <c r="FI586" s="3"/>
      <c r="FJ586" s="3"/>
      <c r="FK586" s="3"/>
      <c r="FL586" s="3"/>
      <c r="FM586" s="131"/>
      <c r="FN586" s="15"/>
      <c r="FO586" s="99"/>
      <c r="FP586" s="149"/>
      <c r="FQ586" s="134"/>
      <c r="FR586" s="134"/>
      <c r="FS586" s="137"/>
      <c r="FT586" s="150"/>
      <c r="FU586" s="137"/>
      <c r="FV586" s="137"/>
      <c r="FW586" s="3"/>
      <c r="FX586" s="138"/>
      <c r="FY586" s="2"/>
      <c r="FZ586" s="139"/>
      <c r="GA586" s="3"/>
      <c r="GB586" s="3"/>
      <c r="GC586" s="3"/>
      <c r="GD586" s="3"/>
      <c r="GE586" s="3"/>
      <c r="GF586" s="3"/>
      <c r="GG586" s="3"/>
      <c r="GH586" s="3"/>
      <c r="GI586" s="3"/>
      <c r="GJ586" s="3"/>
      <c r="GK586" s="131"/>
      <c r="GL586" s="15"/>
      <c r="GM586" s="99"/>
      <c r="GN586" s="149"/>
      <c r="GO586" s="134"/>
      <c r="GP586" s="134"/>
      <c r="GQ586" s="137"/>
      <c r="GR586" s="150"/>
      <c r="GS586" s="137"/>
      <c r="GT586" s="137"/>
      <c r="GU586" s="3"/>
      <c r="GV586" s="138"/>
      <c r="GW586" s="2"/>
      <c r="GX586" s="139"/>
      <c r="GY586" s="3"/>
      <c r="GZ586" s="3"/>
      <c r="HA586" s="3"/>
      <c r="HB586" s="3"/>
      <c r="HC586" s="3"/>
      <c r="HD586" s="3"/>
      <c r="HE586" s="3"/>
      <c r="HF586" s="3"/>
      <c r="HG586" s="3"/>
      <c r="HH586" s="3"/>
      <c r="HI586" s="131"/>
      <c r="HJ586" s="15"/>
      <c r="HK586" s="99"/>
      <c r="HL586" s="149"/>
      <c r="HM586" s="134"/>
      <c r="HN586" s="134"/>
      <c r="HO586" s="137"/>
      <c r="HP586" s="150"/>
      <c r="HQ586" s="137"/>
      <c r="HR586" s="137"/>
      <c r="HS586" s="3"/>
      <c r="HT586" s="138"/>
      <c r="HU586" s="2"/>
      <c r="HV586" s="139"/>
      <c r="HW586" s="3"/>
      <c r="HX586" s="3"/>
      <c r="HY586" s="3"/>
      <c r="HZ586" s="3"/>
      <c r="IA586" s="3"/>
      <c r="IB586" s="3"/>
      <c r="IC586" s="3"/>
      <c r="ID586" s="3"/>
      <c r="IE586" s="3"/>
      <c r="IF586" s="3"/>
      <c r="IG586" s="131"/>
      <c r="IH586" s="15"/>
      <c r="II586" s="99"/>
      <c r="IJ586" s="149"/>
      <c r="IK586" s="134"/>
      <c r="IL586" s="134"/>
      <c r="IM586" s="137"/>
      <c r="IN586" s="150"/>
      <c r="IO586" s="137"/>
      <c r="IP586" s="137"/>
      <c r="IQ586" s="3"/>
      <c r="IR586" s="138"/>
      <c r="IS586" s="2"/>
      <c r="IT586" s="139"/>
      <c r="IU586" s="3"/>
      <c r="IV586" s="3"/>
    </row>
    <row r="587" spans="1:256" s="125" customFormat="1" ht="13.5" customHeight="1">
      <c r="A587" s="213">
        <v>23</v>
      </c>
      <c r="B587" s="60">
        <v>43075</v>
      </c>
      <c r="C587" s="18"/>
      <c r="D587" s="19" t="s">
        <v>316</v>
      </c>
      <c r="E587" s="20" t="s">
        <v>556</v>
      </c>
      <c r="F587" s="168" t="s">
        <v>786</v>
      </c>
      <c r="G587" s="63">
        <v>1707</v>
      </c>
      <c r="H587" s="121">
        <f>2033000-30000</f>
        <v>2003000</v>
      </c>
      <c r="I587" s="24"/>
      <c r="J587" s="24">
        <f t="shared" si="53"/>
        <v>1907619.0476190476</v>
      </c>
      <c r="K587" s="24">
        <f t="shared" si="49"/>
        <v>1907619.0476190476</v>
      </c>
      <c r="L587" s="123">
        <v>1</v>
      </c>
      <c r="M587" s="24">
        <f t="shared" si="50"/>
        <v>1907619.0476190476</v>
      </c>
      <c r="N587" s="124">
        <f t="shared" si="51"/>
        <v>0</v>
      </c>
      <c r="O587" s="196" t="s">
        <v>596</v>
      </c>
      <c r="P587" s="3"/>
      <c r="Q587" s="140"/>
      <c r="R587" s="3"/>
      <c r="S587" s="3"/>
      <c r="T587" s="3"/>
      <c r="U587" s="3"/>
      <c r="V587" s="3"/>
      <c r="W587" s="3"/>
      <c r="X587" s="3"/>
      <c r="Y587" s="131"/>
      <c r="Z587" s="15"/>
      <c r="AA587" s="99"/>
      <c r="AB587" s="149"/>
      <c r="AC587" s="134"/>
      <c r="AD587" s="134"/>
      <c r="AE587" s="137"/>
      <c r="AF587" s="150"/>
      <c r="AG587" s="137"/>
      <c r="AH587" s="137"/>
      <c r="AI587" s="3"/>
      <c r="AJ587" s="138"/>
      <c r="AK587" s="2"/>
      <c r="AL587" s="139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131"/>
      <c r="AX587" s="15"/>
      <c r="AY587" s="99"/>
      <c r="AZ587" s="149"/>
      <c r="BA587" s="134"/>
      <c r="BB587" s="134"/>
      <c r="BC587" s="137"/>
      <c r="BD587" s="150"/>
      <c r="BE587" s="137"/>
      <c r="BF587" s="137"/>
      <c r="BG587" s="3"/>
      <c r="BH587" s="138"/>
      <c r="BI587" s="2"/>
      <c r="BJ587" s="139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131"/>
      <c r="BV587" s="15"/>
      <c r="BW587" s="99"/>
      <c r="BX587" s="149"/>
      <c r="BY587" s="134"/>
      <c r="BZ587" s="134"/>
      <c r="CA587" s="137"/>
      <c r="CB587" s="150"/>
      <c r="CC587" s="137"/>
      <c r="CD587" s="137"/>
      <c r="CE587" s="3"/>
      <c r="CF587" s="138"/>
      <c r="CG587" s="2"/>
      <c r="CH587" s="139"/>
      <c r="CI587" s="3"/>
      <c r="CJ587" s="3"/>
      <c r="CK587" s="3"/>
      <c r="CL587" s="3"/>
      <c r="CM587" s="3"/>
      <c r="CN587" s="3"/>
      <c r="CO587" s="3"/>
      <c r="CP587" s="3"/>
      <c r="CQ587" s="3"/>
      <c r="CR587" s="3"/>
      <c r="CS587" s="131"/>
      <c r="CT587" s="15"/>
      <c r="CU587" s="99"/>
      <c r="CV587" s="149"/>
      <c r="CW587" s="134"/>
      <c r="CX587" s="134"/>
      <c r="CY587" s="137"/>
      <c r="CZ587" s="150"/>
      <c r="DA587" s="137"/>
      <c r="DB587" s="137"/>
      <c r="DC587" s="3"/>
      <c r="DD587" s="138"/>
      <c r="DE587" s="2"/>
      <c r="DF587" s="139"/>
      <c r="DG587" s="3"/>
      <c r="DH587" s="3"/>
      <c r="DI587" s="3"/>
      <c r="DJ587" s="3"/>
      <c r="DK587" s="3"/>
      <c r="DL587" s="3"/>
      <c r="DM587" s="3"/>
      <c r="DN587" s="3"/>
      <c r="DO587" s="3"/>
      <c r="DP587" s="3"/>
      <c r="DQ587" s="131"/>
      <c r="DR587" s="15"/>
      <c r="DS587" s="99"/>
      <c r="DT587" s="149"/>
      <c r="DU587" s="134"/>
      <c r="DV587" s="134"/>
      <c r="DW587" s="137"/>
      <c r="DX587" s="150"/>
      <c r="DY587" s="137"/>
      <c r="DZ587" s="137"/>
      <c r="EA587" s="3"/>
      <c r="EB587" s="138"/>
      <c r="EC587" s="2"/>
      <c r="ED587" s="139"/>
      <c r="EE587" s="3"/>
      <c r="EF587" s="3"/>
      <c r="EG587" s="3"/>
      <c r="EH587" s="3"/>
      <c r="EI587" s="3"/>
      <c r="EJ587" s="3"/>
      <c r="EK587" s="3"/>
      <c r="EL587" s="3"/>
      <c r="EM587" s="3"/>
      <c r="EN587" s="3"/>
      <c r="EO587" s="131"/>
      <c r="EP587" s="15"/>
      <c r="EQ587" s="99"/>
      <c r="ER587" s="149"/>
      <c r="ES587" s="134"/>
      <c r="ET587" s="134"/>
      <c r="EU587" s="137"/>
      <c r="EV587" s="150"/>
      <c r="EW587" s="137"/>
      <c r="EX587" s="137"/>
      <c r="EY587" s="3"/>
      <c r="EZ587" s="138"/>
      <c r="FA587" s="2"/>
      <c r="FB587" s="139"/>
      <c r="FC587" s="3"/>
      <c r="FD587" s="3"/>
      <c r="FE587" s="3"/>
      <c r="FF587" s="3"/>
      <c r="FG587" s="3"/>
      <c r="FH587" s="3"/>
      <c r="FI587" s="3"/>
      <c r="FJ587" s="3"/>
      <c r="FK587" s="3"/>
      <c r="FL587" s="3"/>
      <c r="FM587" s="131"/>
      <c r="FN587" s="15"/>
      <c r="FO587" s="99"/>
      <c r="FP587" s="149"/>
      <c r="FQ587" s="134"/>
      <c r="FR587" s="134"/>
      <c r="FS587" s="137"/>
      <c r="FT587" s="150"/>
      <c r="FU587" s="137"/>
      <c r="FV587" s="137"/>
      <c r="FW587" s="3"/>
      <c r="FX587" s="138"/>
      <c r="FY587" s="2"/>
      <c r="FZ587" s="139"/>
      <c r="GA587" s="3"/>
      <c r="GB587" s="3"/>
      <c r="GC587" s="3"/>
      <c r="GD587" s="3"/>
      <c r="GE587" s="3"/>
      <c r="GF587" s="3"/>
      <c r="GG587" s="3"/>
      <c r="GH587" s="3"/>
      <c r="GI587" s="3"/>
      <c r="GJ587" s="3"/>
      <c r="GK587" s="131"/>
      <c r="GL587" s="15"/>
      <c r="GM587" s="99"/>
      <c r="GN587" s="149"/>
      <c r="GO587" s="134"/>
      <c r="GP587" s="134"/>
      <c r="GQ587" s="137"/>
      <c r="GR587" s="150"/>
      <c r="GS587" s="137"/>
      <c r="GT587" s="137"/>
      <c r="GU587" s="3"/>
      <c r="GV587" s="138"/>
      <c r="GW587" s="2"/>
      <c r="GX587" s="139"/>
      <c r="GY587" s="3"/>
      <c r="GZ587" s="3"/>
      <c r="HA587" s="3"/>
      <c r="HB587" s="3"/>
      <c r="HC587" s="3"/>
      <c r="HD587" s="3"/>
      <c r="HE587" s="3"/>
      <c r="HF587" s="3"/>
      <c r="HG587" s="3"/>
      <c r="HH587" s="3"/>
      <c r="HI587" s="131"/>
      <c r="HJ587" s="15"/>
      <c r="HK587" s="99"/>
      <c r="HL587" s="149"/>
      <c r="HM587" s="134"/>
      <c r="HN587" s="134"/>
      <c r="HO587" s="137"/>
      <c r="HP587" s="150"/>
      <c r="HQ587" s="137"/>
      <c r="HR587" s="137"/>
      <c r="HS587" s="3"/>
      <c r="HT587" s="138"/>
      <c r="HU587" s="2"/>
      <c r="HV587" s="139"/>
      <c r="HW587" s="3"/>
      <c r="HX587" s="3"/>
      <c r="HY587" s="3"/>
      <c r="HZ587" s="3"/>
      <c r="IA587" s="3"/>
      <c r="IB587" s="3"/>
      <c r="IC587" s="3"/>
      <c r="ID587" s="3"/>
      <c r="IE587" s="3"/>
      <c r="IF587" s="3"/>
      <c r="IG587" s="131"/>
      <c r="IH587" s="15"/>
      <c r="II587" s="99"/>
      <c r="IJ587" s="149"/>
      <c r="IK587" s="134"/>
      <c r="IL587" s="134"/>
      <c r="IM587" s="137"/>
      <c r="IN587" s="150"/>
      <c r="IO587" s="137"/>
      <c r="IP587" s="137"/>
      <c r="IQ587" s="3"/>
      <c r="IR587" s="138"/>
      <c r="IS587" s="2"/>
      <c r="IT587" s="139"/>
      <c r="IU587" s="3"/>
      <c r="IV587" s="3"/>
    </row>
    <row r="588" spans="1:256" s="125" customFormat="1" ht="13.5" customHeight="1">
      <c r="A588" s="213">
        <v>24</v>
      </c>
      <c r="B588" s="17">
        <v>43069</v>
      </c>
      <c r="C588" s="18"/>
      <c r="D588" s="19" t="s">
        <v>379</v>
      </c>
      <c r="E588" s="20" t="s">
        <v>380</v>
      </c>
      <c r="F588" s="82" t="s">
        <v>787</v>
      </c>
      <c r="G588" s="63">
        <v>1707</v>
      </c>
      <c r="H588" s="121">
        <f>1530000-30000</f>
        <v>1500000</v>
      </c>
      <c r="I588" s="24">
        <v>1428571</v>
      </c>
      <c r="J588" s="24"/>
      <c r="K588" s="24">
        <f>I588+J588</f>
        <v>1428571</v>
      </c>
      <c r="L588" s="123">
        <v>1</v>
      </c>
      <c r="M588" s="24">
        <f>K588*L588</f>
        <v>1428571</v>
      </c>
      <c r="N588" s="124">
        <f>K588-M588</f>
        <v>0</v>
      </c>
      <c r="O588" s="196" t="s">
        <v>596</v>
      </c>
      <c r="P588" s="3"/>
      <c r="Q588" s="140"/>
      <c r="R588" s="3"/>
      <c r="S588" s="3"/>
      <c r="T588" s="3"/>
      <c r="U588" s="3"/>
      <c r="V588" s="3"/>
      <c r="W588" s="3"/>
      <c r="X588" s="3"/>
      <c r="Y588" s="131"/>
      <c r="Z588" s="15"/>
      <c r="AA588" s="99"/>
      <c r="AB588" s="149"/>
      <c r="AC588" s="134"/>
      <c r="AD588" s="134"/>
      <c r="AE588" s="137"/>
      <c r="AF588" s="150"/>
      <c r="AG588" s="137"/>
      <c r="AH588" s="137"/>
      <c r="AI588" s="3"/>
      <c r="AJ588" s="138"/>
      <c r="AK588" s="2"/>
      <c r="AL588" s="139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131"/>
      <c r="AX588" s="15"/>
      <c r="AY588" s="99"/>
      <c r="AZ588" s="149"/>
      <c r="BA588" s="134"/>
      <c r="BB588" s="134"/>
      <c r="BC588" s="137"/>
      <c r="BD588" s="150"/>
      <c r="BE588" s="137"/>
      <c r="BF588" s="137"/>
      <c r="BG588" s="3"/>
      <c r="BH588" s="138"/>
      <c r="BI588" s="2"/>
      <c r="BJ588" s="139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131"/>
      <c r="BV588" s="15"/>
      <c r="BW588" s="99"/>
      <c r="BX588" s="149"/>
      <c r="BY588" s="134"/>
      <c r="BZ588" s="134"/>
      <c r="CA588" s="137"/>
      <c r="CB588" s="150"/>
      <c r="CC588" s="137"/>
      <c r="CD588" s="137"/>
      <c r="CE588" s="3"/>
      <c r="CF588" s="138"/>
      <c r="CG588" s="2"/>
      <c r="CH588" s="139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131"/>
      <c r="CT588" s="15"/>
      <c r="CU588" s="99"/>
      <c r="CV588" s="149"/>
      <c r="CW588" s="134"/>
      <c r="CX588" s="134"/>
      <c r="CY588" s="137"/>
      <c r="CZ588" s="150"/>
      <c r="DA588" s="137"/>
      <c r="DB588" s="137"/>
      <c r="DC588" s="3"/>
      <c r="DD588" s="138"/>
      <c r="DE588" s="2"/>
      <c r="DF588" s="139"/>
      <c r="DG588" s="3"/>
      <c r="DH588" s="3"/>
      <c r="DI588" s="3"/>
      <c r="DJ588" s="3"/>
      <c r="DK588" s="3"/>
      <c r="DL588" s="3"/>
      <c r="DM588" s="3"/>
      <c r="DN588" s="3"/>
      <c r="DO588" s="3"/>
      <c r="DP588" s="3"/>
      <c r="DQ588" s="131"/>
      <c r="DR588" s="15"/>
      <c r="DS588" s="99"/>
      <c r="DT588" s="149"/>
      <c r="DU588" s="134"/>
      <c r="DV588" s="134"/>
      <c r="DW588" s="137"/>
      <c r="DX588" s="150"/>
      <c r="DY588" s="137"/>
      <c r="DZ588" s="137"/>
      <c r="EA588" s="3"/>
      <c r="EB588" s="138"/>
      <c r="EC588" s="2"/>
      <c r="ED588" s="139"/>
      <c r="EE588" s="3"/>
      <c r="EF588" s="3"/>
      <c r="EG588" s="3"/>
      <c r="EH588" s="3"/>
      <c r="EI588" s="3"/>
      <c r="EJ588" s="3"/>
      <c r="EK588" s="3"/>
      <c r="EL588" s="3"/>
      <c r="EM588" s="3"/>
      <c r="EN588" s="3"/>
      <c r="EO588" s="131"/>
      <c r="EP588" s="15"/>
      <c r="EQ588" s="99"/>
      <c r="ER588" s="149"/>
      <c r="ES588" s="134"/>
      <c r="ET588" s="134"/>
      <c r="EU588" s="137"/>
      <c r="EV588" s="150"/>
      <c r="EW588" s="137"/>
      <c r="EX588" s="137"/>
      <c r="EY588" s="3"/>
      <c r="EZ588" s="138"/>
      <c r="FA588" s="2"/>
      <c r="FB588" s="139"/>
      <c r="FC588" s="3"/>
      <c r="FD588" s="3"/>
      <c r="FE588" s="3"/>
      <c r="FF588" s="3"/>
      <c r="FG588" s="3"/>
      <c r="FH588" s="3"/>
      <c r="FI588" s="3"/>
      <c r="FJ588" s="3"/>
      <c r="FK588" s="3"/>
      <c r="FL588" s="3"/>
      <c r="FM588" s="131"/>
      <c r="FN588" s="15"/>
      <c r="FO588" s="99"/>
      <c r="FP588" s="149"/>
      <c r="FQ588" s="134"/>
      <c r="FR588" s="134"/>
      <c r="FS588" s="137"/>
      <c r="FT588" s="150"/>
      <c r="FU588" s="137"/>
      <c r="FV588" s="137"/>
      <c r="FW588" s="3"/>
      <c r="FX588" s="138"/>
      <c r="FY588" s="2"/>
      <c r="FZ588" s="139"/>
      <c r="GA588" s="3"/>
      <c r="GB588" s="3"/>
      <c r="GC588" s="3"/>
      <c r="GD588" s="3"/>
      <c r="GE588" s="3"/>
      <c r="GF588" s="3"/>
      <c r="GG588" s="3"/>
      <c r="GH588" s="3"/>
      <c r="GI588" s="3"/>
      <c r="GJ588" s="3"/>
      <c r="GK588" s="131"/>
      <c r="GL588" s="15"/>
      <c r="GM588" s="99"/>
      <c r="GN588" s="149"/>
      <c r="GO588" s="134"/>
      <c r="GP588" s="134"/>
      <c r="GQ588" s="137"/>
      <c r="GR588" s="150"/>
      <c r="GS588" s="137"/>
      <c r="GT588" s="137"/>
      <c r="GU588" s="3"/>
      <c r="GV588" s="138"/>
      <c r="GW588" s="2"/>
      <c r="GX588" s="139"/>
      <c r="GY588" s="3"/>
      <c r="GZ588" s="3"/>
      <c r="HA588" s="3"/>
      <c r="HB588" s="3"/>
      <c r="HC588" s="3"/>
      <c r="HD588" s="3"/>
      <c r="HE588" s="3"/>
      <c r="HF588" s="3"/>
      <c r="HG588" s="3"/>
      <c r="HH588" s="3"/>
      <c r="HI588" s="131"/>
      <c r="HJ588" s="15"/>
      <c r="HK588" s="99"/>
      <c r="HL588" s="149"/>
      <c r="HM588" s="134"/>
      <c r="HN588" s="134"/>
      <c r="HO588" s="137"/>
      <c r="HP588" s="150"/>
      <c r="HQ588" s="137"/>
      <c r="HR588" s="137"/>
      <c r="HS588" s="3"/>
      <c r="HT588" s="138"/>
      <c r="HU588" s="2"/>
      <c r="HV588" s="139"/>
      <c r="HW588" s="3"/>
      <c r="HX588" s="3"/>
      <c r="HY588" s="3"/>
      <c r="HZ588" s="3"/>
      <c r="IA588" s="3"/>
      <c r="IB588" s="3"/>
      <c r="IC588" s="3"/>
      <c r="ID588" s="3"/>
      <c r="IE588" s="3"/>
      <c r="IF588" s="3"/>
      <c r="IG588" s="131"/>
      <c r="IH588" s="15"/>
      <c r="II588" s="99"/>
      <c r="IJ588" s="149"/>
      <c r="IK588" s="134"/>
      <c r="IL588" s="134"/>
      <c r="IM588" s="137"/>
      <c r="IN588" s="150"/>
      <c r="IO588" s="137"/>
      <c r="IP588" s="137"/>
      <c r="IQ588" s="3"/>
      <c r="IR588" s="138"/>
      <c r="IS588" s="2"/>
      <c r="IT588" s="139"/>
      <c r="IU588" s="3"/>
      <c r="IV588" s="3"/>
    </row>
    <row r="589" spans="1:256" s="125" customFormat="1" ht="13.5" customHeight="1">
      <c r="A589" s="213">
        <v>25</v>
      </c>
      <c r="B589" s="60">
        <v>43094</v>
      </c>
      <c r="C589" s="18"/>
      <c r="D589" s="19" t="s">
        <v>412</v>
      </c>
      <c r="E589" s="20" t="s">
        <v>413</v>
      </c>
      <c r="F589" s="168" t="s">
        <v>788</v>
      </c>
      <c r="G589" s="63">
        <v>1708</v>
      </c>
      <c r="H589" s="121">
        <v>2010000</v>
      </c>
      <c r="I589" s="24"/>
      <c r="J589" s="24">
        <f t="shared" si="53"/>
        <v>1914285.7142857143</v>
      </c>
      <c r="K589" s="24">
        <f t="shared" si="49"/>
        <v>1914285.7142857143</v>
      </c>
      <c r="L589" s="123">
        <v>1</v>
      </c>
      <c r="M589" s="24">
        <f t="shared" si="50"/>
        <v>1914285.7142857143</v>
      </c>
      <c r="N589" s="124">
        <f t="shared" si="51"/>
        <v>0</v>
      </c>
      <c r="O589" s="196" t="s">
        <v>596</v>
      </c>
      <c r="P589" s="3"/>
      <c r="Q589" s="140"/>
      <c r="R589" s="3"/>
      <c r="S589" s="3"/>
      <c r="T589" s="3"/>
      <c r="U589" s="3"/>
      <c r="V589" s="3"/>
      <c r="W589" s="3"/>
      <c r="X589" s="3"/>
      <c r="Y589" s="131"/>
      <c r="Z589" s="15"/>
      <c r="AA589" s="99"/>
      <c r="AB589" s="149"/>
      <c r="AC589" s="134"/>
      <c r="AD589" s="134"/>
      <c r="AE589" s="137"/>
      <c r="AF589" s="150"/>
      <c r="AG589" s="137"/>
      <c r="AH589" s="137"/>
      <c r="AI589" s="3"/>
      <c r="AJ589" s="138"/>
      <c r="AK589" s="2"/>
      <c r="AL589" s="139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131"/>
      <c r="AX589" s="15"/>
      <c r="AY589" s="99"/>
      <c r="AZ589" s="149"/>
      <c r="BA589" s="134"/>
      <c r="BB589" s="134"/>
      <c r="BC589" s="137"/>
      <c r="BD589" s="150"/>
      <c r="BE589" s="137"/>
      <c r="BF589" s="137"/>
      <c r="BG589" s="3"/>
      <c r="BH589" s="138"/>
      <c r="BI589" s="2"/>
      <c r="BJ589" s="139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131"/>
      <c r="BV589" s="15"/>
      <c r="BW589" s="99"/>
      <c r="BX589" s="149"/>
      <c r="BY589" s="134"/>
      <c r="BZ589" s="134"/>
      <c r="CA589" s="137"/>
      <c r="CB589" s="150"/>
      <c r="CC589" s="137"/>
      <c r="CD589" s="137"/>
      <c r="CE589" s="3"/>
      <c r="CF589" s="138"/>
      <c r="CG589" s="2"/>
      <c r="CH589" s="139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131"/>
      <c r="CT589" s="15"/>
      <c r="CU589" s="99"/>
      <c r="CV589" s="149"/>
      <c r="CW589" s="134"/>
      <c r="CX589" s="134"/>
      <c r="CY589" s="137"/>
      <c r="CZ589" s="150"/>
      <c r="DA589" s="137"/>
      <c r="DB589" s="137"/>
      <c r="DC589" s="3"/>
      <c r="DD589" s="138"/>
      <c r="DE589" s="2"/>
      <c r="DF589" s="139"/>
      <c r="DG589" s="3"/>
      <c r="DH589" s="3"/>
      <c r="DI589" s="3"/>
      <c r="DJ589" s="3"/>
      <c r="DK589" s="3"/>
      <c r="DL589" s="3"/>
      <c r="DM589" s="3"/>
      <c r="DN589" s="3"/>
      <c r="DO589" s="3"/>
      <c r="DP589" s="3"/>
      <c r="DQ589" s="131"/>
      <c r="DR589" s="15"/>
      <c r="DS589" s="99"/>
      <c r="DT589" s="149"/>
      <c r="DU589" s="134"/>
      <c r="DV589" s="134"/>
      <c r="DW589" s="137"/>
      <c r="DX589" s="150"/>
      <c r="DY589" s="137"/>
      <c r="DZ589" s="137"/>
      <c r="EA589" s="3"/>
      <c r="EB589" s="138"/>
      <c r="EC589" s="2"/>
      <c r="ED589" s="139"/>
      <c r="EE589" s="3"/>
      <c r="EF589" s="3"/>
      <c r="EG589" s="3"/>
      <c r="EH589" s="3"/>
      <c r="EI589" s="3"/>
      <c r="EJ589" s="3"/>
      <c r="EK589" s="3"/>
      <c r="EL589" s="3"/>
      <c r="EM589" s="3"/>
      <c r="EN589" s="3"/>
      <c r="EO589" s="131"/>
      <c r="EP589" s="15"/>
      <c r="EQ589" s="99"/>
      <c r="ER589" s="149"/>
      <c r="ES589" s="134"/>
      <c r="ET589" s="134"/>
      <c r="EU589" s="137"/>
      <c r="EV589" s="150"/>
      <c r="EW589" s="137"/>
      <c r="EX589" s="137"/>
      <c r="EY589" s="3"/>
      <c r="EZ589" s="138"/>
      <c r="FA589" s="2"/>
      <c r="FB589" s="139"/>
      <c r="FC589" s="3"/>
      <c r="FD589" s="3"/>
      <c r="FE589" s="3"/>
      <c r="FF589" s="3"/>
      <c r="FG589" s="3"/>
      <c r="FH589" s="3"/>
      <c r="FI589" s="3"/>
      <c r="FJ589" s="3"/>
      <c r="FK589" s="3"/>
      <c r="FL589" s="3"/>
      <c r="FM589" s="131"/>
      <c r="FN589" s="15"/>
      <c r="FO589" s="99"/>
      <c r="FP589" s="149"/>
      <c r="FQ589" s="134"/>
      <c r="FR589" s="134"/>
      <c r="FS589" s="137"/>
      <c r="FT589" s="150"/>
      <c r="FU589" s="137"/>
      <c r="FV589" s="137"/>
      <c r="FW589" s="3"/>
      <c r="FX589" s="138"/>
      <c r="FY589" s="2"/>
      <c r="FZ589" s="139"/>
      <c r="GA589" s="3"/>
      <c r="GB589" s="3"/>
      <c r="GC589" s="3"/>
      <c r="GD589" s="3"/>
      <c r="GE589" s="3"/>
      <c r="GF589" s="3"/>
      <c r="GG589" s="3"/>
      <c r="GH589" s="3"/>
      <c r="GI589" s="3"/>
      <c r="GJ589" s="3"/>
      <c r="GK589" s="131"/>
      <c r="GL589" s="15"/>
      <c r="GM589" s="99"/>
      <c r="GN589" s="149"/>
      <c r="GO589" s="134"/>
      <c r="GP589" s="134"/>
      <c r="GQ589" s="137"/>
      <c r="GR589" s="150"/>
      <c r="GS589" s="137"/>
      <c r="GT589" s="137"/>
      <c r="GU589" s="3"/>
      <c r="GV589" s="138"/>
      <c r="GW589" s="2"/>
      <c r="GX589" s="139"/>
      <c r="GY589" s="3"/>
      <c r="GZ589" s="3"/>
      <c r="HA589" s="3"/>
      <c r="HB589" s="3"/>
      <c r="HC589" s="3"/>
      <c r="HD589" s="3"/>
      <c r="HE589" s="3"/>
      <c r="HF589" s="3"/>
      <c r="HG589" s="3"/>
      <c r="HH589" s="3"/>
      <c r="HI589" s="131"/>
      <c r="HJ589" s="15"/>
      <c r="HK589" s="99"/>
      <c r="HL589" s="149"/>
      <c r="HM589" s="134"/>
      <c r="HN589" s="134"/>
      <c r="HO589" s="137"/>
      <c r="HP589" s="150"/>
      <c r="HQ589" s="137"/>
      <c r="HR589" s="137"/>
      <c r="HS589" s="3"/>
      <c r="HT589" s="138"/>
      <c r="HU589" s="2"/>
      <c r="HV589" s="139"/>
      <c r="HW589" s="3"/>
      <c r="HX589" s="3"/>
      <c r="HY589" s="3"/>
      <c r="HZ589" s="3"/>
      <c r="IA589" s="3"/>
      <c r="IB589" s="3"/>
      <c r="IC589" s="3"/>
      <c r="ID589" s="3"/>
      <c r="IE589" s="3"/>
      <c r="IF589" s="3"/>
      <c r="IG589" s="131"/>
      <c r="IH589" s="15"/>
      <c r="II589" s="99"/>
      <c r="IJ589" s="149"/>
      <c r="IK589" s="134"/>
      <c r="IL589" s="134"/>
      <c r="IM589" s="137"/>
      <c r="IN589" s="150"/>
      <c r="IO589" s="137"/>
      <c r="IP589" s="137"/>
      <c r="IQ589" s="3"/>
      <c r="IR589" s="138"/>
      <c r="IS589" s="2"/>
      <c r="IT589" s="139"/>
      <c r="IU589" s="3"/>
      <c r="IV589" s="3"/>
    </row>
    <row r="590" spans="1:256" s="125" customFormat="1" ht="13.5" customHeight="1">
      <c r="A590" s="213">
        <v>26</v>
      </c>
      <c r="B590" s="56">
        <v>43088</v>
      </c>
      <c r="C590" s="18"/>
      <c r="D590" s="19" t="s">
        <v>441</v>
      </c>
      <c r="E590" s="20" t="s">
        <v>447</v>
      </c>
      <c r="F590" s="62" t="s">
        <v>789</v>
      </c>
      <c r="G590" s="63">
        <v>1710</v>
      </c>
      <c r="H590" s="121">
        <v>1626200</v>
      </c>
      <c r="I590" s="24"/>
      <c r="J590" s="24">
        <f t="shared" si="53"/>
        <v>1548761.9047619046</v>
      </c>
      <c r="K590" s="24">
        <f t="shared" si="49"/>
        <v>1548761.9047619046</v>
      </c>
      <c r="L590" s="123">
        <v>1</v>
      </c>
      <c r="M590" s="24">
        <f t="shared" si="50"/>
        <v>1548761.9047619046</v>
      </c>
      <c r="N590" s="124">
        <f t="shared" si="51"/>
        <v>0</v>
      </c>
      <c r="O590" s="196" t="s">
        <v>596</v>
      </c>
      <c r="P590" s="3"/>
      <c r="Q590" s="140"/>
      <c r="R590" s="3"/>
      <c r="S590" s="3"/>
      <c r="T590" s="3"/>
      <c r="U590" s="3"/>
      <c r="V590" s="3"/>
      <c r="W590" s="3"/>
      <c r="X590" s="3"/>
      <c r="Y590" s="131"/>
      <c r="Z590" s="15"/>
      <c r="AA590" s="99"/>
      <c r="AB590" s="149"/>
      <c r="AC590" s="134"/>
      <c r="AD590" s="134"/>
      <c r="AE590" s="137"/>
      <c r="AF590" s="150"/>
      <c r="AG590" s="137"/>
      <c r="AH590" s="137"/>
      <c r="AI590" s="3"/>
      <c r="AJ590" s="138"/>
      <c r="AK590" s="2"/>
      <c r="AL590" s="139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131"/>
      <c r="AX590" s="15"/>
      <c r="AY590" s="99"/>
      <c r="AZ590" s="149"/>
      <c r="BA590" s="134"/>
      <c r="BB590" s="134"/>
      <c r="BC590" s="137"/>
      <c r="BD590" s="150"/>
      <c r="BE590" s="137"/>
      <c r="BF590" s="137"/>
      <c r="BG590" s="3"/>
      <c r="BH590" s="138"/>
      <c r="BI590" s="2"/>
      <c r="BJ590" s="139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131"/>
      <c r="BV590" s="15"/>
      <c r="BW590" s="99"/>
      <c r="BX590" s="149"/>
      <c r="BY590" s="134"/>
      <c r="BZ590" s="134"/>
      <c r="CA590" s="137"/>
      <c r="CB590" s="150"/>
      <c r="CC590" s="137"/>
      <c r="CD590" s="137"/>
      <c r="CE590" s="3"/>
      <c r="CF590" s="138"/>
      <c r="CG590" s="2"/>
      <c r="CH590" s="139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131"/>
      <c r="CT590" s="15"/>
      <c r="CU590" s="99"/>
      <c r="CV590" s="149"/>
      <c r="CW590" s="134"/>
      <c r="CX590" s="134"/>
      <c r="CY590" s="137"/>
      <c r="CZ590" s="150"/>
      <c r="DA590" s="137"/>
      <c r="DB590" s="137"/>
      <c r="DC590" s="3"/>
      <c r="DD590" s="138"/>
      <c r="DE590" s="2"/>
      <c r="DF590" s="139"/>
      <c r="DG590" s="3"/>
      <c r="DH590" s="3"/>
      <c r="DI590" s="3"/>
      <c r="DJ590" s="3"/>
      <c r="DK590" s="3"/>
      <c r="DL590" s="3"/>
      <c r="DM590" s="3"/>
      <c r="DN590" s="3"/>
      <c r="DO590" s="3"/>
      <c r="DP590" s="3"/>
      <c r="DQ590" s="131"/>
      <c r="DR590" s="15"/>
      <c r="DS590" s="99"/>
      <c r="DT590" s="149"/>
      <c r="DU590" s="134"/>
      <c r="DV590" s="134"/>
      <c r="DW590" s="137"/>
      <c r="DX590" s="150"/>
      <c r="DY590" s="137"/>
      <c r="DZ590" s="137"/>
      <c r="EA590" s="3"/>
      <c r="EB590" s="138"/>
      <c r="EC590" s="2"/>
      <c r="ED590" s="139"/>
      <c r="EE590" s="3"/>
      <c r="EF590" s="3"/>
      <c r="EG590" s="3"/>
      <c r="EH590" s="3"/>
      <c r="EI590" s="3"/>
      <c r="EJ590" s="3"/>
      <c r="EK590" s="3"/>
      <c r="EL590" s="3"/>
      <c r="EM590" s="3"/>
      <c r="EN590" s="3"/>
      <c r="EO590" s="131"/>
      <c r="EP590" s="15"/>
      <c r="EQ590" s="99"/>
      <c r="ER590" s="149"/>
      <c r="ES590" s="134"/>
      <c r="ET590" s="134"/>
      <c r="EU590" s="137"/>
      <c r="EV590" s="150"/>
      <c r="EW590" s="137"/>
      <c r="EX590" s="137"/>
      <c r="EY590" s="3"/>
      <c r="EZ590" s="138"/>
      <c r="FA590" s="2"/>
      <c r="FB590" s="139"/>
      <c r="FC590" s="3"/>
      <c r="FD590" s="3"/>
      <c r="FE590" s="3"/>
      <c r="FF590" s="3"/>
      <c r="FG590" s="3"/>
      <c r="FH590" s="3"/>
      <c r="FI590" s="3"/>
      <c r="FJ590" s="3"/>
      <c r="FK590" s="3"/>
      <c r="FL590" s="3"/>
      <c r="FM590" s="131"/>
      <c r="FN590" s="15"/>
      <c r="FO590" s="99"/>
      <c r="FP590" s="149"/>
      <c r="FQ590" s="134"/>
      <c r="FR590" s="134"/>
      <c r="FS590" s="137"/>
      <c r="FT590" s="150"/>
      <c r="FU590" s="137"/>
      <c r="FV590" s="137"/>
      <c r="FW590" s="3"/>
      <c r="FX590" s="138"/>
      <c r="FY590" s="2"/>
      <c r="FZ590" s="139"/>
      <c r="GA590" s="3"/>
      <c r="GB590" s="3"/>
      <c r="GC590" s="3"/>
      <c r="GD590" s="3"/>
      <c r="GE590" s="3"/>
      <c r="GF590" s="3"/>
      <c r="GG590" s="3"/>
      <c r="GH590" s="3"/>
      <c r="GI590" s="3"/>
      <c r="GJ590" s="3"/>
      <c r="GK590" s="131"/>
      <c r="GL590" s="15"/>
      <c r="GM590" s="99"/>
      <c r="GN590" s="149"/>
      <c r="GO590" s="134"/>
      <c r="GP590" s="134"/>
      <c r="GQ590" s="137"/>
      <c r="GR590" s="150"/>
      <c r="GS590" s="137"/>
      <c r="GT590" s="137"/>
      <c r="GU590" s="3"/>
      <c r="GV590" s="138"/>
      <c r="GW590" s="2"/>
      <c r="GX590" s="139"/>
      <c r="GY590" s="3"/>
      <c r="GZ590" s="3"/>
      <c r="HA590" s="3"/>
      <c r="HB590" s="3"/>
      <c r="HC590" s="3"/>
      <c r="HD590" s="3"/>
      <c r="HE590" s="3"/>
      <c r="HF590" s="3"/>
      <c r="HG590" s="3"/>
      <c r="HH590" s="3"/>
      <c r="HI590" s="131"/>
      <c r="HJ590" s="15"/>
      <c r="HK590" s="99"/>
      <c r="HL590" s="149"/>
      <c r="HM590" s="134"/>
      <c r="HN590" s="134"/>
      <c r="HO590" s="137"/>
      <c r="HP590" s="150"/>
      <c r="HQ590" s="137"/>
      <c r="HR590" s="137"/>
      <c r="HS590" s="3"/>
      <c r="HT590" s="138"/>
      <c r="HU590" s="2"/>
      <c r="HV590" s="139"/>
      <c r="HW590" s="3"/>
      <c r="HX590" s="3"/>
      <c r="HY590" s="3"/>
      <c r="HZ590" s="3"/>
      <c r="IA590" s="3"/>
      <c r="IB590" s="3"/>
      <c r="IC590" s="3"/>
      <c r="ID590" s="3"/>
      <c r="IE590" s="3"/>
      <c r="IF590" s="3"/>
      <c r="IG590" s="131"/>
      <c r="IH590" s="15"/>
      <c r="II590" s="99"/>
      <c r="IJ590" s="149"/>
      <c r="IK590" s="134"/>
      <c r="IL590" s="134"/>
      <c r="IM590" s="137"/>
      <c r="IN590" s="150"/>
      <c r="IO590" s="137"/>
      <c r="IP590" s="137"/>
      <c r="IQ590" s="3"/>
      <c r="IR590" s="138"/>
      <c r="IS590" s="2"/>
      <c r="IT590" s="139"/>
      <c r="IU590" s="3"/>
      <c r="IV590" s="3"/>
    </row>
    <row r="591" spans="1:256" s="125" customFormat="1" ht="13.5" customHeight="1">
      <c r="A591" s="213">
        <v>27</v>
      </c>
      <c r="B591" s="56">
        <v>43087</v>
      </c>
      <c r="C591" s="18"/>
      <c r="D591" s="19" t="s">
        <v>479</v>
      </c>
      <c r="E591" s="20" t="s">
        <v>489</v>
      </c>
      <c r="F591" s="168" t="s">
        <v>790</v>
      </c>
      <c r="G591" s="63">
        <v>1708</v>
      </c>
      <c r="H591" s="121">
        <v>3180000</v>
      </c>
      <c r="I591" s="24"/>
      <c r="J591" s="24">
        <f t="shared" si="53"/>
        <v>3028571.4285714286</v>
      </c>
      <c r="K591" s="24">
        <f t="shared" si="49"/>
        <v>3028571.4285714286</v>
      </c>
      <c r="L591" s="123">
        <v>1</v>
      </c>
      <c r="M591" s="24">
        <f t="shared" si="50"/>
        <v>3028571.4285714286</v>
      </c>
      <c r="N591" s="124">
        <f t="shared" si="51"/>
        <v>0</v>
      </c>
      <c r="O591" s="196" t="s">
        <v>596</v>
      </c>
      <c r="P591" s="3"/>
      <c r="Q591" s="140"/>
      <c r="R591" s="3"/>
      <c r="S591" s="3"/>
      <c r="T591" s="3"/>
      <c r="U591" s="3"/>
      <c r="V591" s="3"/>
      <c r="W591" s="3"/>
      <c r="X591" s="3"/>
      <c r="Y591" s="131"/>
      <c r="Z591" s="15"/>
      <c r="AA591" s="99"/>
      <c r="AB591" s="149"/>
      <c r="AC591" s="134"/>
      <c r="AD591" s="134"/>
      <c r="AE591" s="137"/>
      <c r="AF591" s="150"/>
      <c r="AG591" s="137"/>
      <c r="AH591" s="137"/>
      <c r="AI591" s="3"/>
      <c r="AJ591" s="138"/>
      <c r="AK591" s="2"/>
      <c r="AL591" s="139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131"/>
      <c r="AX591" s="15"/>
      <c r="AY591" s="99"/>
      <c r="AZ591" s="149"/>
      <c r="BA591" s="134"/>
      <c r="BB591" s="134"/>
      <c r="BC591" s="137"/>
      <c r="BD591" s="150"/>
      <c r="BE591" s="137"/>
      <c r="BF591" s="137"/>
      <c r="BG591" s="3"/>
      <c r="BH591" s="138"/>
      <c r="BI591" s="2"/>
      <c r="BJ591" s="139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131"/>
      <c r="BV591" s="15"/>
      <c r="BW591" s="99"/>
      <c r="BX591" s="149"/>
      <c r="BY591" s="134"/>
      <c r="BZ591" s="134"/>
      <c r="CA591" s="137"/>
      <c r="CB591" s="150"/>
      <c r="CC591" s="137"/>
      <c r="CD591" s="137"/>
      <c r="CE591" s="3"/>
      <c r="CF591" s="138"/>
      <c r="CG591" s="2"/>
      <c r="CH591" s="139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131"/>
      <c r="CT591" s="15"/>
      <c r="CU591" s="99"/>
      <c r="CV591" s="149"/>
      <c r="CW591" s="134"/>
      <c r="CX591" s="134"/>
      <c r="CY591" s="137"/>
      <c r="CZ591" s="150"/>
      <c r="DA591" s="137"/>
      <c r="DB591" s="137"/>
      <c r="DC591" s="3"/>
      <c r="DD591" s="138"/>
      <c r="DE591" s="2"/>
      <c r="DF591" s="139"/>
      <c r="DG591" s="3"/>
      <c r="DH591" s="3"/>
      <c r="DI591" s="3"/>
      <c r="DJ591" s="3"/>
      <c r="DK591" s="3"/>
      <c r="DL591" s="3"/>
      <c r="DM591" s="3"/>
      <c r="DN591" s="3"/>
      <c r="DO591" s="3"/>
      <c r="DP591" s="3"/>
      <c r="DQ591" s="131"/>
      <c r="DR591" s="15"/>
      <c r="DS591" s="99"/>
      <c r="DT591" s="149"/>
      <c r="DU591" s="134"/>
      <c r="DV591" s="134"/>
      <c r="DW591" s="137"/>
      <c r="DX591" s="150"/>
      <c r="DY591" s="137"/>
      <c r="DZ591" s="137"/>
      <c r="EA591" s="3"/>
      <c r="EB591" s="138"/>
      <c r="EC591" s="2"/>
      <c r="ED591" s="139"/>
      <c r="EE591" s="3"/>
      <c r="EF591" s="3"/>
      <c r="EG591" s="3"/>
      <c r="EH591" s="3"/>
      <c r="EI591" s="3"/>
      <c r="EJ591" s="3"/>
      <c r="EK591" s="3"/>
      <c r="EL591" s="3"/>
      <c r="EM591" s="3"/>
      <c r="EN591" s="3"/>
      <c r="EO591" s="131"/>
      <c r="EP591" s="15"/>
      <c r="EQ591" s="99"/>
      <c r="ER591" s="149"/>
      <c r="ES591" s="134"/>
      <c r="ET591" s="134"/>
      <c r="EU591" s="137"/>
      <c r="EV591" s="150"/>
      <c r="EW591" s="137"/>
      <c r="EX591" s="137"/>
      <c r="EY591" s="3"/>
      <c r="EZ591" s="138"/>
      <c r="FA591" s="2"/>
      <c r="FB591" s="139"/>
      <c r="FC591" s="3"/>
      <c r="FD591" s="3"/>
      <c r="FE591" s="3"/>
      <c r="FF591" s="3"/>
      <c r="FG591" s="3"/>
      <c r="FH591" s="3"/>
      <c r="FI591" s="3"/>
      <c r="FJ591" s="3"/>
      <c r="FK591" s="3"/>
      <c r="FL591" s="3"/>
      <c r="FM591" s="131"/>
      <c r="FN591" s="15"/>
      <c r="FO591" s="99"/>
      <c r="FP591" s="149"/>
      <c r="FQ591" s="134"/>
      <c r="FR591" s="134"/>
      <c r="FS591" s="137"/>
      <c r="FT591" s="150"/>
      <c r="FU591" s="137"/>
      <c r="FV591" s="137"/>
      <c r="FW591" s="3"/>
      <c r="FX591" s="138"/>
      <c r="FY591" s="2"/>
      <c r="FZ591" s="139"/>
      <c r="GA591" s="3"/>
      <c r="GB591" s="3"/>
      <c r="GC591" s="3"/>
      <c r="GD591" s="3"/>
      <c r="GE591" s="3"/>
      <c r="GF591" s="3"/>
      <c r="GG591" s="3"/>
      <c r="GH591" s="3"/>
      <c r="GI591" s="3"/>
      <c r="GJ591" s="3"/>
      <c r="GK591" s="131"/>
      <c r="GL591" s="15"/>
      <c r="GM591" s="99"/>
      <c r="GN591" s="149"/>
      <c r="GO591" s="134"/>
      <c r="GP591" s="134"/>
      <c r="GQ591" s="137"/>
      <c r="GR591" s="150"/>
      <c r="GS591" s="137"/>
      <c r="GT591" s="137"/>
      <c r="GU591" s="3"/>
      <c r="GV591" s="138"/>
      <c r="GW591" s="2"/>
      <c r="GX591" s="139"/>
      <c r="GY591" s="3"/>
      <c r="GZ591" s="3"/>
      <c r="HA591" s="3"/>
      <c r="HB591" s="3"/>
      <c r="HC591" s="3"/>
      <c r="HD591" s="3"/>
      <c r="HE591" s="3"/>
      <c r="HF591" s="3"/>
      <c r="HG591" s="3"/>
      <c r="HH591" s="3"/>
      <c r="HI591" s="131"/>
      <c r="HJ591" s="15"/>
      <c r="HK591" s="99"/>
      <c r="HL591" s="149"/>
      <c r="HM591" s="134"/>
      <c r="HN591" s="134"/>
      <c r="HO591" s="137"/>
      <c r="HP591" s="150"/>
      <c r="HQ591" s="137"/>
      <c r="HR591" s="137"/>
      <c r="HS591" s="3"/>
      <c r="HT591" s="138"/>
      <c r="HU591" s="2"/>
      <c r="HV591" s="139"/>
      <c r="HW591" s="3"/>
      <c r="HX591" s="3"/>
      <c r="HY591" s="3"/>
      <c r="HZ591" s="3"/>
      <c r="IA591" s="3"/>
      <c r="IB591" s="3"/>
      <c r="IC591" s="3"/>
      <c r="ID591" s="3"/>
      <c r="IE591" s="3"/>
      <c r="IF591" s="3"/>
      <c r="IG591" s="131"/>
      <c r="IH591" s="15"/>
      <c r="II591" s="99"/>
      <c r="IJ591" s="149"/>
      <c r="IK591" s="134"/>
      <c r="IL591" s="134"/>
      <c r="IM591" s="137"/>
      <c r="IN591" s="150"/>
      <c r="IO591" s="137"/>
      <c r="IP591" s="137"/>
      <c r="IQ591" s="3"/>
      <c r="IR591" s="138"/>
      <c r="IS591" s="2"/>
      <c r="IT591" s="139"/>
      <c r="IU591" s="3"/>
      <c r="IV591" s="3"/>
    </row>
    <row r="592" spans="1:256" s="125" customFormat="1" ht="13.5" customHeight="1">
      <c r="A592" s="86">
        <v>1</v>
      </c>
      <c r="B592" s="60">
        <v>43047</v>
      </c>
      <c r="C592" s="18"/>
      <c r="D592" s="19" t="s">
        <v>397</v>
      </c>
      <c r="E592" s="20" t="s">
        <v>398</v>
      </c>
      <c r="F592" s="120" t="s">
        <v>791</v>
      </c>
      <c r="G592" s="63">
        <v>1707</v>
      </c>
      <c r="H592" s="121">
        <f>1729000-30000</f>
        <v>1699000</v>
      </c>
      <c r="I592" s="24">
        <v>1618095</v>
      </c>
      <c r="J592" s="24"/>
      <c r="K592" s="24">
        <f t="shared" si="49"/>
        <v>1618095</v>
      </c>
      <c r="L592" s="123">
        <v>1</v>
      </c>
      <c r="M592" s="24">
        <f t="shared" si="50"/>
        <v>1618095</v>
      </c>
      <c r="N592" s="124">
        <f t="shared" si="51"/>
        <v>0</v>
      </c>
      <c r="O592" s="87" t="s">
        <v>155</v>
      </c>
      <c r="P592" s="3"/>
      <c r="Q592" s="140"/>
      <c r="R592" s="3"/>
      <c r="S592" s="3"/>
      <c r="T592" s="3"/>
      <c r="U592" s="3"/>
      <c r="V592" s="3"/>
      <c r="W592" s="3"/>
      <c r="X592" s="3"/>
      <c r="Y592" s="131"/>
      <c r="Z592" s="15"/>
      <c r="AA592" s="99"/>
      <c r="AB592" s="149"/>
      <c r="AC592" s="134"/>
      <c r="AD592" s="134"/>
      <c r="AE592" s="137"/>
      <c r="AF592" s="150"/>
      <c r="AG592" s="137"/>
      <c r="AH592" s="137"/>
      <c r="AI592" s="3"/>
      <c r="AJ592" s="138"/>
      <c r="AK592" s="2"/>
      <c r="AL592" s="139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131"/>
      <c r="AX592" s="15"/>
      <c r="AY592" s="99"/>
      <c r="AZ592" s="149"/>
      <c r="BA592" s="134"/>
      <c r="BB592" s="134"/>
      <c r="BC592" s="137"/>
      <c r="BD592" s="150"/>
      <c r="BE592" s="137"/>
      <c r="BF592" s="137"/>
      <c r="BG592" s="3"/>
      <c r="BH592" s="138"/>
      <c r="BI592" s="2"/>
      <c r="BJ592" s="139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131"/>
      <c r="BV592" s="15"/>
      <c r="BW592" s="99"/>
      <c r="BX592" s="149"/>
      <c r="BY592" s="134"/>
      <c r="BZ592" s="134"/>
      <c r="CA592" s="137"/>
      <c r="CB592" s="150"/>
      <c r="CC592" s="137"/>
      <c r="CD592" s="137"/>
      <c r="CE592" s="3"/>
      <c r="CF592" s="138"/>
      <c r="CG592" s="2"/>
      <c r="CH592" s="139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131"/>
      <c r="CT592" s="15"/>
      <c r="CU592" s="99"/>
      <c r="CV592" s="149"/>
      <c r="CW592" s="134"/>
      <c r="CX592" s="134"/>
      <c r="CY592" s="137"/>
      <c r="CZ592" s="150"/>
      <c r="DA592" s="137"/>
      <c r="DB592" s="137"/>
      <c r="DC592" s="3"/>
      <c r="DD592" s="138"/>
      <c r="DE592" s="2"/>
      <c r="DF592" s="139"/>
      <c r="DG592" s="3"/>
      <c r="DH592" s="3"/>
      <c r="DI592" s="3"/>
      <c r="DJ592" s="3"/>
      <c r="DK592" s="3"/>
      <c r="DL592" s="3"/>
      <c r="DM592" s="3"/>
      <c r="DN592" s="3"/>
      <c r="DO592" s="3"/>
      <c r="DP592" s="3"/>
      <c r="DQ592" s="131"/>
      <c r="DR592" s="15"/>
      <c r="DS592" s="99"/>
      <c r="DT592" s="149"/>
      <c r="DU592" s="134"/>
      <c r="DV592" s="134"/>
      <c r="DW592" s="137"/>
      <c r="DX592" s="150"/>
      <c r="DY592" s="137"/>
      <c r="DZ592" s="137"/>
      <c r="EA592" s="3"/>
      <c r="EB592" s="138"/>
      <c r="EC592" s="2"/>
      <c r="ED592" s="139"/>
      <c r="EE592" s="3"/>
      <c r="EF592" s="3"/>
      <c r="EG592" s="3"/>
      <c r="EH592" s="3"/>
      <c r="EI592" s="3"/>
      <c r="EJ592" s="3"/>
      <c r="EK592" s="3"/>
      <c r="EL592" s="3"/>
      <c r="EM592" s="3"/>
      <c r="EN592" s="3"/>
      <c r="EO592" s="131"/>
      <c r="EP592" s="15"/>
      <c r="EQ592" s="99"/>
      <c r="ER592" s="149"/>
      <c r="ES592" s="134"/>
      <c r="ET592" s="134"/>
      <c r="EU592" s="137"/>
      <c r="EV592" s="150"/>
      <c r="EW592" s="137"/>
      <c r="EX592" s="137"/>
      <c r="EY592" s="3"/>
      <c r="EZ592" s="138"/>
      <c r="FA592" s="2"/>
      <c r="FB592" s="139"/>
      <c r="FC592" s="3"/>
      <c r="FD592" s="3"/>
      <c r="FE592" s="3"/>
      <c r="FF592" s="3"/>
      <c r="FG592" s="3"/>
      <c r="FH592" s="3"/>
      <c r="FI592" s="3"/>
      <c r="FJ592" s="3"/>
      <c r="FK592" s="3"/>
      <c r="FL592" s="3"/>
      <c r="FM592" s="131"/>
      <c r="FN592" s="15"/>
      <c r="FO592" s="99"/>
      <c r="FP592" s="149"/>
      <c r="FQ592" s="134"/>
      <c r="FR592" s="134"/>
      <c r="FS592" s="137"/>
      <c r="FT592" s="150"/>
      <c r="FU592" s="137"/>
      <c r="FV592" s="137"/>
      <c r="FW592" s="3"/>
      <c r="FX592" s="138"/>
      <c r="FY592" s="2"/>
      <c r="FZ592" s="139"/>
      <c r="GA592" s="3"/>
      <c r="GB592" s="3"/>
      <c r="GC592" s="3"/>
      <c r="GD592" s="3"/>
      <c r="GE592" s="3"/>
      <c r="GF592" s="3"/>
      <c r="GG592" s="3"/>
      <c r="GH592" s="3"/>
      <c r="GI592" s="3"/>
      <c r="GJ592" s="3"/>
      <c r="GK592" s="131"/>
      <c r="GL592" s="15"/>
      <c r="GM592" s="99"/>
      <c r="GN592" s="149"/>
      <c r="GO592" s="134"/>
      <c r="GP592" s="134"/>
      <c r="GQ592" s="137"/>
      <c r="GR592" s="150"/>
      <c r="GS592" s="137"/>
      <c r="GT592" s="137"/>
      <c r="GU592" s="3"/>
      <c r="GV592" s="138"/>
      <c r="GW592" s="2"/>
      <c r="GX592" s="139"/>
      <c r="GY592" s="3"/>
      <c r="GZ592" s="3"/>
      <c r="HA592" s="3"/>
      <c r="HB592" s="3"/>
      <c r="HC592" s="3"/>
      <c r="HD592" s="3"/>
      <c r="HE592" s="3"/>
      <c r="HF592" s="3"/>
      <c r="HG592" s="3"/>
      <c r="HH592" s="3"/>
      <c r="HI592" s="131"/>
      <c r="HJ592" s="15"/>
      <c r="HK592" s="99"/>
      <c r="HL592" s="149"/>
      <c r="HM592" s="134"/>
      <c r="HN592" s="134"/>
      <c r="HO592" s="137"/>
      <c r="HP592" s="150"/>
      <c r="HQ592" s="137"/>
      <c r="HR592" s="137"/>
      <c r="HS592" s="3"/>
      <c r="HT592" s="138"/>
      <c r="HU592" s="2"/>
      <c r="HV592" s="139"/>
      <c r="HW592" s="3"/>
      <c r="HX592" s="3"/>
      <c r="HY592" s="3"/>
      <c r="HZ592" s="3"/>
      <c r="IA592" s="3"/>
      <c r="IB592" s="3"/>
      <c r="IC592" s="3"/>
      <c r="ID592" s="3"/>
      <c r="IE592" s="3"/>
      <c r="IF592" s="3"/>
      <c r="IG592" s="131"/>
      <c r="IH592" s="15"/>
      <c r="II592" s="99"/>
      <c r="IJ592" s="149"/>
      <c r="IK592" s="134"/>
      <c r="IL592" s="134"/>
      <c r="IM592" s="137"/>
      <c r="IN592" s="150"/>
      <c r="IO592" s="137"/>
      <c r="IP592" s="137"/>
      <c r="IQ592" s="3"/>
      <c r="IR592" s="138"/>
      <c r="IS592" s="2"/>
      <c r="IT592" s="139"/>
      <c r="IU592" s="3"/>
      <c r="IV592" s="3"/>
    </row>
    <row r="593" spans="1:256" s="125" customFormat="1" ht="13.5" customHeight="1">
      <c r="A593" s="86">
        <v>2</v>
      </c>
      <c r="B593" s="83">
        <v>43082</v>
      </c>
      <c r="C593" s="18"/>
      <c r="D593" s="19" t="s">
        <v>397</v>
      </c>
      <c r="E593" s="20" t="s">
        <v>398</v>
      </c>
      <c r="F593" s="82" t="s">
        <v>792</v>
      </c>
      <c r="G593" s="58">
        <v>1707</v>
      </c>
      <c r="H593" s="121">
        <f>1729000-30000</f>
        <v>1699000</v>
      </c>
      <c r="I593" s="24"/>
      <c r="J593" s="24">
        <f>SUM(H593)/1.05</f>
        <v>1618095.2380952381</v>
      </c>
      <c r="K593" s="24">
        <f t="shared" si="49"/>
        <v>1618095.2380952381</v>
      </c>
      <c r="L593" s="123">
        <v>1</v>
      </c>
      <c r="M593" s="24">
        <f t="shared" si="50"/>
        <v>1618095.2380952381</v>
      </c>
      <c r="N593" s="124">
        <f t="shared" si="51"/>
        <v>0</v>
      </c>
      <c r="O593" s="87" t="s">
        <v>155</v>
      </c>
      <c r="P593" s="3"/>
      <c r="Q593" s="140"/>
      <c r="R593" s="3"/>
      <c r="S593" s="3"/>
      <c r="T593" s="3"/>
      <c r="U593" s="3"/>
      <c r="V593" s="3"/>
      <c r="W593" s="3"/>
      <c r="X593" s="3"/>
      <c r="Y593" s="131"/>
      <c r="Z593" s="15"/>
      <c r="AA593" s="99"/>
      <c r="AB593" s="149"/>
      <c r="AC593" s="134"/>
      <c r="AD593" s="134"/>
      <c r="AE593" s="137"/>
      <c r="AF593" s="150"/>
      <c r="AG593" s="137"/>
      <c r="AH593" s="137"/>
      <c r="AI593" s="3"/>
      <c r="AJ593" s="138"/>
      <c r="AK593" s="2"/>
      <c r="AL593" s="139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131"/>
      <c r="AX593" s="15"/>
      <c r="AY593" s="99"/>
      <c r="AZ593" s="149"/>
      <c r="BA593" s="134"/>
      <c r="BB593" s="134"/>
      <c r="BC593" s="137"/>
      <c r="BD593" s="150"/>
      <c r="BE593" s="137"/>
      <c r="BF593" s="137"/>
      <c r="BG593" s="3"/>
      <c r="BH593" s="138"/>
      <c r="BI593" s="2"/>
      <c r="BJ593" s="139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131"/>
      <c r="BV593" s="15"/>
      <c r="BW593" s="99"/>
      <c r="BX593" s="149"/>
      <c r="BY593" s="134"/>
      <c r="BZ593" s="134"/>
      <c r="CA593" s="137"/>
      <c r="CB593" s="150"/>
      <c r="CC593" s="137"/>
      <c r="CD593" s="137"/>
      <c r="CE593" s="3"/>
      <c r="CF593" s="138"/>
      <c r="CG593" s="2"/>
      <c r="CH593" s="139"/>
      <c r="CI593" s="3"/>
      <c r="CJ593" s="3"/>
      <c r="CK593" s="3"/>
      <c r="CL593" s="3"/>
      <c r="CM593" s="3"/>
      <c r="CN593" s="3"/>
      <c r="CO593" s="3"/>
      <c r="CP593" s="3"/>
      <c r="CQ593" s="3"/>
      <c r="CR593" s="3"/>
      <c r="CS593" s="131"/>
      <c r="CT593" s="15"/>
      <c r="CU593" s="99"/>
      <c r="CV593" s="149"/>
      <c r="CW593" s="134"/>
      <c r="CX593" s="134"/>
      <c r="CY593" s="137"/>
      <c r="CZ593" s="150"/>
      <c r="DA593" s="137"/>
      <c r="DB593" s="137"/>
      <c r="DC593" s="3"/>
      <c r="DD593" s="138"/>
      <c r="DE593" s="2"/>
      <c r="DF593" s="139"/>
      <c r="DG593" s="3"/>
      <c r="DH593" s="3"/>
      <c r="DI593" s="3"/>
      <c r="DJ593" s="3"/>
      <c r="DK593" s="3"/>
      <c r="DL593" s="3"/>
      <c r="DM593" s="3"/>
      <c r="DN593" s="3"/>
      <c r="DO593" s="3"/>
      <c r="DP593" s="3"/>
      <c r="DQ593" s="131"/>
      <c r="DR593" s="15"/>
      <c r="DS593" s="99"/>
      <c r="DT593" s="149"/>
      <c r="DU593" s="134"/>
      <c r="DV593" s="134"/>
      <c r="DW593" s="137"/>
      <c r="DX593" s="150"/>
      <c r="DY593" s="137"/>
      <c r="DZ593" s="137"/>
      <c r="EA593" s="3"/>
      <c r="EB593" s="138"/>
      <c r="EC593" s="2"/>
      <c r="ED593" s="139"/>
      <c r="EE593" s="3"/>
      <c r="EF593" s="3"/>
      <c r="EG593" s="3"/>
      <c r="EH593" s="3"/>
      <c r="EI593" s="3"/>
      <c r="EJ593" s="3"/>
      <c r="EK593" s="3"/>
      <c r="EL593" s="3"/>
      <c r="EM593" s="3"/>
      <c r="EN593" s="3"/>
      <c r="EO593" s="131"/>
      <c r="EP593" s="15"/>
      <c r="EQ593" s="99"/>
      <c r="ER593" s="149"/>
      <c r="ES593" s="134"/>
      <c r="ET593" s="134"/>
      <c r="EU593" s="137"/>
      <c r="EV593" s="150"/>
      <c r="EW593" s="137"/>
      <c r="EX593" s="137"/>
      <c r="EY593" s="3"/>
      <c r="EZ593" s="138"/>
      <c r="FA593" s="2"/>
      <c r="FB593" s="139"/>
      <c r="FC593" s="3"/>
      <c r="FD593" s="3"/>
      <c r="FE593" s="3"/>
      <c r="FF593" s="3"/>
      <c r="FG593" s="3"/>
      <c r="FH593" s="3"/>
      <c r="FI593" s="3"/>
      <c r="FJ593" s="3"/>
      <c r="FK593" s="3"/>
      <c r="FL593" s="3"/>
      <c r="FM593" s="131"/>
      <c r="FN593" s="15"/>
      <c r="FO593" s="99"/>
      <c r="FP593" s="149"/>
      <c r="FQ593" s="134"/>
      <c r="FR593" s="134"/>
      <c r="FS593" s="137"/>
      <c r="FT593" s="150"/>
      <c r="FU593" s="137"/>
      <c r="FV593" s="137"/>
      <c r="FW593" s="3"/>
      <c r="FX593" s="138"/>
      <c r="FY593" s="2"/>
      <c r="FZ593" s="139"/>
      <c r="GA593" s="3"/>
      <c r="GB593" s="3"/>
      <c r="GC593" s="3"/>
      <c r="GD593" s="3"/>
      <c r="GE593" s="3"/>
      <c r="GF593" s="3"/>
      <c r="GG593" s="3"/>
      <c r="GH593" s="3"/>
      <c r="GI593" s="3"/>
      <c r="GJ593" s="3"/>
      <c r="GK593" s="131"/>
      <c r="GL593" s="15"/>
      <c r="GM593" s="99"/>
      <c r="GN593" s="149"/>
      <c r="GO593" s="134"/>
      <c r="GP593" s="134"/>
      <c r="GQ593" s="137"/>
      <c r="GR593" s="150"/>
      <c r="GS593" s="137"/>
      <c r="GT593" s="137"/>
      <c r="GU593" s="3"/>
      <c r="GV593" s="138"/>
      <c r="GW593" s="2"/>
      <c r="GX593" s="139"/>
      <c r="GY593" s="3"/>
      <c r="GZ593" s="3"/>
      <c r="HA593" s="3"/>
      <c r="HB593" s="3"/>
      <c r="HC593" s="3"/>
      <c r="HD593" s="3"/>
      <c r="HE593" s="3"/>
      <c r="HF593" s="3"/>
      <c r="HG593" s="3"/>
      <c r="HH593" s="3"/>
      <c r="HI593" s="131"/>
      <c r="HJ593" s="15"/>
      <c r="HK593" s="99"/>
      <c r="HL593" s="149"/>
      <c r="HM593" s="134"/>
      <c r="HN593" s="134"/>
      <c r="HO593" s="137"/>
      <c r="HP593" s="150"/>
      <c r="HQ593" s="137"/>
      <c r="HR593" s="137"/>
      <c r="HS593" s="3"/>
      <c r="HT593" s="138"/>
      <c r="HU593" s="2"/>
      <c r="HV593" s="139"/>
      <c r="HW593" s="3"/>
      <c r="HX593" s="3"/>
      <c r="HY593" s="3"/>
      <c r="HZ593" s="3"/>
      <c r="IA593" s="3"/>
      <c r="IB593" s="3"/>
      <c r="IC593" s="3"/>
      <c r="ID593" s="3"/>
      <c r="IE593" s="3"/>
      <c r="IF593" s="3"/>
      <c r="IG593" s="131"/>
      <c r="IH593" s="15"/>
      <c r="II593" s="99"/>
      <c r="IJ593" s="149"/>
      <c r="IK593" s="134"/>
      <c r="IL593" s="134"/>
      <c r="IM593" s="137"/>
      <c r="IN593" s="150"/>
      <c r="IO593" s="137"/>
      <c r="IP593" s="137"/>
      <c r="IQ593" s="3"/>
      <c r="IR593" s="138"/>
      <c r="IS593" s="2"/>
      <c r="IT593" s="139"/>
      <c r="IU593" s="3"/>
      <c r="IV593" s="3"/>
    </row>
    <row r="594" spans="1:256" s="125" customFormat="1" ht="13.5" customHeight="1">
      <c r="A594" s="86">
        <v>3</v>
      </c>
      <c r="B594" s="56">
        <v>43070</v>
      </c>
      <c r="C594" s="18"/>
      <c r="D594" s="19" t="s">
        <v>305</v>
      </c>
      <c r="E594" s="20" t="s">
        <v>306</v>
      </c>
      <c r="F594" s="62" t="s">
        <v>793</v>
      </c>
      <c r="G594" s="63">
        <v>1709</v>
      </c>
      <c r="H594" s="121">
        <v>1660000</v>
      </c>
      <c r="I594" s="24"/>
      <c r="J594" s="24">
        <f>SUM(H594)/1.05</f>
        <v>1580952.3809523808</v>
      </c>
      <c r="K594" s="24">
        <f t="shared" si="49"/>
        <v>1580952.3809523808</v>
      </c>
      <c r="L594" s="123">
        <v>1</v>
      </c>
      <c r="M594" s="24">
        <f t="shared" si="50"/>
        <v>1580952.3809523808</v>
      </c>
      <c r="N594" s="124">
        <f t="shared" si="51"/>
        <v>0</v>
      </c>
      <c r="O594" s="87" t="s">
        <v>155</v>
      </c>
      <c r="P594" s="3"/>
      <c r="Q594" s="140"/>
      <c r="R594" s="3"/>
      <c r="S594" s="3"/>
      <c r="T594" s="3"/>
      <c r="U594" s="3"/>
      <c r="V594" s="3"/>
      <c r="W594" s="3"/>
      <c r="X594" s="3"/>
      <c r="Y594" s="131"/>
      <c r="Z594" s="15"/>
      <c r="AA594" s="99"/>
      <c r="AB594" s="149"/>
      <c r="AC594" s="134"/>
      <c r="AD594" s="134"/>
      <c r="AE594" s="137"/>
      <c r="AF594" s="150"/>
      <c r="AG594" s="137"/>
      <c r="AH594" s="137"/>
      <c r="AI594" s="3"/>
      <c r="AJ594" s="138"/>
      <c r="AK594" s="2"/>
      <c r="AL594" s="139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131"/>
      <c r="AX594" s="15"/>
      <c r="AY594" s="99"/>
      <c r="AZ594" s="149"/>
      <c r="BA594" s="134"/>
      <c r="BB594" s="134"/>
      <c r="BC594" s="137"/>
      <c r="BD594" s="150"/>
      <c r="BE594" s="137"/>
      <c r="BF594" s="137"/>
      <c r="BG594" s="3"/>
      <c r="BH594" s="138"/>
      <c r="BI594" s="2"/>
      <c r="BJ594" s="139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131"/>
      <c r="BV594" s="15"/>
      <c r="BW594" s="99"/>
      <c r="BX594" s="149"/>
      <c r="BY594" s="134"/>
      <c r="BZ594" s="134"/>
      <c r="CA594" s="137"/>
      <c r="CB594" s="150"/>
      <c r="CC594" s="137"/>
      <c r="CD594" s="137"/>
      <c r="CE594" s="3"/>
      <c r="CF594" s="138"/>
      <c r="CG594" s="2"/>
      <c r="CH594" s="139"/>
      <c r="CI594" s="3"/>
      <c r="CJ594" s="3"/>
      <c r="CK594" s="3"/>
      <c r="CL594" s="3"/>
      <c r="CM594" s="3"/>
      <c r="CN594" s="3"/>
      <c r="CO594" s="3"/>
      <c r="CP594" s="3"/>
      <c r="CQ594" s="3"/>
      <c r="CR594" s="3"/>
      <c r="CS594" s="131"/>
      <c r="CT594" s="15"/>
      <c r="CU594" s="99"/>
      <c r="CV594" s="149"/>
      <c r="CW594" s="134"/>
      <c r="CX594" s="134"/>
      <c r="CY594" s="137"/>
      <c r="CZ594" s="150"/>
      <c r="DA594" s="137"/>
      <c r="DB594" s="137"/>
      <c r="DC594" s="3"/>
      <c r="DD594" s="138"/>
      <c r="DE594" s="2"/>
      <c r="DF594" s="139"/>
      <c r="DG594" s="3"/>
      <c r="DH594" s="3"/>
      <c r="DI594" s="3"/>
      <c r="DJ594" s="3"/>
      <c r="DK594" s="3"/>
      <c r="DL594" s="3"/>
      <c r="DM594" s="3"/>
      <c r="DN594" s="3"/>
      <c r="DO594" s="3"/>
      <c r="DP594" s="3"/>
      <c r="DQ594" s="131"/>
      <c r="DR594" s="15"/>
      <c r="DS594" s="99"/>
      <c r="DT594" s="149"/>
      <c r="DU594" s="134"/>
      <c r="DV594" s="134"/>
      <c r="DW594" s="137"/>
      <c r="DX594" s="150"/>
      <c r="DY594" s="137"/>
      <c r="DZ594" s="137"/>
      <c r="EA594" s="3"/>
      <c r="EB594" s="138"/>
      <c r="EC594" s="2"/>
      <c r="ED594" s="139"/>
      <c r="EE594" s="3"/>
      <c r="EF594" s="3"/>
      <c r="EG594" s="3"/>
      <c r="EH594" s="3"/>
      <c r="EI594" s="3"/>
      <c r="EJ594" s="3"/>
      <c r="EK594" s="3"/>
      <c r="EL594" s="3"/>
      <c r="EM594" s="3"/>
      <c r="EN594" s="3"/>
      <c r="EO594" s="131"/>
      <c r="EP594" s="15"/>
      <c r="EQ594" s="99"/>
      <c r="ER594" s="149"/>
      <c r="ES594" s="134"/>
      <c r="ET594" s="134"/>
      <c r="EU594" s="137"/>
      <c r="EV594" s="150"/>
      <c r="EW594" s="137"/>
      <c r="EX594" s="137"/>
      <c r="EY594" s="3"/>
      <c r="EZ594" s="138"/>
      <c r="FA594" s="2"/>
      <c r="FB594" s="139"/>
      <c r="FC594" s="3"/>
      <c r="FD594" s="3"/>
      <c r="FE594" s="3"/>
      <c r="FF594" s="3"/>
      <c r="FG594" s="3"/>
      <c r="FH594" s="3"/>
      <c r="FI594" s="3"/>
      <c r="FJ594" s="3"/>
      <c r="FK594" s="3"/>
      <c r="FL594" s="3"/>
      <c r="FM594" s="131"/>
      <c r="FN594" s="15"/>
      <c r="FO594" s="99"/>
      <c r="FP594" s="149"/>
      <c r="FQ594" s="134"/>
      <c r="FR594" s="134"/>
      <c r="FS594" s="137"/>
      <c r="FT594" s="150"/>
      <c r="FU594" s="137"/>
      <c r="FV594" s="137"/>
      <c r="FW594" s="3"/>
      <c r="FX594" s="138"/>
      <c r="FY594" s="2"/>
      <c r="FZ594" s="139"/>
      <c r="GA594" s="3"/>
      <c r="GB594" s="3"/>
      <c r="GC594" s="3"/>
      <c r="GD594" s="3"/>
      <c r="GE594" s="3"/>
      <c r="GF594" s="3"/>
      <c r="GG594" s="3"/>
      <c r="GH594" s="3"/>
      <c r="GI594" s="3"/>
      <c r="GJ594" s="3"/>
      <c r="GK594" s="131"/>
      <c r="GL594" s="15"/>
      <c r="GM594" s="99"/>
      <c r="GN594" s="149"/>
      <c r="GO594" s="134"/>
      <c r="GP594" s="134"/>
      <c r="GQ594" s="137"/>
      <c r="GR594" s="150"/>
      <c r="GS594" s="137"/>
      <c r="GT594" s="137"/>
      <c r="GU594" s="3"/>
      <c r="GV594" s="138"/>
      <c r="GW594" s="2"/>
      <c r="GX594" s="139"/>
      <c r="GY594" s="3"/>
      <c r="GZ594" s="3"/>
      <c r="HA594" s="3"/>
      <c r="HB594" s="3"/>
      <c r="HC594" s="3"/>
      <c r="HD594" s="3"/>
      <c r="HE594" s="3"/>
      <c r="HF594" s="3"/>
      <c r="HG594" s="3"/>
      <c r="HH594" s="3"/>
      <c r="HI594" s="131"/>
      <c r="HJ594" s="15"/>
      <c r="HK594" s="99"/>
      <c r="HL594" s="149"/>
      <c r="HM594" s="134"/>
      <c r="HN594" s="134"/>
      <c r="HO594" s="137"/>
      <c r="HP594" s="150"/>
      <c r="HQ594" s="137"/>
      <c r="HR594" s="137"/>
      <c r="HS594" s="3"/>
      <c r="HT594" s="138"/>
      <c r="HU594" s="2"/>
      <c r="HV594" s="139"/>
      <c r="HW594" s="3"/>
      <c r="HX594" s="3"/>
      <c r="HY594" s="3"/>
      <c r="HZ594" s="3"/>
      <c r="IA594" s="3"/>
      <c r="IB594" s="3"/>
      <c r="IC594" s="3"/>
      <c r="ID594" s="3"/>
      <c r="IE594" s="3"/>
      <c r="IF594" s="3"/>
      <c r="IG594" s="131"/>
      <c r="IH594" s="15"/>
      <c r="II594" s="99"/>
      <c r="IJ594" s="149"/>
      <c r="IK594" s="134"/>
      <c r="IL594" s="134"/>
      <c r="IM594" s="137"/>
      <c r="IN594" s="150"/>
      <c r="IO594" s="137"/>
      <c r="IP594" s="137"/>
      <c r="IQ594" s="3"/>
      <c r="IR594" s="138"/>
      <c r="IS594" s="2"/>
      <c r="IT594" s="139"/>
      <c r="IU594" s="3"/>
      <c r="IV594" s="3"/>
    </row>
    <row r="595" spans="1:256" s="125" customFormat="1" ht="13.5" customHeight="1">
      <c r="A595" s="86">
        <v>4</v>
      </c>
      <c r="B595" s="60">
        <v>43048</v>
      </c>
      <c r="C595" s="18"/>
      <c r="D595" s="19" t="s">
        <v>305</v>
      </c>
      <c r="E595" s="20" t="s">
        <v>536</v>
      </c>
      <c r="F595" s="82" t="s">
        <v>794</v>
      </c>
      <c r="G595" s="63">
        <v>1708</v>
      </c>
      <c r="H595" s="121">
        <v>1840000</v>
      </c>
      <c r="I595" s="24">
        <v>1752381</v>
      </c>
      <c r="J595" s="24"/>
      <c r="K595" s="24">
        <f t="shared" si="49"/>
        <v>1752381</v>
      </c>
      <c r="L595" s="123">
        <v>1</v>
      </c>
      <c r="M595" s="24">
        <f t="shared" si="50"/>
        <v>1752381</v>
      </c>
      <c r="N595" s="124">
        <f t="shared" si="51"/>
        <v>0</v>
      </c>
      <c r="O595" s="87" t="s">
        <v>155</v>
      </c>
      <c r="P595" s="3"/>
      <c r="Q595" s="140"/>
      <c r="R595" s="3"/>
      <c r="S595" s="3"/>
      <c r="T595" s="3"/>
      <c r="U595" s="3"/>
      <c r="V595" s="3"/>
      <c r="W595" s="3"/>
      <c r="X595" s="3"/>
      <c r="Y595" s="131"/>
      <c r="Z595" s="15"/>
      <c r="AA595" s="99"/>
      <c r="AB595" s="149"/>
      <c r="AC595" s="134"/>
      <c r="AD595" s="134"/>
      <c r="AE595" s="137"/>
      <c r="AF595" s="150"/>
      <c r="AG595" s="137"/>
      <c r="AH595" s="137"/>
      <c r="AI595" s="3"/>
      <c r="AJ595" s="138"/>
      <c r="AK595" s="2"/>
      <c r="AL595" s="139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131"/>
      <c r="AX595" s="15"/>
      <c r="AY595" s="99"/>
      <c r="AZ595" s="149"/>
      <c r="BA595" s="134"/>
      <c r="BB595" s="134"/>
      <c r="BC595" s="137"/>
      <c r="BD595" s="150"/>
      <c r="BE595" s="137"/>
      <c r="BF595" s="137"/>
      <c r="BG595" s="3"/>
      <c r="BH595" s="138"/>
      <c r="BI595" s="2"/>
      <c r="BJ595" s="139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131"/>
      <c r="BV595" s="15"/>
      <c r="BW595" s="99"/>
      <c r="BX595" s="149"/>
      <c r="BY595" s="134"/>
      <c r="BZ595" s="134"/>
      <c r="CA595" s="137"/>
      <c r="CB595" s="150"/>
      <c r="CC595" s="137"/>
      <c r="CD595" s="137"/>
      <c r="CE595" s="3"/>
      <c r="CF595" s="138"/>
      <c r="CG595" s="2"/>
      <c r="CH595" s="139"/>
      <c r="CI595" s="3"/>
      <c r="CJ595" s="3"/>
      <c r="CK595" s="3"/>
      <c r="CL595" s="3"/>
      <c r="CM595" s="3"/>
      <c r="CN595" s="3"/>
      <c r="CO595" s="3"/>
      <c r="CP595" s="3"/>
      <c r="CQ595" s="3"/>
      <c r="CR595" s="3"/>
      <c r="CS595" s="131"/>
      <c r="CT595" s="15"/>
      <c r="CU595" s="99"/>
      <c r="CV595" s="149"/>
      <c r="CW595" s="134"/>
      <c r="CX595" s="134"/>
      <c r="CY595" s="137"/>
      <c r="CZ595" s="150"/>
      <c r="DA595" s="137"/>
      <c r="DB595" s="137"/>
      <c r="DC595" s="3"/>
      <c r="DD595" s="138"/>
      <c r="DE595" s="2"/>
      <c r="DF595" s="139"/>
      <c r="DG595" s="3"/>
      <c r="DH595" s="3"/>
      <c r="DI595" s="3"/>
      <c r="DJ595" s="3"/>
      <c r="DK595" s="3"/>
      <c r="DL595" s="3"/>
      <c r="DM595" s="3"/>
      <c r="DN595" s="3"/>
      <c r="DO595" s="3"/>
      <c r="DP595" s="3"/>
      <c r="DQ595" s="131"/>
      <c r="DR595" s="15"/>
      <c r="DS595" s="99"/>
      <c r="DT595" s="149"/>
      <c r="DU595" s="134"/>
      <c r="DV595" s="134"/>
      <c r="DW595" s="137"/>
      <c r="DX595" s="150"/>
      <c r="DY595" s="137"/>
      <c r="DZ595" s="137"/>
      <c r="EA595" s="3"/>
      <c r="EB595" s="138"/>
      <c r="EC595" s="2"/>
      <c r="ED595" s="139"/>
      <c r="EE595" s="3"/>
      <c r="EF595" s="3"/>
      <c r="EG595" s="3"/>
      <c r="EH595" s="3"/>
      <c r="EI595" s="3"/>
      <c r="EJ595" s="3"/>
      <c r="EK595" s="3"/>
      <c r="EL595" s="3"/>
      <c r="EM595" s="3"/>
      <c r="EN595" s="3"/>
      <c r="EO595" s="131"/>
      <c r="EP595" s="15"/>
      <c r="EQ595" s="99"/>
      <c r="ER595" s="149"/>
      <c r="ES595" s="134"/>
      <c r="ET595" s="134"/>
      <c r="EU595" s="137"/>
      <c r="EV595" s="150"/>
      <c r="EW595" s="137"/>
      <c r="EX595" s="137"/>
      <c r="EY595" s="3"/>
      <c r="EZ595" s="138"/>
      <c r="FA595" s="2"/>
      <c r="FB595" s="139"/>
      <c r="FC595" s="3"/>
      <c r="FD595" s="3"/>
      <c r="FE595" s="3"/>
      <c r="FF595" s="3"/>
      <c r="FG595" s="3"/>
      <c r="FH595" s="3"/>
      <c r="FI595" s="3"/>
      <c r="FJ595" s="3"/>
      <c r="FK595" s="3"/>
      <c r="FL595" s="3"/>
      <c r="FM595" s="131"/>
      <c r="FN595" s="15"/>
      <c r="FO595" s="99"/>
      <c r="FP595" s="149"/>
      <c r="FQ595" s="134"/>
      <c r="FR595" s="134"/>
      <c r="FS595" s="137"/>
      <c r="FT595" s="150"/>
      <c r="FU595" s="137"/>
      <c r="FV595" s="137"/>
      <c r="FW595" s="3"/>
      <c r="FX595" s="138"/>
      <c r="FY595" s="2"/>
      <c r="FZ595" s="139"/>
      <c r="GA595" s="3"/>
      <c r="GB595" s="3"/>
      <c r="GC595" s="3"/>
      <c r="GD595" s="3"/>
      <c r="GE595" s="3"/>
      <c r="GF595" s="3"/>
      <c r="GG595" s="3"/>
      <c r="GH595" s="3"/>
      <c r="GI595" s="3"/>
      <c r="GJ595" s="3"/>
      <c r="GK595" s="131"/>
      <c r="GL595" s="15"/>
      <c r="GM595" s="99"/>
      <c r="GN595" s="149"/>
      <c r="GO595" s="134"/>
      <c r="GP595" s="134"/>
      <c r="GQ595" s="137"/>
      <c r="GR595" s="150"/>
      <c r="GS595" s="137"/>
      <c r="GT595" s="137"/>
      <c r="GU595" s="3"/>
      <c r="GV595" s="138"/>
      <c r="GW595" s="2"/>
      <c r="GX595" s="139"/>
      <c r="GY595" s="3"/>
      <c r="GZ595" s="3"/>
      <c r="HA595" s="3"/>
      <c r="HB595" s="3"/>
      <c r="HC595" s="3"/>
      <c r="HD595" s="3"/>
      <c r="HE595" s="3"/>
      <c r="HF595" s="3"/>
      <c r="HG595" s="3"/>
      <c r="HH595" s="3"/>
      <c r="HI595" s="131"/>
      <c r="HJ595" s="15"/>
      <c r="HK595" s="99"/>
      <c r="HL595" s="149"/>
      <c r="HM595" s="134"/>
      <c r="HN595" s="134"/>
      <c r="HO595" s="137"/>
      <c r="HP595" s="150"/>
      <c r="HQ595" s="137"/>
      <c r="HR595" s="137"/>
      <c r="HS595" s="3"/>
      <c r="HT595" s="138"/>
      <c r="HU595" s="2"/>
      <c r="HV595" s="139"/>
      <c r="HW595" s="3"/>
      <c r="HX595" s="3"/>
      <c r="HY595" s="3"/>
      <c r="HZ595" s="3"/>
      <c r="IA595" s="3"/>
      <c r="IB595" s="3"/>
      <c r="IC595" s="3"/>
      <c r="ID595" s="3"/>
      <c r="IE595" s="3"/>
      <c r="IF595" s="3"/>
      <c r="IG595" s="131"/>
      <c r="IH595" s="15"/>
      <c r="II595" s="99"/>
      <c r="IJ595" s="149"/>
      <c r="IK595" s="134"/>
      <c r="IL595" s="134"/>
      <c r="IM595" s="137"/>
      <c r="IN595" s="150"/>
      <c r="IO595" s="137"/>
      <c r="IP595" s="137"/>
      <c r="IQ595" s="3"/>
      <c r="IR595" s="138"/>
      <c r="IS595" s="2"/>
      <c r="IT595" s="139"/>
      <c r="IU595" s="3"/>
      <c r="IV595" s="3"/>
    </row>
    <row r="596" spans="1:256" s="125" customFormat="1" ht="13.5" customHeight="1">
      <c r="A596" s="86">
        <v>5</v>
      </c>
      <c r="B596" s="56">
        <v>43062</v>
      </c>
      <c r="C596" s="18"/>
      <c r="D596" s="19" t="s">
        <v>305</v>
      </c>
      <c r="E596" s="20" t="s">
        <v>795</v>
      </c>
      <c r="F596" s="120" t="s">
        <v>796</v>
      </c>
      <c r="G596" s="58">
        <v>1708</v>
      </c>
      <c r="H596" s="121">
        <f>160000+1938000</f>
        <v>2098000</v>
      </c>
      <c r="I596" s="24">
        <v>1998095</v>
      </c>
      <c r="J596" s="24"/>
      <c r="K596" s="24">
        <f t="shared" si="49"/>
        <v>1998095</v>
      </c>
      <c r="L596" s="123">
        <v>1</v>
      </c>
      <c r="M596" s="24">
        <f t="shared" si="50"/>
        <v>1998095</v>
      </c>
      <c r="N596" s="124">
        <f t="shared" si="51"/>
        <v>0</v>
      </c>
      <c r="O596" s="87" t="s">
        <v>155</v>
      </c>
      <c r="P596" s="3"/>
      <c r="Q596" s="140"/>
      <c r="R596" s="3"/>
      <c r="S596" s="3"/>
      <c r="T596" s="3"/>
      <c r="U596" s="3"/>
      <c r="V596" s="3"/>
      <c r="W596" s="3"/>
      <c r="X596" s="3"/>
      <c r="Y596" s="131"/>
      <c r="Z596" s="15"/>
      <c r="AA596" s="99"/>
      <c r="AB596" s="149"/>
      <c r="AC596" s="134"/>
      <c r="AD596" s="134"/>
      <c r="AE596" s="137"/>
      <c r="AF596" s="150"/>
      <c r="AG596" s="137"/>
      <c r="AH596" s="137"/>
      <c r="AI596" s="3"/>
      <c r="AJ596" s="138"/>
      <c r="AK596" s="2"/>
      <c r="AL596" s="139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131"/>
      <c r="AX596" s="15"/>
      <c r="AY596" s="99"/>
      <c r="AZ596" s="149"/>
      <c r="BA596" s="134"/>
      <c r="BB596" s="134"/>
      <c r="BC596" s="137"/>
      <c r="BD596" s="150"/>
      <c r="BE596" s="137"/>
      <c r="BF596" s="137"/>
      <c r="BG596" s="3"/>
      <c r="BH596" s="138"/>
      <c r="BI596" s="2"/>
      <c r="BJ596" s="139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131"/>
      <c r="BV596" s="15"/>
      <c r="BW596" s="99"/>
      <c r="BX596" s="149"/>
      <c r="BY596" s="134"/>
      <c r="BZ596" s="134"/>
      <c r="CA596" s="137"/>
      <c r="CB596" s="150"/>
      <c r="CC596" s="137"/>
      <c r="CD596" s="137"/>
      <c r="CE596" s="3"/>
      <c r="CF596" s="138"/>
      <c r="CG596" s="2"/>
      <c r="CH596" s="139"/>
      <c r="CI596" s="3"/>
      <c r="CJ596" s="3"/>
      <c r="CK596" s="3"/>
      <c r="CL596" s="3"/>
      <c r="CM596" s="3"/>
      <c r="CN596" s="3"/>
      <c r="CO596" s="3"/>
      <c r="CP596" s="3"/>
      <c r="CQ596" s="3"/>
      <c r="CR596" s="3"/>
      <c r="CS596" s="131"/>
      <c r="CT596" s="15"/>
      <c r="CU596" s="99"/>
      <c r="CV596" s="149"/>
      <c r="CW596" s="134"/>
      <c r="CX596" s="134"/>
      <c r="CY596" s="137"/>
      <c r="CZ596" s="150"/>
      <c r="DA596" s="137"/>
      <c r="DB596" s="137"/>
      <c r="DC596" s="3"/>
      <c r="DD596" s="138"/>
      <c r="DE596" s="2"/>
      <c r="DF596" s="139"/>
      <c r="DG596" s="3"/>
      <c r="DH596" s="3"/>
      <c r="DI596" s="3"/>
      <c r="DJ596" s="3"/>
      <c r="DK596" s="3"/>
      <c r="DL596" s="3"/>
      <c r="DM596" s="3"/>
      <c r="DN596" s="3"/>
      <c r="DO596" s="3"/>
      <c r="DP596" s="3"/>
      <c r="DQ596" s="131"/>
      <c r="DR596" s="15"/>
      <c r="DS596" s="99"/>
      <c r="DT596" s="149"/>
      <c r="DU596" s="134"/>
      <c r="DV596" s="134"/>
      <c r="DW596" s="137"/>
      <c r="DX596" s="150"/>
      <c r="DY596" s="137"/>
      <c r="DZ596" s="137"/>
      <c r="EA596" s="3"/>
      <c r="EB596" s="138"/>
      <c r="EC596" s="2"/>
      <c r="ED596" s="139"/>
      <c r="EE596" s="3"/>
      <c r="EF596" s="3"/>
      <c r="EG596" s="3"/>
      <c r="EH596" s="3"/>
      <c r="EI596" s="3"/>
      <c r="EJ596" s="3"/>
      <c r="EK596" s="3"/>
      <c r="EL596" s="3"/>
      <c r="EM596" s="3"/>
      <c r="EN596" s="3"/>
      <c r="EO596" s="131"/>
      <c r="EP596" s="15"/>
      <c r="EQ596" s="99"/>
      <c r="ER596" s="149"/>
      <c r="ES596" s="134"/>
      <c r="ET596" s="134"/>
      <c r="EU596" s="137"/>
      <c r="EV596" s="150"/>
      <c r="EW596" s="137"/>
      <c r="EX596" s="137"/>
      <c r="EY596" s="3"/>
      <c r="EZ596" s="138"/>
      <c r="FA596" s="2"/>
      <c r="FB596" s="139"/>
      <c r="FC596" s="3"/>
      <c r="FD596" s="3"/>
      <c r="FE596" s="3"/>
      <c r="FF596" s="3"/>
      <c r="FG596" s="3"/>
      <c r="FH596" s="3"/>
      <c r="FI596" s="3"/>
      <c r="FJ596" s="3"/>
      <c r="FK596" s="3"/>
      <c r="FL596" s="3"/>
      <c r="FM596" s="131"/>
      <c r="FN596" s="15"/>
      <c r="FO596" s="99"/>
      <c r="FP596" s="149"/>
      <c r="FQ596" s="134"/>
      <c r="FR596" s="134"/>
      <c r="FS596" s="137"/>
      <c r="FT596" s="150"/>
      <c r="FU596" s="137"/>
      <c r="FV596" s="137"/>
      <c r="FW596" s="3"/>
      <c r="FX596" s="138"/>
      <c r="FY596" s="2"/>
      <c r="FZ596" s="139"/>
      <c r="GA596" s="3"/>
      <c r="GB596" s="3"/>
      <c r="GC596" s="3"/>
      <c r="GD596" s="3"/>
      <c r="GE596" s="3"/>
      <c r="GF596" s="3"/>
      <c r="GG596" s="3"/>
      <c r="GH596" s="3"/>
      <c r="GI596" s="3"/>
      <c r="GJ596" s="3"/>
      <c r="GK596" s="131"/>
      <c r="GL596" s="15"/>
      <c r="GM596" s="99"/>
      <c r="GN596" s="149"/>
      <c r="GO596" s="134"/>
      <c r="GP596" s="134"/>
      <c r="GQ596" s="137"/>
      <c r="GR596" s="150"/>
      <c r="GS596" s="137"/>
      <c r="GT596" s="137"/>
      <c r="GU596" s="3"/>
      <c r="GV596" s="138"/>
      <c r="GW596" s="2"/>
      <c r="GX596" s="139"/>
      <c r="GY596" s="3"/>
      <c r="GZ596" s="3"/>
      <c r="HA596" s="3"/>
      <c r="HB596" s="3"/>
      <c r="HC596" s="3"/>
      <c r="HD596" s="3"/>
      <c r="HE596" s="3"/>
      <c r="HF596" s="3"/>
      <c r="HG596" s="3"/>
      <c r="HH596" s="3"/>
      <c r="HI596" s="131"/>
      <c r="HJ596" s="15"/>
      <c r="HK596" s="99"/>
      <c r="HL596" s="149"/>
      <c r="HM596" s="134"/>
      <c r="HN596" s="134"/>
      <c r="HO596" s="137"/>
      <c r="HP596" s="150"/>
      <c r="HQ596" s="137"/>
      <c r="HR596" s="137"/>
      <c r="HS596" s="3"/>
      <c r="HT596" s="138"/>
      <c r="HU596" s="2"/>
      <c r="HV596" s="139"/>
      <c r="HW596" s="3"/>
      <c r="HX596" s="3"/>
      <c r="HY596" s="3"/>
      <c r="HZ596" s="3"/>
      <c r="IA596" s="3"/>
      <c r="IB596" s="3"/>
      <c r="IC596" s="3"/>
      <c r="ID596" s="3"/>
      <c r="IE596" s="3"/>
      <c r="IF596" s="3"/>
      <c r="IG596" s="131"/>
      <c r="IH596" s="15"/>
      <c r="II596" s="99"/>
      <c r="IJ596" s="149"/>
      <c r="IK596" s="134"/>
      <c r="IL596" s="134"/>
      <c r="IM596" s="137"/>
      <c r="IN596" s="150"/>
      <c r="IO596" s="137"/>
      <c r="IP596" s="137"/>
      <c r="IQ596" s="3"/>
      <c r="IR596" s="138"/>
      <c r="IS596" s="2"/>
      <c r="IT596" s="139"/>
      <c r="IU596" s="3"/>
      <c r="IV596" s="3"/>
    </row>
    <row r="597" spans="1:256" s="125" customFormat="1" ht="13.5" customHeight="1">
      <c r="A597" s="86">
        <v>6</v>
      </c>
      <c r="B597" s="56">
        <v>43075</v>
      </c>
      <c r="C597" s="18"/>
      <c r="D597" s="19" t="s">
        <v>406</v>
      </c>
      <c r="E597" s="20" t="s">
        <v>407</v>
      </c>
      <c r="F597" s="120" t="s">
        <v>797</v>
      </c>
      <c r="G597" s="63">
        <v>1708</v>
      </c>
      <c r="H597" s="121">
        <v>2000000</v>
      </c>
      <c r="I597" s="24"/>
      <c r="J597" s="24">
        <f>SUM(H597)/1.05</f>
        <v>1904761.9047619046</v>
      </c>
      <c r="K597" s="24">
        <f t="shared" si="49"/>
        <v>1904761.9047619046</v>
      </c>
      <c r="L597" s="123">
        <v>1</v>
      </c>
      <c r="M597" s="24">
        <f t="shared" si="50"/>
        <v>1904761.9047619046</v>
      </c>
      <c r="N597" s="124">
        <f t="shared" si="51"/>
        <v>0</v>
      </c>
      <c r="O597" s="87" t="s">
        <v>155</v>
      </c>
      <c r="P597" s="3"/>
      <c r="Q597" s="140"/>
      <c r="R597" s="3"/>
      <c r="S597" s="3"/>
      <c r="T597" s="3"/>
      <c r="U597" s="3"/>
      <c r="V597" s="3"/>
      <c r="W597" s="3"/>
      <c r="X597" s="3"/>
      <c r="Y597" s="131"/>
      <c r="Z597" s="15"/>
      <c r="AA597" s="99"/>
      <c r="AB597" s="149"/>
      <c r="AC597" s="134"/>
      <c r="AD597" s="134"/>
      <c r="AE597" s="137"/>
      <c r="AF597" s="150"/>
      <c r="AG597" s="137"/>
      <c r="AH597" s="137"/>
      <c r="AI597" s="3"/>
      <c r="AJ597" s="138"/>
      <c r="AK597" s="2"/>
      <c r="AL597" s="139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131"/>
      <c r="AX597" s="15"/>
      <c r="AY597" s="99"/>
      <c r="AZ597" s="149"/>
      <c r="BA597" s="134"/>
      <c r="BB597" s="134"/>
      <c r="BC597" s="137"/>
      <c r="BD597" s="150"/>
      <c r="BE597" s="137"/>
      <c r="BF597" s="137"/>
      <c r="BG597" s="3"/>
      <c r="BH597" s="138"/>
      <c r="BI597" s="2"/>
      <c r="BJ597" s="139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131"/>
      <c r="BV597" s="15"/>
      <c r="BW597" s="99"/>
      <c r="BX597" s="149"/>
      <c r="BY597" s="134"/>
      <c r="BZ597" s="134"/>
      <c r="CA597" s="137"/>
      <c r="CB597" s="150"/>
      <c r="CC597" s="137"/>
      <c r="CD597" s="137"/>
      <c r="CE597" s="3"/>
      <c r="CF597" s="138"/>
      <c r="CG597" s="2"/>
      <c r="CH597" s="139"/>
      <c r="CI597" s="3"/>
      <c r="CJ597" s="3"/>
      <c r="CK597" s="3"/>
      <c r="CL597" s="3"/>
      <c r="CM597" s="3"/>
      <c r="CN597" s="3"/>
      <c r="CO597" s="3"/>
      <c r="CP597" s="3"/>
      <c r="CQ597" s="3"/>
      <c r="CR597" s="3"/>
      <c r="CS597" s="131"/>
      <c r="CT597" s="15"/>
      <c r="CU597" s="99"/>
      <c r="CV597" s="149"/>
      <c r="CW597" s="134"/>
      <c r="CX597" s="134"/>
      <c r="CY597" s="137"/>
      <c r="CZ597" s="150"/>
      <c r="DA597" s="137"/>
      <c r="DB597" s="137"/>
      <c r="DC597" s="3"/>
      <c r="DD597" s="138"/>
      <c r="DE597" s="2"/>
      <c r="DF597" s="139"/>
      <c r="DG597" s="3"/>
      <c r="DH597" s="3"/>
      <c r="DI597" s="3"/>
      <c r="DJ597" s="3"/>
      <c r="DK597" s="3"/>
      <c r="DL597" s="3"/>
      <c r="DM597" s="3"/>
      <c r="DN597" s="3"/>
      <c r="DO597" s="3"/>
      <c r="DP597" s="3"/>
      <c r="DQ597" s="131"/>
      <c r="DR597" s="15"/>
      <c r="DS597" s="99"/>
      <c r="DT597" s="149"/>
      <c r="DU597" s="134"/>
      <c r="DV597" s="134"/>
      <c r="DW597" s="137"/>
      <c r="DX597" s="150"/>
      <c r="DY597" s="137"/>
      <c r="DZ597" s="137"/>
      <c r="EA597" s="3"/>
      <c r="EB597" s="138"/>
      <c r="EC597" s="2"/>
      <c r="ED597" s="139"/>
      <c r="EE597" s="3"/>
      <c r="EF597" s="3"/>
      <c r="EG597" s="3"/>
      <c r="EH597" s="3"/>
      <c r="EI597" s="3"/>
      <c r="EJ597" s="3"/>
      <c r="EK597" s="3"/>
      <c r="EL597" s="3"/>
      <c r="EM597" s="3"/>
      <c r="EN597" s="3"/>
      <c r="EO597" s="131"/>
      <c r="EP597" s="15"/>
      <c r="EQ597" s="99"/>
      <c r="ER597" s="149"/>
      <c r="ES597" s="134"/>
      <c r="ET597" s="134"/>
      <c r="EU597" s="137"/>
      <c r="EV597" s="150"/>
      <c r="EW597" s="137"/>
      <c r="EX597" s="137"/>
      <c r="EY597" s="3"/>
      <c r="EZ597" s="138"/>
      <c r="FA597" s="2"/>
      <c r="FB597" s="139"/>
      <c r="FC597" s="3"/>
      <c r="FD597" s="3"/>
      <c r="FE597" s="3"/>
      <c r="FF597" s="3"/>
      <c r="FG597" s="3"/>
      <c r="FH597" s="3"/>
      <c r="FI597" s="3"/>
      <c r="FJ597" s="3"/>
      <c r="FK597" s="3"/>
      <c r="FL597" s="3"/>
      <c r="FM597" s="131"/>
      <c r="FN597" s="15"/>
      <c r="FO597" s="99"/>
      <c r="FP597" s="149"/>
      <c r="FQ597" s="134"/>
      <c r="FR597" s="134"/>
      <c r="FS597" s="137"/>
      <c r="FT597" s="150"/>
      <c r="FU597" s="137"/>
      <c r="FV597" s="137"/>
      <c r="FW597" s="3"/>
      <c r="FX597" s="138"/>
      <c r="FY597" s="2"/>
      <c r="FZ597" s="139"/>
      <c r="GA597" s="3"/>
      <c r="GB597" s="3"/>
      <c r="GC597" s="3"/>
      <c r="GD597" s="3"/>
      <c r="GE597" s="3"/>
      <c r="GF597" s="3"/>
      <c r="GG597" s="3"/>
      <c r="GH597" s="3"/>
      <c r="GI597" s="3"/>
      <c r="GJ597" s="3"/>
      <c r="GK597" s="131"/>
      <c r="GL597" s="15"/>
      <c r="GM597" s="99"/>
      <c r="GN597" s="149"/>
      <c r="GO597" s="134"/>
      <c r="GP597" s="134"/>
      <c r="GQ597" s="137"/>
      <c r="GR597" s="150"/>
      <c r="GS597" s="137"/>
      <c r="GT597" s="137"/>
      <c r="GU597" s="3"/>
      <c r="GV597" s="138"/>
      <c r="GW597" s="2"/>
      <c r="GX597" s="139"/>
      <c r="GY597" s="3"/>
      <c r="GZ597" s="3"/>
      <c r="HA597" s="3"/>
      <c r="HB597" s="3"/>
      <c r="HC597" s="3"/>
      <c r="HD597" s="3"/>
      <c r="HE597" s="3"/>
      <c r="HF597" s="3"/>
      <c r="HG597" s="3"/>
      <c r="HH597" s="3"/>
      <c r="HI597" s="131"/>
      <c r="HJ597" s="15"/>
      <c r="HK597" s="99"/>
      <c r="HL597" s="149"/>
      <c r="HM597" s="134"/>
      <c r="HN597" s="134"/>
      <c r="HO597" s="137"/>
      <c r="HP597" s="150"/>
      <c r="HQ597" s="137"/>
      <c r="HR597" s="137"/>
      <c r="HS597" s="3"/>
      <c r="HT597" s="138"/>
      <c r="HU597" s="2"/>
      <c r="HV597" s="139"/>
      <c r="HW597" s="3"/>
      <c r="HX597" s="3"/>
      <c r="HY597" s="3"/>
      <c r="HZ597" s="3"/>
      <c r="IA597" s="3"/>
      <c r="IB597" s="3"/>
      <c r="IC597" s="3"/>
      <c r="ID597" s="3"/>
      <c r="IE597" s="3"/>
      <c r="IF597" s="3"/>
      <c r="IG597" s="131"/>
      <c r="IH597" s="15"/>
      <c r="II597" s="99"/>
      <c r="IJ597" s="149"/>
      <c r="IK597" s="134"/>
      <c r="IL597" s="134"/>
      <c r="IM597" s="137"/>
      <c r="IN597" s="150"/>
      <c r="IO597" s="137"/>
      <c r="IP597" s="137"/>
      <c r="IQ597" s="3"/>
      <c r="IR597" s="138"/>
      <c r="IS597" s="2"/>
      <c r="IT597" s="139"/>
      <c r="IU597" s="3"/>
      <c r="IV597" s="3"/>
    </row>
    <row r="598" spans="1:256" s="125" customFormat="1" ht="13.5" customHeight="1">
      <c r="A598" s="86">
        <v>7</v>
      </c>
      <c r="B598" s="83">
        <v>43082</v>
      </c>
      <c r="C598" s="18"/>
      <c r="D598" s="19" t="s">
        <v>406</v>
      </c>
      <c r="E598" s="20" t="s">
        <v>407</v>
      </c>
      <c r="F598" s="62" t="s">
        <v>798</v>
      </c>
      <c r="G598" s="63">
        <v>1709</v>
      </c>
      <c r="H598" s="121">
        <v>2000000</v>
      </c>
      <c r="I598" s="24"/>
      <c r="J598" s="24">
        <f>SUM(H598)/1.05</f>
        <v>1904761.9047619046</v>
      </c>
      <c r="K598" s="24">
        <f t="shared" si="49"/>
        <v>1904761.9047619046</v>
      </c>
      <c r="L598" s="123">
        <v>1</v>
      </c>
      <c r="M598" s="24">
        <f t="shared" si="50"/>
        <v>1904761.9047619046</v>
      </c>
      <c r="N598" s="124">
        <f t="shared" si="51"/>
        <v>0</v>
      </c>
      <c r="O598" s="87" t="s">
        <v>155</v>
      </c>
      <c r="P598" s="3"/>
      <c r="Q598" s="140"/>
      <c r="R598" s="3"/>
      <c r="S598" s="3"/>
      <c r="T598" s="3"/>
      <c r="U598" s="3"/>
      <c r="V598" s="3"/>
      <c r="W598" s="3"/>
      <c r="X598" s="3"/>
      <c r="Y598" s="131"/>
      <c r="Z598" s="15"/>
      <c r="AA598" s="99"/>
      <c r="AB598" s="149"/>
      <c r="AC598" s="134"/>
      <c r="AD598" s="134"/>
      <c r="AE598" s="137"/>
      <c r="AF598" s="150"/>
      <c r="AG598" s="137"/>
      <c r="AH598" s="137"/>
      <c r="AI598" s="3"/>
      <c r="AJ598" s="138"/>
      <c r="AK598" s="2"/>
      <c r="AL598" s="139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131"/>
      <c r="AX598" s="15"/>
      <c r="AY598" s="99"/>
      <c r="AZ598" s="149"/>
      <c r="BA598" s="134"/>
      <c r="BB598" s="134"/>
      <c r="BC598" s="137"/>
      <c r="BD598" s="150"/>
      <c r="BE598" s="137"/>
      <c r="BF598" s="137"/>
      <c r="BG598" s="3"/>
      <c r="BH598" s="138"/>
      <c r="BI598" s="2"/>
      <c r="BJ598" s="139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131"/>
      <c r="BV598" s="15"/>
      <c r="BW598" s="99"/>
      <c r="BX598" s="149"/>
      <c r="BY598" s="134"/>
      <c r="BZ598" s="134"/>
      <c r="CA598" s="137"/>
      <c r="CB598" s="150"/>
      <c r="CC598" s="137"/>
      <c r="CD598" s="137"/>
      <c r="CE598" s="3"/>
      <c r="CF598" s="138"/>
      <c r="CG598" s="2"/>
      <c r="CH598" s="139"/>
      <c r="CI598" s="3"/>
      <c r="CJ598" s="3"/>
      <c r="CK598" s="3"/>
      <c r="CL598" s="3"/>
      <c r="CM598" s="3"/>
      <c r="CN598" s="3"/>
      <c r="CO598" s="3"/>
      <c r="CP598" s="3"/>
      <c r="CQ598" s="3"/>
      <c r="CR598" s="3"/>
      <c r="CS598" s="131"/>
      <c r="CT598" s="15"/>
      <c r="CU598" s="99"/>
      <c r="CV598" s="149"/>
      <c r="CW598" s="134"/>
      <c r="CX598" s="134"/>
      <c r="CY598" s="137"/>
      <c r="CZ598" s="150"/>
      <c r="DA598" s="137"/>
      <c r="DB598" s="137"/>
      <c r="DC598" s="3"/>
      <c r="DD598" s="138"/>
      <c r="DE598" s="2"/>
      <c r="DF598" s="139"/>
      <c r="DG598" s="3"/>
      <c r="DH598" s="3"/>
      <c r="DI598" s="3"/>
      <c r="DJ598" s="3"/>
      <c r="DK598" s="3"/>
      <c r="DL598" s="3"/>
      <c r="DM598" s="3"/>
      <c r="DN598" s="3"/>
      <c r="DO598" s="3"/>
      <c r="DP598" s="3"/>
      <c r="DQ598" s="131"/>
      <c r="DR598" s="15"/>
      <c r="DS598" s="99"/>
      <c r="DT598" s="149"/>
      <c r="DU598" s="134"/>
      <c r="DV598" s="134"/>
      <c r="DW598" s="137"/>
      <c r="DX598" s="150"/>
      <c r="DY598" s="137"/>
      <c r="DZ598" s="137"/>
      <c r="EA598" s="3"/>
      <c r="EB598" s="138"/>
      <c r="EC598" s="2"/>
      <c r="ED598" s="139"/>
      <c r="EE598" s="3"/>
      <c r="EF598" s="3"/>
      <c r="EG598" s="3"/>
      <c r="EH598" s="3"/>
      <c r="EI598" s="3"/>
      <c r="EJ598" s="3"/>
      <c r="EK598" s="3"/>
      <c r="EL598" s="3"/>
      <c r="EM598" s="3"/>
      <c r="EN598" s="3"/>
      <c r="EO598" s="131"/>
      <c r="EP598" s="15"/>
      <c r="EQ598" s="99"/>
      <c r="ER598" s="149"/>
      <c r="ES598" s="134"/>
      <c r="ET598" s="134"/>
      <c r="EU598" s="137"/>
      <c r="EV598" s="150"/>
      <c r="EW598" s="137"/>
      <c r="EX598" s="137"/>
      <c r="EY598" s="3"/>
      <c r="EZ598" s="138"/>
      <c r="FA598" s="2"/>
      <c r="FB598" s="139"/>
      <c r="FC598" s="3"/>
      <c r="FD598" s="3"/>
      <c r="FE598" s="3"/>
      <c r="FF598" s="3"/>
      <c r="FG598" s="3"/>
      <c r="FH598" s="3"/>
      <c r="FI598" s="3"/>
      <c r="FJ598" s="3"/>
      <c r="FK598" s="3"/>
      <c r="FL598" s="3"/>
      <c r="FM598" s="131"/>
      <c r="FN598" s="15"/>
      <c r="FO598" s="99"/>
      <c r="FP598" s="149"/>
      <c r="FQ598" s="134"/>
      <c r="FR598" s="134"/>
      <c r="FS598" s="137"/>
      <c r="FT598" s="150"/>
      <c r="FU598" s="137"/>
      <c r="FV598" s="137"/>
      <c r="FW598" s="3"/>
      <c r="FX598" s="138"/>
      <c r="FY598" s="2"/>
      <c r="FZ598" s="139"/>
      <c r="GA598" s="3"/>
      <c r="GB598" s="3"/>
      <c r="GC598" s="3"/>
      <c r="GD598" s="3"/>
      <c r="GE598" s="3"/>
      <c r="GF598" s="3"/>
      <c r="GG598" s="3"/>
      <c r="GH598" s="3"/>
      <c r="GI598" s="3"/>
      <c r="GJ598" s="3"/>
      <c r="GK598" s="131"/>
      <c r="GL598" s="15"/>
      <c r="GM598" s="99"/>
      <c r="GN598" s="149"/>
      <c r="GO598" s="134"/>
      <c r="GP598" s="134"/>
      <c r="GQ598" s="137"/>
      <c r="GR598" s="150"/>
      <c r="GS598" s="137"/>
      <c r="GT598" s="137"/>
      <c r="GU598" s="3"/>
      <c r="GV598" s="138"/>
      <c r="GW598" s="2"/>
      <c r="GX598" s="139"/>
      <c r="GY598" s="3"/>
      <c r="GZ598" s="3"/>
      <c r="HA598" s="3"/>
      <c r="HB598" s="3"/>
      <c r="HC598" s="3"/>
      <c r="HD598" s="3"/>
      <c r="HE598" s="3"/>
      <c r="HF598" s="3"/>
      <c r="HG598" s="3"/>
      <c r="HH598" s="3"/>
      <c r="HI598" s="131"/>
      <c r="HJ598" s="15"/>
      <c r="HK598" s="99"/>
      <c r="HL598" s="149"/>
      <c r="HM598" s="134"/>
      <c r="HN598" s="134"/>
      <c r="HO598" s="137"/>
      <c r="HP598" s="150"/>
      <c r="HQ598" s="137"/>
      <c r="HR598" s="137"/>
      <c r="HS598" s="3"/>
      <c r="HT598" s="138"/>
      <c r="HU598" s="2"/>
      <c r="HV598" s="139"/>
      <c r="HW598" s="3"/>
      <c r="HX598" s="3"/>
      <c r="HY598" s="3"/>
      <c r="HZ598" s="3"/>
      <c r="IA598" s="3"/>
      <c r="IB598" s="3"/>
      <c r="IC598" s="3"/>
      <c r="ID598" s="3"/>
      <c r="IE598" s="3"/>
      <c r="IF598" s="3"/>
      <c r="IG598" s="131"/>
      <c r="IH598" s="15"/>
      <c r="II598" s="99"/>
      <c r="IJ598" s="149"/>
      <c r="IK598" s="134"/>
      <c r="IL598" s="134"/>
      <c r="IM598" s="137"/>
      <c r="IN598" s="150"/>
      <c r="IO598" s="137"/>
      <c r="IP598" s="137"/>
      <c r="IQ598" s="3"/>
      <c r="IR598" s="138"/>
      <c r="IS598" s="2"/>
      <c r="IT598" s="139"/>
      <c r="IU598" s="3"/>
      <c r="IV598" s="3"/>
    </row>
    <row r="599" spans="1:256" s="125" customFormat="1" ht="13.5" customHeight="1">
      <c r="A599" s="86">
        <v>8</v>
      </c>
      <c r="B599" s="60">
        <v>43013</v>
      </c>
      <c r="C599" s="18"/>
      <c r="D599" s="19" t="s">
        <v>423</v>
      </c>
      <c r="E599" s="20" t="s">
        <v>424</v>
      </c>
      <c r="F599" s="62" t="s">
        <v>799</v>
      </c>
      <c r="G599" s="63">
        <v>1708</v>
      </c>
      <c r="H599" s="121">
        <f>65700+3329400</f>
        <v>3395100</v>
      </c>
      <c r="I599" s="24">
        <v>3233429</v>
      </c>
      <c r="J599" s="24"/>
      <c r="K599" s="24">
        <f t="shared" si="49"/>
        <v>3233429</v>
      </c>
      <c r="L599" s="123">
        <v>1</v>
      </c>
      <c r="M599" s="24">
        <f t="shared" si="50"/>
        <v>3233429</v>
      </c>
      <c r="N599" s="124">
        <f t="shared" si="51"/>
        <v>0</v>
      </c>
      <c r="O599" s="87" t="s">
        <v>155</v>
      </c>
      <c r="P599" s="3"/>
      <c r="Q599" s="140"/>
      <c r="R599" s="3"/>
      <c r="S599" s="3"/>
      <c r="T599" s="3"/>
      <c r="U599" s="3"/>
      <c r="V599" s="3"/>
      <c r="W599" s="3"/>
      <c r="X599" s="3"/>
      <c r="Y599" s="131"/>
      <c r="Z599" s="15"/>
      <c r="AA599" s="99"/>
      <c r="AB599" s="149"/>
      <c r="AC599" s="134"/>
      <c r="AD599" s="134"/>
      <c r="AE599" s="137"/>
      <c r="AF599" s="150"/>
      <c r="AG599" s="137"/>
      <c r="AH599" s="137"/>
      <c r="AI599" s="3"/>
      <c r="AJ599" s="138"/>
      <c r="AK599" s="2"/>
      <c r="AL599" s="139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131"/>
      <c r="AX599" s="15"/>
      <c r="AY599" s="99"/>
      <c r="AZ599" s="149"/>
      <c r="BA599" s="134"/>
      <c r="BB599" s="134"/>
      <c r="BC599" s="137"/>
      <c r="BD599" s="150"/>
      <c r="BE599" s="137"/>
      <c r="BF599" s="137"/>
      <c r="BG599" s="3"/>
      <c r="BH599" s="138"/>
      <c r="BI599" s="2"/>
      <c r="BJ599" s="139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131"/>
      <c r="BV599" s="15"/>
      <c r="BW599" s="99"/>
      <c r="BX599" s="149"/>
      <c r="BY599" s="134"/>
      <c r="BZ599" s="134"/>
      <c r="CA599" s="137"/>
      <c r="CB599" s="150"/>
      <c r="CC599" s="137"/>
      <c r="CD599" s="137"/>
      <c r="CE599" s="3"/>
      <c r="CF599" s="138"/>
      <c r="CG599" s="2"/>
      <c r="CH599" s="139"/>
      <c r="CI599" s="3"/>
      <c r="CJ599" s="3"/>
      <c r="CK599" s="3"/>
      <c r="CL599" s="3"/>
      <c r="CM599" s="3"/>
      <c r="CN599" s="3"/>
      <c r="CO599" s="3"/>
      <c r="CP599" s="3"/>
      <c r="CQ599" s="3"/>
      <c r="CR599" s="3"/>
      <c r="CS599" s="131"/>
      <c r="CT599" s="15"/>
      <c r="CU599" s="99"/>
      <c r="CV599" s="149"/>
      <c r="CW599" s="134"/>
      <c r="CX599" s="134"/>
      <c r="CY599" s="137"/>
      <c r="CZ599" s="150"/>
      <c r="DA599" s="137"/>
      <c r="DB599" s="137"/>
      <c r="DC599" s="3"/>
      <c r="DD599" s="138"/>
      <c r="DE599" s="2"/>
      <c r="DF599" s="139"/>
      <c r="DG599" s="3"/>
      <c r="DH599" s="3"/>
      <c r="DI599" s="3"/>
      <c r="DJ599" s="3"/>
      <c r="DK599" s="3"/>
      <c r="DL599" s="3"/>
      <c r="DM599" s="3"/>
      <c r="DN599" s="3"/>
      <c r="DO599" s="3"/>
      <c r="DP599" s="3"/>
      <c r="DQ599" s="131"/>
      <c r="DR599" s="15"/>
      <c r="DS599" s="99"/>
      <c r="DT599" s="149"/>
      <c r="DU599" s="134"/>
      <c r="DV599" s="134"/>
      <c r="DW599" s="137"/>
      <c r="DX599" s="150"/>
      <c r="DY599" s="137"/>
      <c r="DZ599" s="137"/>
      <c r="EA599" s="3"/>
      <c r="EB599" s="138"/>
      <c r="EC599" s="2"/>
      <c r="ED599" s="139"/>
      <c r="EE599" s="3"/>
      <c r="EF599" s="3"/>
      <c r="EG599" s="3"/>
      <c r="EH599" s="3"/>
      <c r="EI599" s="3"/>
      <c r="EJ599" s="3"/>
      <c r="EK599" s="3"/>
      <c r="EL599" s="3"/>
      <c r="EM599" s="3"/>
      <c r="EN599" s="3"/>
      <c r="EO599" s="131"/>
      <c r="EP599" s="15"/>
      <c r="EQ599" s="99"/>
      <c r="ER599" s="149"/>
      <c r="ES599" s="134"/>
      <c r="ET599" s="134"/>
      <c r="EU599" s="137"/>
      <c r="EV599" s="150"/>
      <c r="EW599" s="137"/>
      <c r="EX599" s="137"/>
      <c r="EY599" s="3"/>
      <c r="EZ599" s="138"/>
      <c r="FA599" s="2"/>
      <c r="FB599" s="139"/>
      <c r="FC599" s="3"/>
      <c r="FD599" s="3"/>
      <c r="FE599" s="3"/>
      <c r="FF599" s="3"/>
      <c r="FG599" s="3"/>
      <c r="FH599" s="3"/>
      <c r="FI599" s="3"/>
      <c r="FJ599" s="3"/>
      <c r="FK599" s="3"/>
      <c r="FL599" s="3"/>
      <c r="FM599" s="131"/>
      <c r="FN599" s="15"/>
      <c r="FO599" s="99"/>
      <c r="FP599" s="149"/>
      <c r="FQ599" s="134"/>
      <c r="FR599" s="134"/>
      <c r="FS599" s="137"/>
      <c r="FT599" s="150"/>
      <c r="FU599" s="137"/>
      <c r="FV599" s="137"/>
      <c r="FW599" s="3"/>
      <c r="FX599" s="138"/>
      <c r="FY599" s="2"/>
      <c r="FZ599" s="139"/>
      <c r="GA599" s="3"/>
      <c r="GB599" s="3"/>
      <c r="GC599" s="3"/>
      <c r="GD599" s="3"/>
      <c r="GE599" s="3"/>
      <c r="GF599" s="3"/>
      <c r="GG599" s="3"/>
      <c r="GH599" s="3"/>
      <c r="GI599" s="3"/>
      <c r="GJ599" s="3"/>
      <c r="GK599" s="131"/>
      <c r="GL599" s="15"/>
      <c r="GM599" s="99"/>
      <c r="GN599" s="149"/>
      <c r="GO599" s="134"/>
      <c r="GP599" s="134"/>
      <c r="GQ599" s="137"/>
      <c r="GR599" s="150"/>
      <c r="GS599" s="137"/>
      <c r="GT599" s="137"/>
      <c r="GU599" s="3"/>
      <c r="GV599" s="138"/>
      <c r="GW599" s="2"/>
      <c r="GX599" s="139"/>
      <c r="GY599" s="3"/>
      <c r="GZ599" s="3"/>
      <c r="HA599" s="3"/>
      <c r="HB599" s="3"/>
      <c r="HC599" s="3"/>
      <c r="HD599" s="3"/>
      <c r="HE599" s="3"/>
      <c r="HF599" s="3"/>
      <c r="HG599" s="3"/>
      <c r="HH599" s="3"/>
      <c r="HI599" s="131"/>
      <c r="HJ599" s="15"/>
      <c r="HK599" s="99"/>
      <c r="HL599" s="149"/>
      <c r="HM599" s="134"/>
      <c r="HN599" s="134"/>
      <c r="HO599" s="137"/>
      <c r="HP599" s="150"/>
      <c r="HQ599" s="137"/>
      <c r="HR599" s="137"/>
      <c r="HS599" s="3"/>
      <c r="HT599" s="138"/>
      <c r="HU599" s="2"/>
      <c r="HV599" s="139"/>
      <c r="HW599" s="3"/>
      <c r="HX599" s="3"/>
      <c r="HY599" s="3"/>
      <c r="HZ599" s="3"/>
      <c r="IA599" s="3"/>
      <c r="IB599" s="3"/>
      <c r="IC599" s="3"/>
      <c r="ID599" s="3"/>
      <c r="IE599" s="3"/>
      <c r="IF599" s="3"/>
      <c r="IG599" s="131"/>
      <c r="IH599" s="15"/>
      <c r="II599" s="99"/>
      <c r="IJ599" s="149"/>
      <c r="IK599" s="134"/>
      <c r="IL599" s="134"/>
      <c r="IM599" s="137"/>
      <c r="IN599" s="150"/>
      <c r="IO599" s="137"/>
      <c r="IP599" s="137"/>
      <c r="IQ599" s="3"/>
      <c r="IR599" s="138"/>
      <c r="IS599" s="2"/>
      <c r="IT599" s="139"/>
      <c r="IU599" s="3"/>
      <c r="IV599" s="3"/>
    </row>
    <row r="600" spans="1:256" s="125" customFormat="1" ht="13.5" customHeight="1">
      <c r="A600" s="86">
        <v>9</v>
      </c>
      <c r="B600" s="56">
        <v>43005</v>
      </c>
      <c r="C600" s="18"/>
      <c r="D600" s="19" t="s">
        <v>441</v>
      </c>
      <c r="E600" s="20" t="s">
        <v>442</v>
      </c>
      <c r="F600" s="82" t="s">
        <v>800</v>
      </c>
      <c r="G600" s="58">
        <v>1707</v>
      </c>
      <c r="H600" s="121">
        <f>-30000+1711200</f>
        <v>1681200</v>
      </c>
      <c r="I600" s="24">
        <v>1601143</v>
      </c>
      <c r="J600" s="24"/>
      <c r="K600" s="24">
        <f t="shared" si="49"/>
        <v>1601143</v>
      </c>
      <c r="L600" s="123">
        <v>1</v>
      </c>
      <c r="M600" s="24">
        <f t="shared" si="50"/>
        <v>1601143</v>
      </c>
      <c r="N600" s="124">
        <f t="shared" si="51"/>
        <v>0</v>
      </c>
      <c r="O600" s="87" t="s">
        <v>155</v>
      </c>
      <c r="P600" s="3"/>
      <c r="Q600" s="140"/>
      <c r="R600" s="3"/>
      <c r="S600" s="3"/>
      <c r="T600" s="3"/>
      <c r="U600" s="3"/>
      <c r="V600" s="3"/>
      <c r="W600" s="3"/>
      <c r="X600" s="3"/>
      <c r="Y600" s="131"/>
      <c r="Z600" s="15"/>
      <c r="AA600" s="99"/>
      <c r="AB600" s="149"/>
      <c r="AC600" s="134"/>
      <c r="AD600" s="134"/>
      <c r="AE600" s="137"/>
      <c r="AF600" s="150"/>
      <c r="AG600" s="137"/>
      <c r="AH600" s="137"/>
      <c r="AI600" s="3"/>
      <c r="AJ600" s="138"/>
      <c r="AK600" s="2"/>
      <c r="AL600" s="139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131"/>
      <c r="AX600" s="15"/>
      <c r="AY600" s="99"/>
      <c r="AZ600" s="149"/>
      <c r="BA600" s="134"/>
      <c r="BB600" s="134"/>
      <c r="BC600" s="137"/>
      <c r="BD600" s="150"/>
      <c r="BE600" s="137"/>
      <c r="BF600" s="137"/>
      <c r="BG600" s="3"/>
      <c r="BH600" s="138"/>
      <c r="BI600" s="2"/>
      <c r="BJ600" s="139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131"/>
      <c r="BV600" s="15"/>
      <c r="BW600" s="99"/>
      <c r="BX600" s="149"/>
      <c r="BY600" s="134"/>
      <c r="BZ600" s="134"/>
      <c r="CA600" s="137"/>
      <c r="CB600" s="150"/>
      <c r="CC600" s="137"/>
      <c r="CD600" s="137"/>
      <c r="CE600" s="3"/>
      <c r="CF600" s="138"/>
      <c r="CG600" s="2"/>
      <c r="CH600" s="139"/>
      <c r="CI600" s="3"/>
      <c r="CJ600" s="3"/>
      <c r="CK600" s="3"/>
      <c r="CL600" s="3"/>
      <c r="CM600" s="3"/>
      <c r="CN600" s="3"/>
      <c r="CO600" s="3"/>
      <c r="CP600" s="3"/>
      <c r="CQ600" s="3"/>
      <c r="CR600" s="3"/>
      <c r="CS600" s="131"/>
      <c r="CT600" s="15"/>
      <c r="CU600" s="99"/>
      <c r="CV600" s="149"/>
      <c r="CW600" s="134"/>
      <c r="CX600" s="134"/>
      <c r="CY600" s="137"/>
      <c r="CZ600" s="150"/>
      <c r="DA600" s="137"/>
      <c r="DB600" s="137"/>
      <c r="DC600" s="3"/>
      <c r="DD600" s="138"/>
      <c r="DE600" s="2"/>
      <c r="DF600" s="139"/>
      <c r="DG600" s="3"/>
      <c r="DH600" s="3"/>
      <c r="DI600" s="3"/>
      <c r="DJ600" s="3"/>
      <c r="DK600" s="3"/>
      <c r="DL600" s="3"/>
      <c r="DM600" s="3"/>
      <c r="DN600" s="3"/>
      <c r="DO600" s="3"/>
      <c r="DP600" s="3"/>
      <c r="DQ600" s="131"/>
      <c r="DR600" s="15"/>
      <c r="DS600" s="99"/>
      <c r="DT600" s="149"/>
      <c r="DU600" s="134"/>
      <c r="DV600" s="134"/>
      <c r="DW600" s="137"/>
      <c r="DX600" s="150"/>
      <c r="DY600" s="137"/>
      <c r="DZ600" s="137"/>
      <c r="EA600" s="3"/>
      <c r="EB600" s="138"/>
      <c r="EC600" s="2"/>
      <c r="ED600" s="139"/>
      <c r="EE600" s="3"/>
      <c r="EF600" s="3"/>
      <c r="EG600" s="3"/>
      <c r="EH600" s="3"/>
      <c r="EI600" s="3"/>
      <c r="EJ600" s="3"/>
      <c r="EK600" s="3"/>
      <c r="EL600" s="3"/>
      <c r="EM600" s="3"/>
      <c r="EN600" s="3"/>
      <c r="EO600" s="131"/>
      <c r="EP600" s="15"/>
      <c r="EQ600" s="99"/>
      <c r="ER600" s="149"/>
      <c r="ES600" s="134"/>
      <c r="ET600" s="134"/>
      <c r="EU600" s="137"/>
      <c r="EV600" s="150"/>
      <c r="EW600" s="137"/>
      <c r="EX600" s="137"/>
      <c r="EY600" s="3"/>
      <c r="EZ600" s="138"/>
      <c r="FA600" s="2"/>
      <c r="FB600" s="139"/>
      <c r="FC600" s="3"/>
      <c r="FD600" s="3"/>
      <c r="FE600" s="3"/>
      <c r="FF600" s="3"/>
      <c r="FG600" s="3"/>
      <c r="FH600" s="3"/>
      <c r="FI600" s="3"/>
      <c r="FJ600" s="3"/>
      <c r="FK600" s="3"/>
      <c r="FL600" s="3"/>
      <c r="FM600" s="131"/>
      <c r="FN600" s="15"/>
      <c r="FO600" s="99"/>
      <c r="FP600" s="149"/>
      <c r="FQ600" s="134"/>
      <c r="FR600" s="134"/>
      <c r="FS600" s="137"/>
      <c r="FT600" s="150"/>
      <c r="FU600" s="137"/>
      <c r="FV600" s="137"/>
      <c r="FW600" s="3"/>
      <c r="FX600" s="138"/>
      <c r="FY600" s="2"/>
      <c r="FZ600" s="139"/>
      <c r="GA600" s="3"/>
      <c r="GB600" s="3"/>
      <c r="GC600" s="3"/>
      <c r="GD600" s="3"/>
      <c r="GE600" s="3"/>
      <c r="GF600" s="3"/>
      <c r="GG600" s="3"/>
      <c r="GH600" s="3"/>
      <c r="GI600" s="3"/>
      <c r="GJ600" s="3"/>
      <c r="GK600" s="131"/>
      <c r="GL600" s="15"/>
      <c r="GM600" s="99"/>
      <c r="GN600" s="149"/>
      <c r="GO600" s="134"/>
      <c r="GP600" s="134"/>
      <c r="GQ600" s="137"/>
      <c r="GR600" s="150"/>
      <c r="GS600" s="137"/>
      <c r="GT600" s="137"/>
      <c r="GU600" s="3"/>
      <c r="GV600" s="138"/>
      <c r="GW600" s="2"/>
      <c r="GX600" s="139"/>
      <c r="GY600" s="3"/>
      <c r="GZ600" s="3"/>
      <c r="HA600" s="3"/>
      <c r="HB600" s="3"/>
      <c r="HC600" s="3"/>
      <c r="HD600" s="3"/>
      <c r="HE600" s="3"/>
      <c r="HF600" s="3"/>
      <c r="HG600" s="3"/>
      <c r="HH600" s="3"/>
      <c r="HI600" s="131"/>
      <c r="HJ600" s="15"/>
      <c r="HK600" s="99"/>
      <c r="HL600" s="149"/>
      <c r="HM600" s="134"/>
      <c r="HN600" s="134"/>
      <c r="HO600" s="137"/>
      <c r="HP600" s="150"/>
      <c r="HQ600" s="137"/>
      <c r="HR600" s="137"/>
      <c r="HS600" s="3"/>
      <c r="HT600" s="138"/>
      <c r="HU600" s="2"/>
      <c r="HV600" s="139"/>
      <c r="HW600" s="3"/>
      <c r="HX600" s="3"/>
      <c r="HY600" s="3"/>
      <c r="HZ600" s="3"/>
      <c r="IA600" s="3"/>
      <c r="IB600" s="3"/>
      <c r="IC600" s="3"/>
      <c r="ID600" s="3"/>
      <c r="IE600" s="3"/>
      <c r="IF600" s="3"/>
      <c r="IG600" s="131"/>
      <c r="IH600" s="15"/>
      <c r="II600" s="99"/>
      <c r="IJ600" s="149"/>
      <c r="IK600" s="134"/>
      <c r="IL600" s="134"/>
      <c r="IM600" s="137"/>
      <c r="IN600" s="150"/>
      <c r="IO600" s="137"/>
      <c r="IP600" s="137"/>
      <c r="IQ600" s="3"/>
      <c r="IR600" s="138"/>
      <c r="IS600" s="2"/>
      <c r="IT600" s="139"/>
      <c r="IU600" s="3"/>
      <c r="IV600" s="3"/>
    </row>
    <row r="601" spans="1:256" s="125" customFormat="1" ht="13.5" customHeight="1">
      <c r="A601" s="86">
        <v>10</v>
      </c>
      <c r="B601" s="56">
        <v>43081</v>
      </c>
      <c r="C601" s="18"/>
      <c r="D601" s="19" t="s">
        <v>494</v>
      </c>
      <c r="E601" s="20" t="s">
        <v>495</v>
      </c>
      <c r="F601" s="57" t="s">
        <v>801</v>
      </c>
      <c r="G601" s="58">
        <v>1708</v>
      </c>
      <c r="H601" s="121">
        <v>3320100</v>
      </c>
      <c r="I601" s="24"/>
      <c r="J601" s="24">
        <f>SUM(H601)/1.05</f>
        <v>3162000</v>
      </c>
      <c r="K601" s="24">
        <f t="shared" si="49"/>
        <v>3162000</v>
      </c>
      <c r="L601" s="123">
        <v>1</v>
      </c>
      <c r="M601" s="24">
        <f t="shared" si="50"/>
        <v>3162000</v>
      </c>
      <c r="N601" s="124">
        <f t="shared" si="51"/>
        <v>0</v>
      </c>
      <c r="O601" s="87" t="s">
        <v>155</v>
      </c>
      <c r="P601" s="3"/>
      <c r="Q601" s="140"/>
      <c r="R601" s="3"/>
      <c r="S601" s="3"/>
      <c r="T601" s="3"/>
      <c r="U601" s="3"/>
      <c r="V601" s="3"/>
      <c r="W601" s="3"/>
      <c r="X601" s="3"/>
      <c r="Y601" s="131"/>
      <c r="Z601" s="15"/>
      <c r="AA601" s="99"/>
      <c r="AB601" s="149"/>
      <c r="AC601" s="134"/>
      <c r="AD601" s="134"/>
      <c r="AE601" s="137"/>
      <c r="AF601" s="150"/>
      <c r="AG601" s="137"/>
      <c r="AH601" s="137"/>
      <c r="AI601" s="3"/>
      <c r="AJ601" s="138"/>
      <c r="AK601" s="2"/>
      <c r="AL601" s="139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131"/>
      <c r="AX601" s="15"/>
      <c r="AY601" s="99"/>
      <c r="AZ601" s="149"/>
      <c r="BA601" s="134"/>
      <c r="BB601" s="134"/>
      <c r="BC601" s="137"/>
      <c r="BD601" s="150"/>
      <c r="BE601" s="137"/>
      <c r="BF601" s="137"/>
      <c r="BG601" s="3"/>
      <c r="BH601" s="138"/>
      <c r="BI601" s="2"/>
      <c r="BJ601" s="139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131"/>
      <c r="BV601" s="15"/>
      <c r="BW601" s="99"/>
      <c r="BX601" s="149"/>
      <c r="BY601" s="134"/>
      <c r="BZ601" s="134"/>
      <c r="CA601" s="137"/>
      <c r="CB601" s="150"/>
      <c r="CC601" s="137"/>
      <c r="CD601" s="137"/>
      <c r="CE601" s="3"/>
      <c r="CF601" s="138"/>
      <c r="CG601" s="2"/>
      <c r="CH601" s="139"/>
      <c r="CI601" s="3"/>
      <c r="CJ601" s="3"/>
      <c r="CK601" s="3"/>
      <c r="CL601" s="3"/>
      <c r="CM601" s="3"/>
      <c r="CN601" s="3"/>
      <c r="CO601" s="3"/>
      <c r="CP601" s="3"/>
      <c r="CQ601" s="3"/>
      <c r="CR601" s="3"/>
      <c r="CS601" s="131"/>
      <c r="CT601" s="15"/>
      <c r="CU601" s="99"/>
      <c r="CV601" s="149"/>
      <c r="CW601" s="134"/>
      <c r="CX601" s="134"/>
      <c r="CY601" s="137"/>
      <c r="CZ601" s="150"/>
      <c r="DA601" s="137"/>
      <c r="DB601" s="137"/>
      <c r="DC601" s="3"/>
      <c r="DD601" s="138"/>
      <c r="DE601" s="2"/>
      <c r="DF601" s="139"/>
      <c r="DG601" s="3"/>
      <c r="DH601" s="3"/>
      <c r="DI601" s="3"/>
      <c r="DJ601" s="3"/>
      <c r="DK601" s="3"/>
      <c r="DL601" s="3"/>
      <c r="DM601" s="3"/>
      <c r="DN601" s="3"/>
      <c r="DO601" s="3"/>
      <c r="DP601" s="3"/>
      <c r="DQ601" s="131"/>
      <c r="DR601" s="15"/>
      <c r="DS601" s="99"/>
      <c r="DT601" s="149"/>
      <c r="DU601" s="134"/>
      <c r="DV601" s="134"/>
      <c r="DW601" s="137"/>
      <c r="DX601" s="150"/>
      <c r="DY601" s="137"/>
      <c r="DZ601" s="137"/>
      <c r="EA601" s="3"/>
      <c r="EB601" s="138"/>
      <c r="EC601" s="2"/>
      <c r="ED601" s="139"/>
      <c r="EE601" s="3"/>
      <c r="EF601" s="3"/>
      <c r="EG601" s="3"/>
      <c r="EH601" s="3"/>
      <c r="EI601" s="3"/>
      <c r="EJ601" s="3"/>
      <c r="EK601" s="3"/>
      <c r="EL601" s="3"/>
      <c r="EM601" s="3"/>
      <c r="EN601" s="3"/>
      <c r="EO601" s="131"/>
      <c r="EP601" s="15"/>
      <c r="EQ601" s="99"/>
      <c r="ER601" s="149"/>
      <c r="ES601" s="134"/>
      <c r="ET601" s="134"/>
      <c r="EU601" s="137"/>
      <c r="EV601" s="150"/>
      <c r="EW601" s="137"/>
      <c r="EX601" s="137"/>
      <c r="EY601" s="3"/>
      <c r="EZ601" s="138"/>
      <c r="FA601" s="2"/>
      <c r="FB601" s="139"/>
      <c r="FC601" s="3"/>
      <c r="FD601" s="3"/>
      <c r="FE601" s="3"/>
      <c r="FF601" s="3"/>
      <c r="FG601" s="3"/>
      <c r="FH601" s="3"/>
      <c r="FI601" s="3"/>
      <c r="FJ601" s="3"/>
      <c r="FK601" s="3"/>
      <c r="FL601" s="3"/>
      <c r="FM601" s="131"/>
      <c r="FN601" s="15"/>
      <c r="FO601" s="99"/>
      <c r="FP601" s="149"/>
      <c r="FQ601" s="134"/>
      <c r="FR601" s="134"/>
      <c r="FS601" s="137"/>
      <c r="FT601" s="150"/>
      <c r="FU601" s="137"/>
      <c r="FV601" s="137"/>
      <c r="FW601" s="3"/>
      <c r="FX601" s="138"/>
      <c r="FY601" s="2"/>
      <c r="FZ601" s="139"/>
      <c r="GA601" s="3"/>
      <c r="GB601" s="3"/>
      <c r="GC601" s="3"/>
      <c r="GD601" s="3"/>
      <c r="GE601" s="3"/>
      <c r="GF601" s="3"/>
      <c r="GG601" s="3"/>
      <c r="GH601" s="3"/>
      <c r="GI601" s="3"/>
      <c r="GJ601" s="3"/>
      <c r="GK601" s="131"/>
      <c r="GL601" s="15"/>
      <c r="GM601" s="99"/>
      <c r="GN601" s="149"/>
      <c r="GO601" s="134"/>
      <c r="GP601" s="134"/>
      <c r="GQ601" s="137"/>
      <c r="GR601" s="150"/>
      <c r="GS601" s="137"/>
      <c r="GT601" s="137"/>
      <c r="GU601" s="3"/>
      <c r="GV601" s="138"/>
      <c r="GW601" s="2"/>
      <c r="GX601" s="139"/>
      <c r="GY601" s="3"/>
      <c r="GZ601" s="3"/>
      <c r="HA601" s="3"/>
      <c r="HB601" s="3"/>
      <c r="HC601" s="3"/>
      <c r="HD601" s="3"/>
      <c r="HE601" s="3"/>
      <c r="HF601" s="3"/>
      <c r="HG601" s="3"/>
      <c r="HH601" s="3"/>
      <c r="HI601" s="131"/>
      <c r="HJ601" s="15"/>
      <c r="HK601" s="99"/>
      <c r="HL601" s="149"/>
      <c r="HM601" s="134"/>
      <c r="HN601" s="134"/>
      <c r="HO601" s="137"/>
      <c r="HP601" s="150"/>
      <c r="HQ601" s="137"/>
      <c r="HR601" s="137"/>
      <c r="HS601" s="3"/>
      <c r="HT601" s="138"/>
      <c r="HU601" s="2"/>
      <c r="HV601" s="139"/>
      <c r="HW601" s="3"/>
      <c r="HX601" s="3"/>
      <c r="HY601" s="3"/>
      <c r="HZ601" s="3"/>
      <c r="IA601" s="3"/>
      <c r="IB601" s="3"/>
      <c r="IC601" s="3"/>
      <c r="ID601" s="3"/>
      <c r="IE601" s="3"/>
      <c r="IF601" s="3"/>
      <c r="IG601" s="131"/>
      <c r="IH601" s="15"/>
      <c r="II601" s="99"/>
      <c r="IJ601" s="149"/>
      <c r="IK601" s="134"/>
      <c r="IL601" s="134"/>
      <c r="IM601" s="137"/>
      <c r="IN601" s="150"/>
      <c r="IO601" s="137"/>
      <c r="IP601" s="137"/>
      <c r="IQ601" s="3"/>
      <c r="IR601" s="138"/>
      <c r="IS601" s="2"/>
      <c r="IT601" s="139"/>
      <c r="IU601" s="3"/>
      <c r="IV601" s="3"/>
    </row>
    <row r="602" spans="1:256" s="125" customFormat="1" ht="13.5" customHeight="1">
      <c r="A602" s="86"/>
      <c r="B602" s="56">
        <v>43084</v>
      </c>
      <c r="C602" s="18" t="s">
        <v>311</v>
      </c>
      <c r="D602" s="19" t="s">
        <v>441</v>
      </c>
      <c r="E602" s="20" t="s">
        <v>458</v>
      </c>
      <c r="F602" s="82" t="s">
        <v>802</v>
      </c>
      <c r="G602" s="63">
        <v>1707</v>
      </c>
      <c r="H602" s="121">
        <f>1823600+160000-30000</f>
        <v>1953600</v>
      </c>
      <c r="I602" s="24"/>
      <c r="J602" s="24">
        <f>SUM(H602)/1.05</f>
        <v>1860571.4285714284</v>
      </c>
      <c r="K602" s="24">
        <f>I602+J602</f>
        <v>1860571.4285714284</v>
      </c>
      <c r="L602" s="123"/>
      <c r="M602" s="24">
        <f>K602*L602</f>
        <v>0</v>
      </c>
      <c r="N602" s="124">
        <f>K602-M602</f>
        <v>1860571.4285714284</v>
      </c>
      <c r="O602" s="108" t="s">
        <v>803</v>
      </c>
      <c r="P602" s="3"/>
      <c r="Q602" s="140"/>
      <c r="R602" s="3"/>
      <c r="S602" s="3"/>
      <c r="T602" s="3"/>
      <c r="U602" s="3"/>
      <c r="V602" s="3"/>
      <c r="W602" s="3"/>
      <c r="X602" s="3"/>
      <c r="Y602" s="131"/>
      <c r="Z602" s="15"/>
      <c r="AA602" s="99"/>
      <c r="AB602" s="149"/>
      <c r="AC602" s="134"/>
      <c r="AD602" s="134"/>
      <c r="AE602" s="137"/>
      <c r="AF602" s="150"/>
      <c r="AG602" s="137"/>
      <c r="AH602" s="137"/>
      <c r="AI602" s="3"/>
      <c r="AJ602" s="138"/>
      <c r="AK602" s="2"/>
      <c r="AL602" s="139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131"/>
      <c r="AX602" s="15"/>
      <c r="AY602" s="99"/>
      <c r="AZ602" s="149"/>
      <c r="BA602" s="134"/>
      <c r="BB602" s="134"/>
      <c r="BC602" s="137"/>
      <c r="BD602" s="150"/>
      <c r="BE602" s="137"/>
      <c r="BF602" s="137"/>
      <c r="BG602" s="3"/>
      <c r="BH602" s="138"/>
      <c r="BI602" s="2"/>
      <c r="BJ602" s="139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131"/>
      <c r="BV602" s="15"/>
      <c r="BW602" s="99"/>
      <c r="BX602" s="149"/>
      <c r="BY602" s="134"/>
      <c r="BZ602" s="134"/>
      <c r="CA602" s="137"/>
      <c r="CB602" s="150"/>
      <c r="CC602" s="137"/>
      <c r="CD602" s="137"/>
      <c r="CE602" s="3"/>
      <c r="CF602" s="138"/>
      <c r="CG602" s="2"/>
      <c r="CH602" s="139"/>
      <c r="CI602" s="3"/>
      <c r="CJ602" s="3"/>
      <c r="CK602" s="3"/>
      <c r="CL602" s="3"/>
      <c r="CM602" s="3"/>
      <c r="CN602" s="3"/>
      <c r="CO602" s="3"/>
      <c r="CP602" s="3"/>
      <c r="CQ602" s="3"/>
      <c r="CR602" s="3"/>
      <c r="CS602" s="131"/>
      <c r="CT602" s="15"/>
      <c r="CU602" s="99"/>
      <c r="CV602" s="149"/>
      <c r="CW602" s="134"/>
      <c r="CX602" s="134"/>
      <c r="CY602" s="137"/>
      <c r="CZ602" s="150"/>
      <c r="DA602" s="137"/>
      <c r="DB602" s="137"/>
      <c r="DC602" s="3"/>
      <c r="DD602" s="138"/>
      <c r="DE602" s="2"/>
      <c r="DF602" s="139"/>
      <c r="DG602" s="3"/>
      <c r="DH602" s="3"/>
      <c r="DI602" s="3"/>
      <c r="DJ602" s="3"/>
      <c r="DK602" s="3"/>
      <c r="DL602" s="3"/>
      <c r="DM602" s="3"/>
      <c r="DN602" s="3"/>
      <c r="DO602" s="3"/>
      <c r="DP602" s="3"/>
      <c r="DQ602" s="131"/>
      <c r="DR602" s="15"/>
      <c r="DS602" s="99"/>
      <c r="DT602" s="149"/>
      <c r="DU602" s="134"/>
      <c r="DV602" s="134"/>
      <c r="DW602" s="137"/>
      <c r="DX602" s="150"/>
      <c r="DY602" s="137"/>
      <c r="DZ602" s="137"/>
      <c r="EA602" s="3"/>
      <c r="EB602" s="138"/>
      <c r="EC602" s="2"/>
      <c r="ED602" s="139"/>
      <c r="EE602" s="3"/>
      <c r="EF602" s="3"/>
      <c r="EG602" s="3"/>
      <c r="EH602" s="3"/>
      <c r="EI602" s="3"/>
      <c r="EJ602" s="3"/>
      <c r="EK602" s="3"/>
      <c r="EL602" s="3"/>
      <c r="EM602" s="3"/>
      <c r="EN602" s="3"/>
      <c r="EO602" s="131"/>
      <c r="EP602" s="15"/>
      <c r="EQ602" s="99"/>
      <c r="ER602" s="149"/>
      <c r="ES602" s="134"/>
      <c r="ET602" s="134"/>
      <c r="EU602" s="137"/>
      <c r="EV602" s="150"/>
      <c r="EW602" s="137"/>
      <c r="EX602" s="137"/>
      <c r="EY602" s="3"/>
      <c r="EZ602" s="138"/>
      <c r="FA602" s="2"/>
      <c r="FB602" s="139"/>
      <c r="FC602" s="3"/>
      <c r="FD602" s="3"/>
      <c r="FE602" s="3"/>
      <c r="FF602" s="3"/>
      <c r="FG602" s="3"/>
      <c r="FH602" s="3"/>
      <c r="FI602" s="3"/>
      <c r="FJ602" s="3"/>
      <c r="FK602" s="3"/>
      <c r="FL602" s="3"/>
      <c r="FM602" s="131"/>
      <c r="FN602" s="15"/>
      <c r="FO602" s="99"/>
      <c r="FP602" s="149"/>
      <c r="FQ602" s="134"/>
      <c r="FR602" s="134"/>
      <c r="FS602" s="137"/>
      <c r="FT602" s="150"/>
      <c r="FU602" s="137"/>
      <c r="FV602" s="137"/>
      <c r="FW602" s="3"/>
      <c r="FX602" s="138"/>
      <c r="FY602" s="2"/>
      <c r="FZ602" s="139"/>
      <c r="GA602" s="3"/>
      <c r="GB602" s="3"/>
      <c r="GC602" s="3"/>
      <c r="GD602" s="3"/>
      <c r="GE602" s="3"/>
      <c r="GF602" s="3"/>
      <c r="GG602" s="3"/>
      <c r="GH602" s="3"/>
      <c r="GI602" s="3"/>
      <c r="GJ602" s="3"/>
      <c r="GK602" s="131"/>
      <c r="GL602" s="15"/>
      <c r="GM602" s="99"/>
      <c r="GN602" s="149"/>
      <c r="GO602" s="134"/>
      <c r="GP602" s="134"/>
      <c r="GQ602" s="137"/>
      <c r="GR602" s="150"/>
      <c r="GS602" s="137"/>
      <c r="GT602" s="137"/>
      <c r="GU602" s="3"/>
      <c r="GV602" s="138"/>
      <c r="GW602" s="2"/>
      <c r="GX602" s="139"/>
      <c r="GY602" s="3"/>
      <c r="GZ602" s="3"/>
      <c r="HA602" s="3"/>
      <c r="HB602" s="3"/>
      <c r="HC602" s="3"/>
      <c r="HD602" s="3"/>
      <c r="HE602" s="3"/>
      <c r="HF602" s="3"/>
      <c r="HG602" s="3"/>
      <c r="HH602" s="3"/>
      <c r="HI602" s="131"/>
      <c r="HJ602" s="15"/>
      <c r="HK602" s="99"/>
      <c r="HL602" s="149"/>
      <c r="HM602" s="134"/>
      <c r="HN602" s="134"/>
      <c r="HO602" s="137"/>
      <c r="HP602" s="150"/>
      <c r="HQ602" s="137"/>
      <c r="HR602" s="137"/>
      <c r="HS602" s="3"/>
      <c r="HT602" s="138"/>
      <c r="HU602" s="2"/>
      <c r="HV602" s="139"/>
      <c r="HW602" s="3"/>
      <c r="HX602" s="3"/>
      <c r="HY602" s="3"/>
      <c r="HZ602" s="3"/>
      <c r="IA602" s="3"/>
      <c r="IB602" s="3"/>
      <c r="IC602" s="3"/>
      <c r="ID602" s="3"/>
      <c r="IE602" s="3"/>
      <c r="IF602" s="3"/>
      <c r="IG602" s="131"/>
      <c r="IH602" s="15"/>
      <c r="II602" s="99"/>
      <c r="IJ602" s="149"/>
      <c r="IK602" s="134"/>
      <c r="IL602" s="134"/>
      <c r="IM602" s="137"/>
      <c r="IN602" s="150"/>
      <c r="IO602" s="137"/>
      <c r="IP602" s="137"/>
      <c r="IQ602" s="3"/>
      <c r="IR602" s="138"/>
      <c r="IS602" s="2"/>
      <c r="IT602" s="139"/>
      <c r="IU602" s="3"/>
      <c r="IV602" s="3"/>
    </row>
    <row r="603" spans="1:256" s="125" customFormat="1" ht="13.5" customHeight="1">
      <c r="A603" s="86"/>
      <c r="B603" s="56"/>
      <c r="C603" s="18" t="s">
        <v>157</v>
      </c>
      <c r="D603" s="19"/>
      <c r="E603" s="20" t="s">
        <v>804</v>
      </c>
      <c r="F603" s="62" t="s">
        <v>805</v>
      </c>
      <c r="G603" s="63"/>
      <c r="H603" s="121"/>
      <c r="I603" s="24"/>
      <c r="J603" s="24">
        <v>8429</v>
      </c>
      <c r="K603" s="24">
        <f t="shared" ref="K603:K633" si="54">I603+J603</f>
        <v>8429</v>
      </c>
      <c r="L603" s="123"/>
      <c r="M603" s="24">
        <v>8429</v>
      </c>
      <c r="N603" s="124">
        <f t="shared" ref="N603:N633" si="55">K603-M603</f>
        <v>0</v>
      </c>
      <c r="O603" s="87"/>
      <c r="P603" s="3"/>
      <c r="Q603" s="140"/>
      <c r="R603" s="3"/>
      <c r="S603" s="3"/>
      <c r="T603" s="3"/>
      <c r="U603" s="3"/>
      <c r="V603" s="3"/>
      <c r="W603" s="3"/>
      <c r="X603" s="3"/>
      <c r="Y603" s="131"/>
      <c r="Z603" s="15"/>
      <c r="AA603" s="99"/>
      <c r="AB603" s="149"/>
      <c r="AC603" s="134"/>
      <c r="AD603" s="134"/>
      <c r="AE603" s="137"/>
      <c r="AF603" s="150"/>
      <c r="AG603" s="137"/>
      <c r="AH603" s="137"/>
      <c r="AI603" s="3"/>
      <c r="AJ603" s="138"/>
      <c r="AK603" s="2"/>
      <c r="AL603" s="139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131"/>
      <c r="AX603" s="15"/>
      <c r="AY603" s="99"/>
      <c r="AZ603" s="149"/>
      <c r="BA603" s="134"/>
      <c r="BB603" s="134"/>
      <c r="BC603" s="137"/>
      <c r="BD603" s="150"/>
      <c r="BE603" s="137"/>
      <c r="BF603" s="137"/>
      <c r="BG603" s="3"/>
      <c r="BH603" s="138"/>
      <c r="BI603" s="2"/>
      <c r="BJ603" s="139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131"/>
      <c r="BV603" s="15"/>
      <c r="BW603" s="99"/>
      <c r="BX603" s="149"/>
      <c r="BY603" s="134"/>
      <c r="BZ603" s="134"/>
      <c r="CA603" s="137"/>
      <c r="CB603" s="150"/>
      <c r="CC603" s="137"/>
      <c r="CD603" s="137"/>
      <c r="CE603" s="3"/>
      <c r="CF603" s="138"/>
      <c r="CG603" s="2"/>
      <c r="CH603" s="139"/>
      <c r="CI603" s="3"/>
      <c r="CJ603" s="3"/>
      <c r="CK603" s="3"/>
      <c r="CL603" s="3"/>
      <c r="CM603" s="3"/>
      <c r="CN603" s="3"/>
      <c r="CO603" s="3"/>
      <c r="CP603" s="3"/>
      <c r="CQ603" s="3"/>
      <c r="CR603" s="3"/>
      <c r="CS603" s="131"/>
      <c r="CT603" s="15"/>
      <c r="CU603" s="99"/>
      <c r="CV603" s="149"/>
      <c r="CW603" s="134"/>
      <c r="CX603" s="134"/>
      <c r="CY603" s="137"/>
      <c r="CZ603" s="150"/>
      <c r="DA603" s="137"/>
      <c r="DB603" s="137"/>
      <c r="DC603" s="3"/>
      <c r="DD603" s="138"/>
      <c r="DE603" s="2"/>
      <c r="DF603" s="139"/>
      <c r="DG603" s="3"/>
      <c r="DH603" s="3"/>
      <c r="DI603" s="3"/>
      <c r="DJ603" s="3"/>
      <c r="DK603" s="3"/>
      <c r="DL603" s="3"/>
      <c r="DM603" s="3"/>
      <c r="DN603" s="3"/>
      <c r="DO603" s="3"/>
      <c r="DP603" s="3"/>
      <c r="DQ603" s="131"/>
      <c r="DR603" s="15"/>
      <c r="DS603" s="99"/>
      <c r="DT603" s="149"/>
      <c r="DU603" s="134"/>
      <c r="DV603" s="134"/>
      <c r="DW603" s="137"/>
      <c r="DX603" s="150"/>
      <c r="DY603" s="137"/>
      <c r="DZ603" s="137"/>
      <c r="EA603" s="3"/>
      <c r="EB603" s="138"/>
      <c r="EC603" s="2"/>
      <c r="ED603" s="139"/>
      <c r="EE603" s="3"/>
      <c r="EF603" s="3"/>
      <c r="EG603" s="3"/>
      <c r="EH603" s="3"/>
      <c r="EI603" s="3"/>
      <c r="EJ603" s="3"/>
      <c r="EK603" s="3"/>
      <c r="EL603" s="3"/>
      <c r="EM603" s="3"/>
      <c r="EN603" s="3"/>
      <c r="EO603" s="131"/>
      <c r="EP603" s="15"/>
      <c r="EQ603" s="99"/>
      <c r="ER603" s="149"/>
      <c r="ES603" s="134"/>
      <c r="ET603" s="134"/>
      <c r="EU603" s="137"/>
      <c r="EV603" s="150"/>
      <c r="EW603" s="137"/>
      <c r="EX603" s="137"/>
      <c r="EY603" s="3"/>
      <c r="EZ603" s="138"/>
      <c r="FA603" s="2"/>
      <c r="FB603" s="139"/>
      <c r="FC603" s="3"/>
      <c r="FD603" s="3"/>
      <c r="FE603" s="3"/>
      <c r="FF603" s="3"/>
      <c r="FG603" s="3"/>
      <c r="FH603" s="3"/>
      <c r="FI603" s="3"/>
      <c r="FJ603" s="3"/>
      <c r="FK603" s="3"/>
      <c r="FL603" s="3"/>
      <c r="FM603" s="131"/>
      <c r="FN603" s="15"/>
      <c r="FO603" s="99"/>
      <c r="FP603" s="149"/>
      <c r="FQ603" s="134"/>
      <c r="FR603" s="134"/>
      <c r="FS603" s="137"/>
      <c r="FT603" s="150"/>
      <c r="FU603" s="137"/>
      <c r="FV603" s="137"/>
      <c r="FW603" s="3"/>
      <c r="FX603" s="138"/>
      <c r="FY603" s="2"/>
      <c r="FZ603" s="139"/>
      <c r="GA603" s="3"/>
      <c r="GB603" s="3"/>
      <c r="GC603" s="3"/>
      <c r="GD603" s="3"/>
      <c r="GE603" s="3"/>
      <c r="GF603" s="3"/>
      <c r="GG603" s="3"/>
      <c r="GH603" s="3"/>
      <c r="GI603" s="3"/>
      <c r="GJ603" s="3"/>
      <c r="GK603" s="131"/>
      <c r="GL603" s="15"/>
      <c r="GM603" s="99"/>
      <c r="GN603" s="149"/>
      <c r="GO603" s="134"/>
      <c r="GP603" s="134"/>
      <c r="GQ603" s="137"/>
      <c r="GR603" s="150"/>
      <c r="GS603" s="137"/>
      <c r="GT603" s="137"/>
      <c r="GU603" s="3"/>
      <c r="GV603" s="138"/>
      <c r="GW603" s="2"/>
      <c r="GX603" s="139"/>
      <c r="GY603" s="3"/>
      <c r="GZ603" s="3"/>
      <c r="HA603" s="3"/>
      <c r="HB603" s="3"/>
      <c r="HC603" s="3"/>
      <c r="HD603" s="3"/>
      <c r="HE603" s="3"/>
      <c r="HF603" s="3"/>
      <c r="HG603" s="3"/>
      <c r="HH603" s="3"/>
      <c r="HI603" s="131"/>
      <c r="HJ603" s="15"/>
      <c r="HK603" s="99"/>
      <c r="HL603" s="149"/>
      <c r="HM603" s="134"/>
      <c r="HN603" s="134"/>
      <c r="HO603" s="137"/>
      <c r="HP603" s="150"/>
      <c r="HQ603" s="137"/>
      <c r="HR603" s="137"/>
      <c r="HS603" s="3"/>
      <c r="HT603" s="138"/>
      <c r="HU603" s="2"/>
      <c r="HV603" s="139"/>
      <c r="HW603" s="3"/>
      <c r="HX603" s="3"/>
      <c r="HY603" s="3"/>
      <c r="HZ603" s="3"/>
      <c r="IA603" s="3"/>
      <c r="IB603" s="3"/>
      <c r="IC603" s="3"/>
      <c r="ID603" s="3"/>
      <c r="IE603" s="3"/>
      <c r="IF603" s="3"/>
      <c r="IG603" s="131"/>
      <c r="IH603" s="15"/>
      <c r="II603" s="99"/>
      <c r="IJ603" s="149"/>
      <c r="IK603" s="134"/>
      <c r="IL603" s="134"/>
      <c r="IM603" s="137"/>
      <c r="IN603" s="150"/>
      <c r="IO603" s="137"/>
      <c r="IP603" s="137"/>
      <c r="IQ603" s="3"/>
      <c r="IR603" s="138"/>
      <c r="IS603" s="2"/>
      <c r="IT603" s="139"/>
      <c r="IU603" s="3"/>
      <c r="IV603" s="3"/>
    </row>
    <row r="604" spans="1:256" s="125" customFormat="1" ht="13.5" customHeight="1">
      <c r="A604" s="86"/>
      <c r="B604" s="56"/>
      <c r="C604" s="18" t="s">
        <v>157</v>
      </c>
      <c r="D604" s="19"/>
      <c r="E604" s="20" t="s">
        <v>806</v>
      </c>
      <c r="F604" s="62" t="s">
        <v>807</v>
      </c>
      <c r="G604" s="63"/>
      <c r="H604" s="121"/>
      <c r="I604" s="24"/>
      <c r="J604" s="24">
        <v>8429</v>
      </c>
      <c r="K604" s="24">
        <f t="shared" si="54"/>
        <v>8429</v>
      </c>
      <c r="L604" s="123"/>
      <c r="M604" s="24">
        <v>8429</v>
      </c>
      <c r="N604" s="124">
        <f t="shared" si="55"/>
        <v>0</v>
      </c>
      <c r="O604" s="87"/>
      <c r="P604" s="3"/>
      <c r="Q604" s="140"/>
      <c r="R604" s="3"/>
      <c r="S604" s="3"/>
      <c r="T604" s="3"/>
      <c r="U604" s="3"/>
      <c r="V604" s="3"/>
      <c r="W604" s="3"/>
      <c r="X604" s="3"/>
      <c r="Y604" s="131"/>
      <c r="Z604" s="15"/>
      <c r="AA604" s="99"/>
      <c r="AB604" s="149"/>
      <c r="AC604" s="134"/>
      <c r="AD604" s="134"/>
      <c r="AE604" s="137"/>
      <c r="AF604" s="150"/>
      <c r="AG604" s="137"/>
      <c r="AH604" s="137"/>
      <c r="AI604" s="3"/>
      <c r="AJ604" s="138"/>
      <c r="AK604" s="2"/>
      <c r="AL604" s="139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131"/>
      <c r="AX604" s="15"/>
      <c r="AY604" s="99"/>
      <c r="AZ604" s="149"/>
      <c r="BA604" s="134"/>
      <c r="BB604" s="134"/>
      <c r="BC604" s="137"/>
      <c r="BD604" s="150"/>
      <c r="BE604" s="137"/>
      <c r="BF604" s="137"/>
      <c r="BG604" s="3"/>
      <c r="BH604" s="138"/>
      <c r="BI604" s="2"/>
      <c r="BJ604" s="139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131"/>
      <c r="BV604" s="15"/>
      <c r="BW604" s="99"/>
      <c r="BX604" s="149"/>
      <c r="BY604" s="134"/>
      <c r="BZ604" s="134"/>
      <c r="CA604" s="137"/>
      <c r="CB604" s="150"/>
      <c r="CC604" s="137"/>
      <c r="CD604" s="137"/>
      <c r="CE604" s="3"/>
      <c r="CF604" s="138"/>
      <c r="CG604" s="2"/>
      <c r="CH604" s="139"/>
      <c r="CI604" s="3"/>
      <c r="CJ604" s="3"/>
      <c r="CK604" s="3"/>
      <c r="CL604" s="3"/>
      <c r="CM604" s="3"/>
      <c r="CN604" s="3"/>
      <c r="CO604" s="3"/>
      <c r="CP604" s="3"/>
      <c r="CQ604" s="3"/>
      <c r="CR604" s="3"/>
      <c r="CS604" s="131"/>
      <c r="CT604" s="15"/>
      <c r="CU604" s="99"/>
      <c r="CV604" s="149"/>
      <c r="CW604" s="134"/>
      <c r="CX604" s="134"/>
      <c r="CY604" s="137"/>
      <c r="CZ604" s="150"/>
      <c r="DA604" s="137"/>
      <c r="DB604" s="137"/>
      <c r="DC604" s="3"/>
      <c r="DD604" s="138"/>
      <c r="DE604" s="2"/>
      <c r="DF604" s="139"/>
      <c r="DG604" s="3"/>
      <c r="DH604" s="3"/>
      <c r="DI604" s="3"/>
      <c r="DJ604" s="3"/>
      <c r="DK604" s="3"/>
      <c r="DL604" s="3"/>
      <c r="DM604" s="3"/>
      <c r="DN604" s="3"/>
      <c r="DO604" s="3"/>
      <c r="DP604" s="3"/>
      <c r="DQ604" s="131"/>
      <c r="DR604" s="15"/>
      <c r="DS604" s="99"/>
      <c r="DT604" s="149"/>
      <c r="DU604" s="134"/>
      <c r="DV604" s="134"/>
      <c r="DW604" s="137"/>
      <c r="DX604" s="150"/>
      <c r="DY604" s="137"/>
      <c r="DZ604" s="137"/>
      <c r="EA604" s="3"/>
      <c r="EB604" s="138"/>
      <c r="EC604" s="2"/>
      <c r="ED604" s="139"/>
      <c r="EE604" s="3"/>
      <c r="EF604" s="3"/>
      <c r="EG604" s="3"/>
      <c r="EH604" s="3"/>
      <c r="EI604" s="3"/>
      <c r="EJ604" s="3"/>
      <c r="EK604" s="3"/>
      <c r="EL604" s="3"/>
      <c r="EM604" s="3"/>
      <c r="EN604" s="3"/>
      <c r="EO604" s="131"/>
      <c r="EP604" s="15"/>
      <c r="EQ604" s="99"/>
      <c r="ER604" s="149"/>
      <c r="ES604" s="134"/>
      <c r="ET604" s="134"/>
      <c r="EU604" s="137"/>
      <c r="EV604" s="150"/>
      <c r="EW604" s="137"/>
      <c r="EX604" s="137"/>
      <c r="EY604" s="3"/>
      <c r="EZ604" s="138"/>
      <c r="FA604" s="2"/>
      <c r="FB604" s="139"/>
      <c r="FC604" s="3"/>
      <c r="FD604" s="3"/>
      <c r="FE604" s="3"/>
      <c r="FF604" s="3"/>
      <c r="FG604" s="3"/>
      <c r="FH604" s="3"/>
      <c r="FI604" s="3"/>
      <c r="FJ604" s="3"/>
      <c r="FK604" s="3"/>
      <c r="FL604" s="3"/>
      <c r="FM604" s="131"/>
      <c r="FN604" s="15"/>
      <c r="FO604" s="99"/>
      <c r="FP604" s="149"/>
      <c r="FQ604" s="134"/>
      <c r="FR604" s="134"/>
      <c r="FS604" s="137"/>
      <c r="FT604" s="150"/>
      <c r="FU604" s="137"/>
      <c r="FV604" s="137"/>
      <c r="FW604" s="3"/>
      <c r="FX604" s="138"/>
      <c r="FY604" s="2"/>
      <c r="FZ604" s="139"/>
      <c r="GA604" s="3"/>
      <c r="GB604" s="3"/>
      <c r="GC604" s="3"/>
      <c r="GD604" s="3"/>
      <c r="GE604" s="3"/>
      <c r="GF604" s="3"/>
      <c r="GG604" s="3"/>
      <c r="GH604" s="3"/>
      <c r="GI604" s="3"/>
      <c r="GJ604" s="3"/>
      <c r="GK604" s="131"/>
      <c r="GL604" s="15"/>
      <c r="GM604" s="99"/>
      <c r="GN604" s="149"/>
      <c r="GO604" s="134"/>
      <c r="GP604" s="134"/>
      <c r="GQ604" s="137"/>
      <c r="GR604" s="150"/>
      <c r="GS604" s="137"/>
      <c r="GT604" s="137"/>
      <c r="GU604" s="3"/>
      <c r="GV604" s="138"/>
      <c r="GW604" s="2"/>
      <c r="GX604" s="139"/>
      <c r="GY604" s="3"/>
      <c r="GZ604" s="3"/>
      <c r="HA604" s="3"/>
      <c r="HB604" s="3"/>
      <c r="HC604" s="3"/>
      <c r="HD604" s="3"/>
      <c r="HE604" s="3"/>
      <c r="HF604" s="3"/>
      <c r="HG604" s="3"/>
      <c r="HH604" s="3"/>
      <c r="HI604" s="131"/>
      <c r="HJ604" s="15"/>
      <c r="HK604" s="99"/>
      <c r="HL604" s="149"/>
      <c r="HM604" s="134"/>
      <c r="HN604" s="134"/>
      <c r="HO604" s="137"/>
      <c r="HP604" s="150"/>
      <c r="HQ604" s="137"/>
      <c r="HR604" s="137"/>
      <c r="HS604" s="3"/>
      <c r="HT604" s="138"/>
      <c r="HU604" s="2"/>
      <c r="HV604" s="139"/>
      <c r="HW604" s="3"/>
      <c r="HX604" s="3"/>
      <c r="HY604" s="3"/>
      <c r="HZ604" s="3"/>
      <c r="IA604" s="3"/>
      <c r="IB604" s="3"/>
      <c r="IC604" s="3"/>
      <c r="ID604" s="3"/>
      <c r="IE604" s="3"/>
      <c r="IF604" s="3"/>
      <c r="IG604" s="131"/>
      <c r="IH604" s="15"/>
      <c r="II604" s="99"/>
      <c r="IJ604" s="149"/>
      <c r="IK604" s="134"/>
      <c r="IL604" s="134"/>
      <c r="IM604" s="137"/>
      <c r="IN604" s="150"/>
      <c r="IO604" s="137"/>
      <c r="IP604" s="137"/>
      <c r="IQ604" s="3"/>
      <c r="IR604" s="138"/>
      <c r="IS604" s="2"/>
      <c r="IT604" s="139"/>
      <c r="IU604" s="3"/>
      <c r="IV604" s="3"/>
    </row>
    <row r="605" spans="1:256" s="125" customFormat="1" ht="13.5" customHeight="1">
      <c r="A605" s="86"/>
      <c r="B605" s="56"/>
      <c r="C605" s="18" t="s">
        <v>157</v>
      </c>
      <c r="D605" s="19"/>
      <c r="E605" s="20" t="s">
        <v>808</v>
      </c>
      <c r="F605" s="62" t="s">
        <v>809</v>
      </c>
      <c r="G605" s="63"/>
      <c r="H605" s="121"/>
      <c r="I605" s="24"/>
      <c r="J605" s="24">
        <v>762</v>
      </c>
      <c r="K605" s="24">
        <f t="shared" si="54"/>
        <v>762</v>
      </c>
      <c r="L605" s="123"/>
      <c r="M605" s="24">
        <v>762</v>
      </c>
      <c r="N605" s="124">
        <f t="shared" si="55"/>
        <v>0</v>
      </c>
      <c r="O605" s="87"/>
      <c r="P605" s="3"/>
      <c r="Q605" s="140"/>
      <c r="R605" s="3"/>
      <c r="S605" s="3"/>
      <c r="T605" s="3"/>
      <c r="U605" s="3"/>
      <c r="V605" s="3"/>
      <c r="W605" s="3"/>
      <c r="X605" s="3"/>
      <c r="Y605" s="131"/>
      <c r="Z605" s="15"/>
      <c r="AA605" s="99"/>
      <c r="AB605" s="149"/>
      <c r="AC605" s="134"/>
      <c r="AD605" s="134"/>
      <c r="AE605" s="137"/>
      <c r="AF605" s="150"/>
      <c r="AG605" s="137"/>
      <c r="AH605" s="137"/>
      <c r="AI605" s="3"/>
      <c r="AJ605" s="138"/>
      <c r="AK605" s="2"/>
      <c r="AL605" s="139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131"/>
      <c r="AX605" s="15"/>
      <c r="AY605" s="99"/>
      <c r="AZ605" s="149"/>
      <c r="BA605" s="134"/>
      <c r="BB605" s="134"/>
      <c r="BC605" s="137"/>
      <c r="BD605" s="150"/>
      <c r="BE605" s="137"/>
      <c r="BF605" s="137"/>
      <c r="BG605" s="3"/>
      <c r="BH605" s="138"/>
      <c r="BI605" s="2"/>
      <c r="BJ605" s="139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131"/>
      <c r="BV605" s="15"/>
      <c r="BW605" s="99"/>
      <c r="BX605" s="149"/>
      <c r="BY605" s="134"/>
      <c r="BZ605" s="134"/>
      <c r="CA605" s="137"/>
      <c r="CB605" s="150"/>
      <c r="CC605" s="137"/>
      <c r="CD605" s="137"/>
      <c r="CE605" s="3"/>
      <c r="CF605" s="138"/>
      <c r="CG605" s="2"/>
      <c r="CH605" s="139"/>
      <c r="CI605" s="3"/>
      <c r="CJ605" s="3"/>
      <c r="CK605" s="3"/>
      <c r="CL605" s="3"/>
      <c r="CM605" s="3"/>
      <c r="CN605" s="3"/>
      <c r="CO605" s="3"/>
      <c r="CP605" s="3"/>
      <c r="CQ605" s="3"/>
      <c r="CR605" s="3"/>
      <c r="CS605" s="131"/>
      <c r="CT605" s="15"/>
      <c r="CU605" s="99"/>
      <c r="CV605" s="149"/>
      <c r="CW605" s="134"/>
      <c r="CX605" s="134"/>
      <c r="CY605" s="137"/>
      <c r="CZ605" s="150"/>
      <c r="DA605" s="137"/>
      <c r="DB605" s="137"/>
      <c r="DC605" s="3"/>
      <c r="DD605" s="138"/>
      <c r="DE605" s="2"/>
      <c r="DF605" s="139"/>
      <c r="DG605" s="3"/>
      <c r="DH605" s="3"/>
      <c r="DI605" s="3"/>
      <c r="DJ605" s="3"/>
      <c r="DK605" s="3"/>
      <c r="DL605" s="3"/>
      <c r="DM605" s="3"/>
      <c r="DN605" s="3"/>
      <c r="DO605" s="3"/>
      <c r="DP605" s="3"/>
      <c r="DQ605" s="131"/>
      <c r="DR605" s="15"/>
      <c r="DS605" s="99"/>
      <c r="DT605" s="149"/>
      <c r="DU605" s="134"/>
      <c r="DV605" s="134"/>
      <c r="DW605" s="137"/>
      <c r="DX605" s="150"/>
      <c r="DY605" s="137"/>
      <c r="DZ605" s="137"/>
      <c r="EA605" s="3"/>
      <c r="EB605" s="138"/>
      <c r="EC605" s="2"/>
      <c r="ED605" s="139"/>
      <c r="EE605" s="3"/>
      <c r="EF605" s="3"/>
      <c r="EG605" s="3"/>
      <c r="EH605" s="3"/>
      <c r="EI605" s="3"/>
      <c r="EJ605" s="3"/>
      <c r="EK605" s="3"/>
      <c r="EL605" s="3"/>
      <c r="EM605" s="3"/>
      <c r="EN605" s="3"/>
      <c r="EO605" s="131"/>
      <c r="EP605" s="15"/>
      <c r="EQ605" s="99"/>
      <c r="ER605" s="149"/>
      <c r="ES605" s="134"/>
      <c r="ET605" s="134"/>
      <c r="EU605" s="137"/>
      <c r="EV605" s="150"/>
      <c r="EW605" s="137"/>
      <c r="EX605" s="137"/>
      <c r="EY605" s="3"/>
      <c r="EZ605" s="138"/>
      <c r="FA605" s="2"/>
      <c r="FB605" s="139"/>
      <c r="FC605" s="3"/>
      <c r="FD605" s="3"/>
      <c r="FE605" s="3"/>
      <c r="FF605" s="3"/>
      <c r="FG605" s="3"/>
      <c r="FH605" s="3"/>
      <c r="FI605" s="3"/>
      <c r="FJ605" s="3"/>
      <c r="FK605" s="3"/>
      <c r="FL605" s="3"/>
      <c r="FM605" s="131"/>
      <c r="FN605" s="15"/>
      <c r="FO605" s="99"/>
      <c r="FP605" s="149"/>
      <c r="FQ605" s="134"/>
      <c r="FR605" s="134"/>
      <c r="FS605" s="137"/>
      <c r="FT605" s="150"/>
      <c r="FU605" s="137"/>
      <c r="FV605" s="137"/>
      <c r="FW605" s="3"/>
      <c r="FX605" s="138"/>
      <c r="FY605" s="2"/>
      <c r="FZ605" s="139"/>
      <c r="GA605" s="3"/>
      <c r="GB605" s="3"/>
      <c r="GC605" s="3"/>
      <c r="GD605" s="3"/>
      <c r="GE605" s="3"/>
      <c r="GF605" s="3"/>
      <c r="GG605" s="3"/>
      <c r="GH605" s="3"/>
      <c r="GI605" s="3"/>
      <c r="GJ605" s="3"/>
      <c r="GK605" s="131"/>
      <c r="GL605" s="15"/>
      <c r="GM605" s="99"/>
      <c r="GN605" s="149"/>
      <c r="GO605" s="134"/>
      <c r="GP605" s="134"/>
      <c r="GQ605" s="137"/>
      <c r="GR605" s="150"/>
      <c r="GS605" s="137"/>
      <c r="GT605" s="137"/>
      <c r="GU605" s="3"/>
      <c r="GV605" s="138"/>
      <c r="GW605" s="2"/>
      <c r="GX605" s="139"/>
      <c r="GY605" s="3"/>
      <c r="GZ605" s="3"/>
      <c r="HA605" s="3"/>
      <c r="HB605" s="3"/>
      <c r="HC605" s="3"/>
      <c r="HD605" s="3"/>
      <c r="HE605" s="3"/>
      <c r="HF605" s="3"/>
      <c r="HG605" s="3"/>
      <c r="HH605" s="3"/>
      <c r="HI605" s="131"/>
      <c r="HJ605" s="15"/>
      <c r="HK605" s="99"/>
      <c r="HL605" s="149"/>
      <c r="HM605" s="134"/>
      <c r="HN605" s="134"/>
      <c r="HO605" s="137"/>
      <c r="HP605" s="150"/>
      <c r="HQ605" s="137"/>
      <c r="HR605" s="137"/>
      <c r="HS605" s="3"/>
      <c r="HT605" s="138"/>
      <c r="HU605" s="2"/>
      <c r="HV605" s="139"/>
      <c r="HW605" s="3"/>
      <c r="HX605" s="3"/>
      <c r="HY605" s="3"/>
      <c r="HZ605" s="3"/>
      <c r="IA605" s="3"/>
      <c r="IB605" s="3"/>
      <c r="IC605" s="3"/>
      <c r="ID605" s="3"/>
      <c r="IE605" s="3"/>
      <c r="IF605" s="3"/>
      <c r="IG605" s="131"/>
      <c r="IH605" s="15"/>
      <c r="II605" s="99"/>
      <c r="IJ605" s="149"/>
      <c r="IK605" s="134"/>
      <c r="IL605" s="134"/>
      <c r="IM605" s="137"/>
      <c r="IN605" s="150"/>
      <c r="IO605" s="137"/>
      <c r="IP605" s="137"/>
      <c r="IQ605" s="3"/>
      <c r="IR605" s="138"/>
      <c r="IS605" s="2"/>
      <c r="IT605" s="139"/>
      <c r="IU605" s="3"/>
      <c r="IV605" s="3"/>
    </row>
    <row r="606" spans="1:256" s="125" customFormat="1" ht="13.5" customHeight="1">
      <c r="A606" s="86"/>
      <c r="B606" s="56"/>
      <c r="C606" s="18" t="s">
        <v>157</v>
      </c>
      <c r="D606" s="19"/>
      <c r="E606" s="20" t="s">
        <v>441</v>
      </c>
      <c r="F606" s="62" t="s">
        <v>810</v>
      </c>
      <c r="G606" s="63"/>
      <c r="H606" s="121"/>
      <c r="I606" s="24"/>
      <c r="J606" s="24">
        <v>762</v>
      </c>
      <c r="K606" s="24">
        <f t="shared" si="54"/>
        <v>762</v>
      </c>
      <c r="L606" s="123"/>
      <c r="M606" s="24">
        <v>762</v>
      </c>
      <c r="N606" s="124">
        <f t="shared" si="55"/>
        <v>0</v>
      </c>
      <c r="O606" s="87"/>
      <c r="P606" s="3"/>
      <c r="Q606" s="140"/>
      <c r="R606" s="3"/>
      <c r="S606" s="3"/>
      <c r="T606" s="3"/>
      <c r="U606" s="3"/>
      <c r="V606" s="3"/>
      <c r="W606" s="3"/>
      <c r="X606" s="3"/>
      <c r="Y606" s="131"/>
      <c r="Z606" s="15"/>
      <c r="AA606" s="99"/>
      <c r="AB606" s="149"/>
      <c r="AC606" s="134"/>
      <c r="AD606" s="134"/>
      <c r="AE606" s="137"/>
      <c r="AF606" s="150"/>
      <c r="AG606" s="137"/>
      <c r="AH606" s="137"/>
      <c r="AI606" s="3"/>
      <c r="AJ606" s="138"/>
      <c r="AK606" s="2"/>
      <c r="AL606" s="139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131"/>
      <c r="AX606" s="15"/>
      <c r="AY606" s="99"/>
      <c r="AZ606" s="149"/>
      <c r="BA606" s="134"/>
      <c r="BB606" s="134"/>
      <c r="BC606" s="137"/>
      <c r="BD606" s="150"/>
      <c r="BE606" s="137"/>
      <c r="BF606" s="137"/>
      <c r="BG606" s="3"/>
      <c r="BH606" s="138"/>
      <c r="BI606" s="2"/>
      <c r="BJ606" s="139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131"/>
      <c r="BV606" s="15"/>
      <c r="BW606" s="99"/>
      <c r="BX606" s="149"/>
      <c r="BY606" s="134"/>
      <c r="BZ606" s="134"/>
      <c r="CA606" s="137"/>
      <c r="CB606" s="150"/>
      <c r="CC606" s="137"/>
      <c r="CD606" s="137"/>
      <c r="CE606" s="3"/>
      <c r="CF606" s="138"/>
      <c r="CG606" s="2"/>
      <c r="CH606" s="139"/>
      <c r="CI606" s="3"/>
      <c r="CJ606" s="3"/>
      <c r="CK606" s="3"/>
      <c r="CL606" s="3"/>
      <c r="CM606" s="3"/>
      <c r="CN606" s="3"/>
      <c r="CO606" s="3"/>
      <c r="CP606" s="3"/>
      <c r="CQ606" s="3"/>
      <c r="CR606" s="3"/>
      <c r="CS606" s="131"/>
      <c r="CT606" s="15"/>
      <c r="CU606" s="99"/>
      <c r="CV606" s="149"/>
      <c r="CW606" s="134"/>
      <c r="CX606" s="134"/>
      <c r="CY606" s="137"/>
      <c r="CZ606" s="150"/>
      <c r="DA606" s="137"/>
      <c r="DB606" s="137"/>
      <c r="DC606" s="3"/>
      <c r="DD606" s="138"/>
      <c r="DE606" s="2"/>
      <c r="DF606" s="139"/>
      <c r="DG606" s="3"/>
      <c r="DH606" s="3"/>
      <c r="DI606" s="3"/>
      <c r="DJ606" s="3"/>
      <c r="DK606" s="3"/>
      <c r="DL606" s="3"/>
      <c r="DM606" s="3"/>
      <c r="DN606" s="3"/>
      <c r="DO606" s="3"/>
      <c r="DP606" s="3"/>
      <c r="DQ606" s="131"/>
      <c r="DR606" s="15"/>
      <c r="DS606" s="99"/>
      <c r="DT606" s="149"/>
      <c r="DU606" s="134"/>
      <c r="DV606" s="134"/>
      <c r="DW606" s="137"/>
      <c r="DX606" s="150"/>
      <c r="DY606" s="137"/>
      <c r="DZ606" s="137"/>
      <c r="EA606" s="3"/>
      <c r="EB606" s="138"/>
      <c r="EC606" s="2"/>
      <c r="ED606" s="139"/>
      <c r="EE606" s="3"/>
      <c r="EF606" s="3"/>
      <c r="EG606" s="3"/>
      <c r="EH606" s="3"/>
      <c r="EI606" s="3"/>
      <c r="EJ606" s="3"/>
      <c r="EK606" s="3"/>
      <c r="EL606" s="3"/>
      <c r="EM606" s="3"/>
      <c r="EN606" s="3"/>
      <c r="EO606" s="131"/>
      <c r="EP606" s="15"/>
      <c r="EQ606" s="99"/>
      <c r="ER606" s="149"/>
      <c r="ES606" s="134"/>
      <c r="ET606" s="134"/>
      <c r="EU606" s="137"/>
      <c r="EV606" s="150"/>
      <c r="EW606" s="137"/>
      <c r="EX606" s="137"/>
      <c r="EY606" s="3"/>
      <c r="EZ606" s="138"/>
      <c r="FA606" s="2"/>
      <c r="FB606" s="139"/>
      <c r="FC606" s="3"/>
      <c r="FD606" s="3"/>
      <c r="FE606" s="3"/>
      <c r="FF606" s="3"/>
      <c r="FG606" s="3"/>
      <c r="FH606" s="3"/>
      <c r="FI606" s="3"/>
      <c r="FJ606" s="3"/>
      <c r="FK606" s="3"/>
      <c r="FL606" s="3"/>
      <c r="FM606" s="131"/>
      <c r="FN606" s="15"/>
      <c r="FO606" s="99"/>
      <c r="FP606" s="149"/>
      <c r="FQ606" s="134"/>
      <c r="FR606" s="134"/>
      <c r="FS606" s="137"/>
      <c r="FT606" s="150"/>
      <c r="FU606" s="137"/>
      <c r="FV606" s="137"/>
      <c r="FW606" s="3"/>
      <c r="FX606" s="138"/>
      <c r="FY606" s="2"/>
      <c r="FZ606" s="139"/>
      <c r="GA606" s="3"/>
      <c r="GB606" s="3"/>
      <c r="GC606" s="3"/>
      <c r="GD606" s="3"/>
      <c r="GE606" s="3"/>
      <c r="GF606" s="3"/>
      <c r="GG606" s="3"/>
      <c r="GH606" s="3"/>
      <c r="GI606" s="3"/>
      <c r="GJ606" s="3"/>
      <c r="GK606" s="131"/>
      <c r="GL606" s="15"/>
      <c r="GM606" s="99"/>
      <c r="GN606" s="149"/>
      <c r="GO606" s="134"/>
      <c r="GP606" s="134"/>
      <c r="GQ606" s="137"/>
      <c r="GR606" s="150"/>
      <c r="GS606" s="137"/>
      <c r="GT606" s="137"/>
      <c r="GU606" s="3"/>
      <c r="GV606" s="138"/>
      <c r="GW606" s="2"/>
      <c r="GX606" s="139"/>
      <c r="GY606" s="3"/>
      <c r="GZ606" s="3"/>
      <c r="HA606" s="3"/>
      <c r="HB606" s="3"/>
      <c r="HC606" s="3"/>
      <c r="HD606" s="3"/>
      <c r="HE606" s="3"/>
      <c r="HF606" s="3"/>
      <c r="HG606" s="3"/>
      <c r="HH606" s="3"/>
      <c r="HI606" s="131"/>
      <c r="HJ606" s="15"/>
      <c r="HK606" s="99"/>
      <c r="HL606" s="149"/>
      <c r="HM606" s="134"/>
      <c r="HN606" s="134"/>
      <c r="HO606" s="137"/>
      <c r="HP606" s="150"/>
      <c r="HQ606" s="137"/>
      <c r="HR606" s="137"/>
      <c r="HS606" s="3"/>
      <c r="HT606" s="138"/>
      <c r="HU606" s="2"/>
      <c r="HV606" s="139"/>
      <c r="HW606" s="3"/>
      <c r="HX606" s="3"/>
      <c r="HY606" s="3"/>
      <c r="HZ606" s="3"/>
      <c r="IA606" s="3"/>
      <c r="IB606" s="3"/>
      <c r="IC606" s="3"/>
      <c r="ID606" s="3"/>
      <c r="IE606" s="3"/>
      <c r="IF606" s="3"/>
      <c r="IG606" s="131"/>
      <c r="IH606" s="15"/>
      <c r="II606" s="99"/>
      <c r="IJ606" s="149"/>
      <c r="IK606" s="134"/>
      <c r="IL606" s="134"/>
      <c r="IM606" s="137"/>
      <c r="IN606" s="150"/>
      <c r="IO606" s="137"/>
      <c r="IP606" s="137"/>
      <c r="IQ606" s="3"/>
      <c r="IR606" s="138"/>
      <c r="IS606" s="2"/>
      <c r="IT606" s="139"/>
      <c r="IU606" s="3"/>
      <c r="IV606" s="3"/>
    </row>
    <row r="607" spans="1:256" s="125" customFormat="1" ht="13.5" customHeight="1">
      <c r="A607" s="86"/>
      <c r="B607" s="56"/>
      <c r="C607" s="18" t="s">
        <v>157</v>
      </c>
      <c r="D607" s="19"/>
      <c r="E607" s="20" t="s">
        <v>662</v>
      </c>
      <c r="F607" s="62" t="s">
        <v>811</v>
      </c>
      <c r="G607" s="63"/>
      <c r="H607" s="121"/>
      <c r="I607" s="24"/>
      <c r="J607" s="24">
        <v>9524</v>
      </c>
      <c r="K607" s="24">
        <f t="shared" si="54"/>
        <v>9524</v>
      </c>
      <c r="L607" s="123"/>
      <c r="M607" s="24">
        <v>9524</v>
      </c>
      <c r="N607" s="124">
        <f t="shared" si="55"/>
        <v>0</v>
      </c>
      <c r="O607" s="87"/>
      <c r="P607" s="3"/>
      <c r="Q607" s="140"/>
      <c r="R607" s="3"/>
      <c r="S607" s="3"/>
      <c r="T607" s="3"/>
      <c r="U607" s="3"/>
      <c r="V607" s="3"/>
      <c r="W607" s="3"/>
      <c r="X607" s="3"/>
      <c r="Y607" s="131"/>
      <c r="Z607" s="15"/>
      <c r="AA607" s="99"/>
      <c r="AB607" s="149"/>
      <c r="AC607" s="134"/>
      <c r="AD607" s="134"/>
      <c r="AE607" s="137"/>
      <c r="AF607" s="150"/>
      <c r="AG607" s="137"/>
      <c r="AH607" s="137"/>
      <c r="AI607" s="3"/>
      <c r="AJ607" s="138"/>
      <c r="AK607" s="2"/>
      <c r="AL607" s="139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131"/>
      <c r="AX607" s="15"/>
      <c r="AY607" s="99"/>
      <c r="AZ607" s="149"/>
      <c r="BA607" s="134"/>
      <c r="BB607" s="134"/>
      <c r="BC607" s="137"/>
      <c r="BD607" s="150"/>
      <c r="BE607" s="137"/>
      <c r="BF607" s="137"/>
      <c r="BG607" s="3"/>
      <c r="BH607" s="138"/>
      <c r="BI607" s="2"/>
      <c r="BJ607" s="139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131"/>
      <c r="BV607" s="15"/>
      <c r="BW607" s="99"/>
      <c r="BX607" s="149"/>
      <c r="BY607" s="134"/>
      <c r="BZ607" s="134"/>
      <c r="CA607" s="137"/>
      <c r="CB607" s="150"/>
      <c r="CC607" s="137"/>
      <c r="CD607" s="137"/>
      <c r="CE607" s="3"/>
      <c r="CF607" s="138"/>
      <c r="CG607" s="2"/>
      <c r="CH607" s="139"/>
      <c r="CI607" s="3"/>
      <c r="CJ607" s="3"/>
      <c r="CK607" s="3"/>
      <c r="CL607" s="3"/>
      <c r="CM607" s="3"/>
      <c r="CN607" s="3"/>
      <c r="CO607" s="3"/>
      <c r="CP607" s="3"/>
      <c r="CQ607" s="3"/>
      <c r="CR607" s="3"/>
      <c r="CS607" s="131"/>
      <c r="CT607" s="15"/>
      <c r="CU607" s="99"/>
      <c r="CV607" s="149"/>
      <c r="CW607" s="134"/>
      <c r="CX607" s="134"/>
      <c r="CY607" s="137"/>
      <c r="CZ607" s="150"/>
      <c r="DA607" s="137"/>
      <c r="DB607" s="137"/>
      <c r="DC607" s="3"/>
      <c r="DD607" s="138"/>
      <c r="DE607" s="2"/>
      <c r="DF607" s="139"/>
      <c r="DG607" s="3"/>
      <c r="DH607" s="3"/>
      <c r="DI607" s="3"/>
      <c r="DJ607" s="3"/>
      <c r="DK607" s="3"/>
      <c r="DL607" s="3"/>
      <c r="DM607" s="3"/>
      <c r="DN607" s="3"/>
      <c r="DO607" s="3"/>
      <c r="DP607" s="3"/>
      <c r="DQ607" s="131"/>
      <c r="DR607" s="15"/>
      <c r="DS607" s="99"/>
      <c r="DT607" s="149"/>
      <c r="DU607" s="134"/>
      <c r="DV607" s="134"/>
      <c r="DW607" s="137"/>
      <c r="DX607" s="150"/>
      <c r="DY607" s="137"/>
      <c r="DZ607" s="137"/>
      <c r="EA607" s="3"/>
      <c r="EB607" s="138"/>
      <c r="EC607" s="2"/>
      <c r="ED607" s="139"/>
      <c r="EE607" s="3"/>
      <c r="EF607" s="3"/>
      <c r="EG607" s="3"/>
      <c r="EH607" s="3"/>
      <c r="EI607" s="3"/>
      <c r="EJ607" s="3"/>
      <c r="EK607" s="3"/>
      <c r="EL607" s="3"/>
      <c r="EM607" s="3"/>
      <c r="EN607" s="3"/>
      <c r="EO607" s="131"/>
      <c r="EP607" s="15"/>
      <c r="EQ607" s="99"/>
      <c r="ER607" s="149"/>
      <c r="ES607" s="134"/>
      <c r="ET607" s="134"/>
      <c r="EU607" s="137"/>
      <c r="EV607" s="150"/>
      <c r="EW607" s="137"/>
      <c r="EX607" s="137"/>
      <c r="EY607" s="3"/>
      <c r="EZ607" s="138"/>
      <c r="FA607" s="2"/>
      <c r="FB607" s="139"/>
      <c r="FC607" s="3"/>
      <c r="FD607" s="3"/>
      <c r="FE607" s="3"/>
      <c r="FF607" s="3"/>
      <c r="FG607" s="3"/>
      <c r="FH607" s="3"/>
      <c r="FI607" s="3"/>
      <c r="FJ607" s="3"/>
      <c r="FK607" s="3"/>
      <c r="FL607" s="3"/>
      <c r="FM607" s="131"/>
      <c r="FN607" s="15"/>
      <c r="FO607" s="99"/>
      <c r="FP607" s="149"/>
      <c r="FQ607" s="134"/>
      <c r="FR607" s="134"/>
      <c r="FS607" s="137"/>
      <c r="FT607" s="150"/>
      <c r="FU607" s="137"/>
      <c r="FV607" s="137"/>
      <c r="FW607" s="3"/>
      <c r="FX607" s="138"/>
      <c r="FY607" s="2"/>
      <c r="FZ607" s="139"/>
      <c r="GA607" s="3"/>
      <c r="GB607" s="3"/>
      <c r="GC607" s="3"/>
      <c r="GD607" s="3"/>
      <c r="GE607" s="3"/>
      <c r="GF607" s="3"/>
      <c r="GG607" s="3"/>
      <c r="GH607" s="3"/>
      <c r="GI607" s="3"/>
      <c r="GJ607" s="3"/>
      <c r="GK607" s="131"/>
      <c r="GL607" s="15"/>
      <c r="GM607" s="99"/>
      <c r="GN607" s="149"/>
      <c r="GO607" s="134"/>
      <c r="GP607" s="134"/>
      <c r="GQ607" s="137"/>
      <c r="GR607" s="150"/>
      <c r="GS607" s="137"/>
      <c r="GT607" s="137"/>
      <c r="GU607" s="3"/>
      <c r="GV607" s="138"/>
      <c r="GW607" s="2"/>
      <c r="GX607" s="139"/>
      <c r="GY607" s="3"/>
      <c r="GZ607" s="3"/>
      <c r="HA607" s="3"/>
      <c r="HB607" s="3"/>
      <c r="HC607" s="3"/>
      <c r="HD607" s="3"/>
      <c r="HE607" s="3"/>
      <c r="HF607" s="3"/>
      <c r="HG607" s="3"/>
      <c r="HH607" s="3"/>
      <c r="HI607" s="131"/>
      <c r="HJ607" s="15"/>
      <c r="HK607" s="99"/>
      <c r="HL607" s="149"/>
      <c r="HM607" s="134"/>
      <c r="HN607" s="134"/>
      <c r="HO607" s="137"/>
      <c r="HP607" s="150"/>
      <c r="HQ607" s="137"/>
      <c r="HR607" s="137"/>
      <c r="HS607" s="3"/>
      <c r="HT607" s="138"/>
      <c r="HU607" s="2"/>
      <c r="HV607" s="139"/>
      <c r="HW607" s="3"/>
      <c r="HX607" s="3"/>
      <c r="HY607" s="3"/>
      <c r="HZ607" s="3"/>
      <c r="IA607" s="3"/>
      <c r="IB607" s="3"/>
      <c r="IC607" s="3"/>
      <c r="ID607" s="3"/>
      <c r="IE607" s="3"/>
      <c r="IF607" s="3"/>
      <c r="IG607" s="131"/>
      <c r="IH607" s="15"/>
      <c r="II607" s="99"/>
      <c r="IJ607" s="149"/>
      <c r="IK607" s="134"/>
      <c r="IL607" s="134"/>
      <c r="IM607" s="137"/>
      <c r="IN607" s="150"/>
      <c r="IO607" s="137"/>
      <c r="IP607" s="137"/>
      <c r="IQ607" s="3"/>
      <c r="IR607" s="138"/>
      <c r="IS607" s="2"/>
      <c r="IT607" s="139"/>
      <c r="IU607" s="3"/>
      <c r="IV607" s="3"/>
    </row>
    <row r="608" spans="1:256" s="125" customFormat="1" ht="13.5" customHeight="1">
      <c r="A608" s="86"/>
      <c r="B608" s="56"/>
      <c r="C608" s="18" t="s">
        <v>157</v>
      </c>
      <c r="D608" s="19"/>
      <c r="E608" s="20" t="s">
        <v>662</v>
      </c>
      <c r="F608" s="62" t="s">
        <v>812</v>
      </c>
      <c r="G608" s="63"/>
      <c r="H608" s="121"/>
      <c r="I608" s="24"/>
      <c r="J608" s="24">
        <v>9524</v>
      </c>
      <c r="K608" s="24">
        <f t="shared" si="54"/>
        <v>9524</v>
      </c>
      <c r="L608" s="123"/>
      <c r="M608" s="24">
        <v>9524</v>
      </c>
      <c r="N608" s="124">
        <f t="shared" si="55"/>
        <v>0</v>
      </c>
      <c r="O608" s="87"/>
      <c r="P608" s="3"/>
      <c r="Q608" s="140"/>
      <c r="R608" s="3"/>
      <c r="S608" s="3"/>
      <c r="T608" s="3"/>
      <c r="U608" s="3"/>
      <c r="V608" s="3"/>
      <c r="W608" s="3"/>
      <c r="X608" s="3"/>
      <c r="Y608" s="131"/>
      <c r="Z608" s="15"/>
      <c r="AA608" s="99"/>
      <c r="AB608" s="149"/>
      <c r="AC608" s="134"/>
      <c r="AD608" s="134"/>
      <c r="AE608" s="137"/>
      <c r="AF608" s="150"/>
      <c r="AG608" s="137"/>
      <c r="AH608" s="137"/>
      <c r="AI608" s="3"/>
      <c r="AJ608" s="138"/>
      <c r="AK608" s="2"/>
      <c r="AL608" s="139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131"/>
      <c r="AX608" s="15"/>
      <c r="AY608" s="99"/>
      <c r="AZ608" s="149"/>
      <c r="BA608" s="134"/>
      <c r="BB608" s="134"/>
      <c r="BC608" s="137"/>
      <c r="BD608" s="150"/>
      <c r="BE608" s="137"/>
      <c r="BF608" s="137"/>
      <c r="BG608" s="3"/>
      <c r="BH608" s="138"/>
      <c r="BI608" s="2"/>
      <c r="BJ608" s="139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131"/>
      <c r="BV608" s="15"/>
      <c r="BW608" s="99"/>
      <c r="BX608" s="149"/>
      <c r="BY608" s="134"/>
      <c r="BZ608" s="134"/>
      <c r="CA608" s="137"/>
      <c r="CB608" s="150"/>
      <c r="CC608" s="137"/>
      <c r="CD608" s="137"/>
      <c r="CE608" s="3"/>
      <c r="CF608" s="138"/>
      <c r="CG608" s="2"/>
      <c r="CH608" s="139"/>
      <c r="CI608" s="3"/>
      <c r="CJ608" s="3"/>
      <c r="CK608" s="3"/>
      <c r="CL608" s="3"/>
      <c r="CM608" s="3"/>
      <c r="CN608" s="3"/>
      <c r="CO608" s="3"/>
      <c r="CP608" s="3"/>
      <c r="CQ608" s="3"/>
      <c r="CR608" s="3"/>
      <c r="CS608" s="131"/>
      <c r="CT608" s="15"/>
      <c r="CU608" s="99"/>
      <c r="CV608" s="149"/>
      <c r="CW608" s="134"/>
      <c r="CX608" s="134"/>
      <c r="CY608" s="137"/>
      <c r="CZ608" s="150"/>
      <c r="DA608" s="137"/>
      <c r="DB608" s="137"/>
      <c r="DC608" s="3"/>
      <c r="DD608" s="138"/>
      <c r="DE608" s="2"/>
      <c r="DF608" s="139"/>
      <c r="DG608" s="3"/>
      <c r="DH608" s="3"/>
      <c r="DI608" s="3"/>
      <c r="DJ608" s="3"/>
      <c r="DK608" s="3"/>
      <c r="DL608" s="3"/>
      <c r="DM608" s="3"/>
      <c r="DN608" s="3"/>
      <c r="DO608" s="3"/>
      <c r="DP608" s="3"/>
      <c r="DQ608" s="131"/>
      <c r="DR608" s="15"/>
      <c r="DS608" s="99"/>
      <c r="DT608" s="149"/>
      <c r="DU608" s="134"/>
      <c r="DV608" s="134"/>
      <c r="DW608" s="137"/>
      <c r="DX608" s="150"/>
      <c r="DY608" s="137"/>
      <c r="DZ608" s="137"/>
      <c r="EA608" s="3"/>
      <c r="EB608" s="138"/>
      <c r="EC608" s="2"/>
      <c r="ED608" s="139"/>
      <c r="EE608" s="3"/>
      <c r="EF608" s="3"/>
      <c r="EG608" s="3"/>
      <c r="EH608" s="3"/>
      <c r="EI608" s="3"/>
      <c r="EJ608" s="3"/>
      <c r="EK608" s="3"/>
      <c r="EL608" s="3"/>
      <c r="EM608" s="3"/>
      <c r="EN608" s="3"/>
      <c r="EO608" s="131"/>
      <c r="EP608" s="15"/>
      <c r="EQ608" s="99"/>
      <c r="ER608" s="149"/>
      <c r="ES608" s="134"/>
      <c r="ET608" s="134"/>
      <c r="EU608" s="137"/>
      <c r="EV608" s="150"/>
      <c r="EW608" s="137"/>
      <c r="EX608" s="137"/>
      <c r="EY608" s="3"/>
      <c r="EZ608" s="138"/>
      <c r="FA608" s="2"/>
      <c r="FB608" s="139"/>
      <c r="FC608" s="3"/>
      <c r="FD608" s="3"/>
      <c r="FE608" s="3"/>
      <c r="FF608" s="3"/>
      <c r="FG608" s="3"/>
      <c r="FH608" s="3"/>
      <c r="FI608" s="3"/>
      <c r="FJ608" s="3"/>
      <c r="FK608" s="3"/>
      <c r="FL608" s="3"/>
      <c r="FM608" s="131"/>
      <c r="FN608" s="15"/>
      <c r="FO608" s="99"/>
      <c r="FP608" s="149"/>
      <c r="FQ608" s="134"/>
      <c r="FR608" s="134"/>
      <c r="FS608" s="137"/>
      <c r="FT608" s="150"/>
      <c r="FU608" s="137"/>
      <c r="FV608" s="137"/>
      <c r="FW608" s="3"/>
      <c r="FX608" s="138"/>
      <c r="FY608" s="2"/>
      <c r="FZ608" s="139"/>
      <c r="GA608" s="3"/>
      <c r="GB608" s="3"/>
      <c r="GC608" s="3"/>
      <c r="GD608" s="3"/>
      <c r="GE608" s="3"/>
      <c r="GF608" s="3"/>
      <c r="GG608" s="3"/>
      <c r="GH608" s="3"/>
      <c r="GI608" s="3"/>
      <c r="GJ608" s="3"/>
      <c r="GK608" s="131"/>
      <c r="GL608" s="15"/>
      <c r="GM608" s="99"/>
      <c r="GN608" s="149"/>
      <c r="GO608" s="134"/>
      <c r="GP608" s="134"/>
      <c r="GQ608" s="137"/>
      <c r="GR608" s="150"/>
      <c r="GS608" s="137"/>
      <c r="GT608" s="137"/>
      <c r="GU608" s="3"/>
      <c r="GV608" s="138"/>
      <c r="GW608" s="2"/>
      <c r="GX608" s="139"/>
      <c r="GY608" s="3"/>
      <c r="GZ608" s="3"/>
      <c r="HA608" s="3"/>
      <c r="HB608" s="3"/>
      <c r="HC608" s="3"/>
      <c r="HD608" s="3"/>
      <c r="HE608" s="3"/>
      <c r="HF608" s="3"/>
      <c r="HG608" s="3"/>
      <c r="HH608" s="3"/>
      <c r="HI608" s="131"/>
      <c r="HJ608" s="15"/>
      <c r="HK608" s="99"/>
      <c r="HL608" s="149"/>
      <c r="HM608" s="134"/>
      <c r="HN608" s="134"/>
      <c r="HO608" s="137"/>
      <c r="HP608" s="150"/>
      <c r="HQ608" s="137"/>
      <c r="HR608" s="137"/>
      <c r="HS608" s="3"/>
      <c r="HT608" s="138"/>
      <c r="HU608" s="2"/>
      <c r="HV608" s="139"/>
      <c r="HW608" s="3"/>
      <c r="HX608" s="3"/>
      <c r="HY608" s="3"/>
      <c r="HZ608" s="3"/>
      <c r="IA608" s="3"/>
      <c r="IB608" s="3"/>
      <c r="IC608" s="3"/>
      <c r="ID608" s="3"/>
      <c r="IE608" s="3"/>
      <c r="IF608" s="3"/>
      <c r="IG608" s="131"/>
      <c r="IH608" s="15"/>
      <c r="II608" s="99"/>
      <c r="IJ608" s="149"/>
      <c r="IK608" s="134"/>
      <c r="IL608" s="134"/>
      <c r="IM608" s="137"/>
      <c r="IN608" s="150"/>
      <c r="IO608" s="137"/>
      <c r="IP608" s="137"/>
      <c r="IQ608" s="3"/>
      <c r="IR608" s="138"/>
      <c r="IS608" s="2"/>
      <c r="IT608" s="139"/>
      <c r="IU608" s="3"/>
      <c r="IV608" s="3"/>
    </row>
    <row r="609" spans="1:256" s="125" customFormat="1" ht="13.5" customHeight="1">
      <c r="A609" s="86"/>
      <c r="B609" s="56"/>
      <c r="C609" s="18" t="s">
        <v>157</v>
      </c>
      <c r="D609" s="19"/>
      <c r="E609" s="20" t="s">
        <v>500</v>
      </c>
      <c r="F609" s="62" t="s">
        <v>813</v>
      </c>
      <c r="G609" s="63"/>
      <c r="H609" s="121"/>
      <c r="I609" s="24"/>
      <c r="J609" s="24">
        <v>22571</v>
      </c>
      <c r="K609" s="24">
        <f t="shared" si="54"/>
        <v>22571</v>
      </c>
      <c r="L609" s="123"/>
      <c r="M609" s="24">
        <v>22571</v>
      </c>
      <c r="N609" s="124">
        <f t="shared" si="55"/>
        <v>0</v>
      </c>
      <c r="O609" s="87"/>
      <c r="P609" s="3"/>
      <c r="Q609" s="140"/>
      <c r="R609" s="3"/>
      <c r="S609" s="3"/>
      <c r="T609" s="3"/>
      <c r="U609" s="3"/>
      <c r="V609" s="3"/>
      <c r="W609" s="3"/>
      <c r="X609" s="3"/>
      <c r="Y609" s="131"/>
      <c r="Z609" s="15"/>
      <c r="AA609" s="99"/>
      <c r="AB609" s="149"/>
      <c r="AC609" s="134"/>
      <c r="AD609" s="134"/>
      <c r="AE609" s="137"/>
      <c r="AF609" s="150"/>
      <c r="AG609" s="137"/>
      <c r="AH609" s="137"/>
      <c r="AI609" s="3"/>
      <c r="AJ609" s="138"/>
      <c r="AK609" s="2"/>
      <c r="AL609" s="139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131"/>
      <c r="AX609" s="15"/>
      <c r="AY609" s="99"/>
      <c r="AZ609" s="149"/>
      <c r="BA609" s="134"/>
      <c r="BB609" s="134"/>
      <c r="BC609" s="137"/>
      <c r="BD609" s="150"/>
      <c r="BE609" s="137"/>
      <c r="BF609" s="137"/>
      <c r="BG609" s="3"/>
      <c r="BH609" s="138"/>
      <c r="BI609" s="2"/>
      <c r="BJ609" s="139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131"/>
      <c r="BV609" s="15"/>
      <c r="BW609" s="99"/>
      <c r="BX609" s="149"/>
      <c r="BY609" s="134"/>
      <c r="BZ609" s="134"/>
      <c r="CA609" s="137"/>
      <c r="CB609" s="150"/>
      <c r="CC609" s="137"/>
      <c r="CD609" s="137"/>
      <c r="CE609" s="3"/>
      <c r="CF609" s="138"/>
      <c r="CG609" s="2"/>
      <c r="CH609" s="139"/>
      <c r="CI609" s="3"/>
      <c r="CJ609" s="3"/>
      <c r="CK609" s="3"/>
      <c r="CL609" s="3"/>
      <c r="CM609" s="3"/>
      <c r="CN609" s="3"/>
      <c r="CO609" s="3"/>
      <c r="CP609" s="3"/>
      <c r="CQ609" s="3"/>
      <c r="CR609" s="3"/>
      <c r="CS609" s="131"/>
      <c r="CT609" s="15"/>
      <c r="CU609" s="99"/>
      <c r="CV609" s="149"/>
      <c r="CW609" s="134"/>
      <c r="CX609" s="134"/>
      <c r="CY609" s="137"/>
      <c r="CZ609" s="150"/>
      <c r="DA609" s="137"/>
      <c r="DB609" s="137"/>
      <c r="DC609" s="3"/>
      <c r="DD609" s="138"/>
      <c r="DE609" s="2"/>
      <c r="DF609" s="139"/>
      <c r="DG609" s="3"/>
      <c r="DH609" s="3"/>
      <c r="DI609" s="3"/>
      <c r="DJ609" s="3"/>
      <c r="DK609" s="3"/>
      <c r="DL609" s="3"/>
      <c r="DM609" s="3"/>
      <c r="DN609" s="3"/>
      <c r="DO609" s="3"/>
      <c r="DP609" s="3"/>
      <c r="DQ609" s="131"/>
      <c r="DR609" s="15"/>
      <c r="DS609" s="99"/>
      <c r="DT609" s="149"/>
      <c r="DU609" s="134"/>
      <c r="DV609" s="134"/>
      <c r="DW609" s="137"/>
      <c r="DX609" s="150"/>
      <c r="DY609" s="137"/>
      <c r="DZ609" s="137"/>
      <c r="EA609" s="3"/>
      <c r="EB609" s="138"/>
      <c r="EC609" s="2"/>
      <c r="ED609" s="139"/>
      <c r="EE609" s="3"/>
      <c r="EF609" s="3"/>
      <c r="EG609" s="3"/>
      <c r="EH609" s="3"/>
      <c r="EI609" s="3"/>
      <c r="EJ609" s="3"/>
      <c r="EK609" s="3"/>
      <c r="EL609" s="3"/>
      <c r="EM609" s="3"/>
      <c r="EN609" s="3"/>
      <c r="EO609" s="131"/>
      <c r="EP609" s="15"/>
      <c r="EQ609" s="99"/>
      <c r="ER609" s="149"/>
      <c r="ES609" s="134"/>
      <c r="ET609" s="134"/>
      <c r="EU609" s="137"/>
      <c r="EV609" s="150"/>
      <c r="EW609" s="137"/>
      <c r="EX609" s="137"/>
      <c r="EY609" s="3"/>
      <c r="EZ609" s="138"/>
      <c r="FA609" s="2"/>
      <c r="FB609" s="139"/>
      <c r="FC609" s="3"/>
      <c r="FD609" s="3"/>
      <c r="FE609" s="3"/>
      <c r="FF609" s="3"/>
      <c r="FG609" s="3"/>
      <c r="FH609" s="3"/>
      <c r="FI609" s="3"/>
      <c r="FJ609" s="3"/>
      <c r="FK609" s="3"/>
      <c r="FL609" s="3"/>
      <c r="FM609" s="131"/>
      <c r="FN609" s="15"/>
      <c r="FO609" s="99"/>
      <c r="FP609" s="149"/>
      <c r="FQ609" s="134"/>
      <c r="FR609" s="134"/>
      <c r="FS609" s="137"/>
      <c r="FT609" s="150"/>
      <c r="FU609" s="137"/>
      <c r="FV609" s="137"/>
      <c r="FW609" s="3"/>
      <c r="FX609" s="138"/>
      <c r="FY609" s="2"/>
      <c r="FZ609" s="139"/>
      <c r="GA609" s="3"/>
      <c r="GB609" s="3"/>
      <c r="GC609" s="3"/>
      <c r="GD609" s="3"/>
      <c r="GE609" s="3"/>
      <c r="GF609" s="3"/>
      <c r="GG609" s="3"/>
      <c r="GH609" s="3"/>
      <c r="GI609" s="3"/>
      <c r="GJ609" s="3"/>
      <c r="GK609" s="131"/>
      <c r="GL609" s="15"/>
      <c r="GM609" s="99"/>
      <c r="GN609" s="149"/>
      <c r="GO609" s="134"/>
      <c r="GP609" s="134"/>
      <c r="GQ609" s="137"/>
      <c r="GR609" s="150"/>
      <c r="GS609" s="137"/>
      <c r="GT609" s="137"/>
      <c r="GU609" s="3"/>
      <c r="GV609" s="138"/>
      <c r="GW609" s="2"/>
      <c r="GX609" s="139"/>
      <c r="GY609" s="3"/>
      <c r="GZ609" s="3"/>
      <c r="HA609" s="3"/>
      <c r="HB609" s="3"/>
      <c r="HC609" s="3"/>
      <c r="HD609" s="3"/>
      <c r="HE609" s="3"/>
      <c r="HF609" s="3"/>
      <c r="HG609" s="3"/>
      <c r="HH609" s="3"/>
      <c r="HI609" s="131"/>
      <c r="HJ609" s="15"/>
      <c r="HK609" s="99"/>
      <c r="HL609" s="149"/>
      <c r="HM609" s="134"/>
      <c r="HN609" s="134"/>
      <c r="HO609" s="137"/>
      <c r="HP609" s="150"/>
      <c r="HQ609" s="137"/>
      <c r="HR609" s="137"/>
      <c r="HS609" s="3"/>
      <c r="HT609" s="138"/>
      <c r="HU609" s="2"/>
      <c r="HV609" s="139"/>
      <c r="HW609" s="3"/>
      <c r="HX609" s="3"/>
      <c r="HY609" s="3"/>
      <c r="HZ609" s="3"/>
      <c r="IA609" s="3"/>
      <c r="IB609" s="3"/>
      <c r="IC609" s="3"/>
      <c r="ID609" s="3"/>
      <c r="IE609" s="3"/>
      <c r="IF609" s="3"/>
      <c r="IG609" s="131"/>
      <c r="IH609" s="15"/>
      <c r="II609" s="99"/>
      <c r="IJ609" s="149"/>
      <c r="IK609" s="134"/>
      <c r="IL609" s="134"/>
      <c r="IM609" s="137"/>
      <c r="IN609" s="150"/>
      <c r="IO609" s="137"/>
      <c r="IP609" s="137"/>
      <c r="IQ609" s="3"/>
      <c r="IR609" s="138"/>
      <c r="IS609" s="2"/>
      <c r="IT609" s="139"/>
      <c r="IU609" s="3"/>
      <c r="IV609" s="3"/>
    </row>
    <row r="610" spans="1:256" s="125" customFormat="1" ht="13.5" customHeight="1">
      <c r="A610" s="86"/>
      <c r="B610" s="56"/>
      <c r="C610" s="18" t="s">
        <v>157</v>
      </c>
      <c r="D610" s="19"/>
      <c r="E610" s="20" t="s">
        <v>500</v>
      </c>
      <c r="F610" s="62" t="s">
        <v>814</v>
      </c>
      <c r="G610" s="63"/>
      <c r="H610" s="121"/>
      <c r="I610" s="24"/>
      <c r="J610" s="24">
        <v>19333</v>
      </c>
      <c r="K610" s="24">
        <f t="shared" si="54"/>
        <v>19333</v>
      </c>
      <c r="L610" s="123"/>
      <c r="M610" s="24">
        <v>19333</v>
      </c>
      <c r="N610" s="124">
        <f t="shared" si="55"/>
        <v>0</v>
      </c>
      <c r="O610" s="87"/>
      <c r="P610" s="3"/>
      <c r="Q610" s="140"/>
      <c r="R610" s="3"/>
      <c r="S610" s="3"/>
      <c r="T610" s="3"/>
      <c r="U610" s="3"/>
      <c r="V610" s="3"/>
      <c r="W610" s="3"/>
      <c r="X610" s="3"/>
      <c r="Y610" s="131"/>
      <c r="Z610" s="15"/>
      <c r="AA610" s="99"/>
      <c r="AB610" s="149"/>
      <c r="AC610" s="134"/>
      <c r="AD610" s="134"/>
      <c r="AE610" s="137"/>
      <c r="AF610" s="150"/>
      <c r="AG610" s="137"/>
      <c r="AH610" s="137"/>
      <c r="AI610" s="3"/>
      <c r="AJ610" s="138"/>
      <c r="AK610" s="2"/>
      <c r="AL610" s="139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131"/>
      <c r="AX610" s="15"/>
      <c r="AY610" s="99"/>
      <c r="AZ610" s="149"/>
      <c r="BA610" s="134"/>
      <c r="BB610" s="134"/>
      <c r="BC610" s="137"/>
      <c r="BD610" s="150"/>
      <c r="BE610" s="137"/>
      <c r="BF610" s="137"/>
      <c r="BG610" s="3"/>
      <c r="BH610" s="138"/>
      <c r="BI610" s="2"/>
      <c r="BJ610" s="139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131"/>
      <c r="BV610" s="15"/>
      <c r="BW610" s="99"/>
      <c r="BX610" s="149"/>
      <c r="BY610" s="134"/>
      <c r="BZ610" s="134"/>
      <c r="CA610" s="137"/>
      <c r="CB610" s="150"/>
      <c r="CC610" s="137"/>
      <c r="CD610" s="137"/>
      <c r="CE610" s="3"/>
      <c r="CF610" s="138"/>
      <c r="CG610" s="2"/>
      <c r="CH610" s="139"/>
      <c r="CI610" s="3"/>
      <c r="CJ610" s="3"/>
      <c r="CK610" s="3"/>
      <c r="CL610" s="3"/>
      <c r="CM610" s="3"/>
      <c r="CN610" s="3"/>
      <c r="CO610" s="3"/>
      <c r="CP610" s="3"/>
      <c r="CQ610" s="3"/>
      <c r="CR610" s="3"/>
      <c r="CS610" s="131"/>
      <c r="CT610" s="15"/>
      <c r="CU610" s="99"/>
      <c r="CV610" s="149"/>
      <c r="CW610" s="134"/>
      <c r="CX610" s="134"/>
      <c r="CY610" s="137"/>
      <c r="CZ610" s="150"/>
      <c r="DA610" s="137"/>
      <c r="DB610" s="137"/>
      <c r="DC610" s="3"/>
      <c r="DD610" s="138"/>
      <c r="DE610" s="2"/>
      <c r="DF610" s="139"/>
      <c r="DG610" s="3"/>
      <c r="DH610" s="3"/>
      <c r="DI610" s="3"/>
      <c r="DJ610" s="3"/>
      <c r="DK610" s="3"/>
      <c r="DL610" s="3"/>
      <c r="DM610" s="3"/>
      <c r="DN610" s="3"/>
      <c r="DO610" s="3"/>
      <c r="DP610" s="3"/>
      <c r="DQ610" s="131"/>
      <c r="DR610" s="15"/>
      <c r="DS610" s="99"/>
      <c r="DT610" s="149"/>
      <c r="DU610" s="134"/>
      <c r="DV610" s="134"/>
      <c r="DW610" s="137"/>
      <c r="DX610" s="150"/>
      <c r="DY610" s="137"/>
      <c r="DZ610" s="137"/>
      <c r="EA610" s="3"/>
      <c r="EB610" s="138"/>
      <c r="EC610" s="2"/>
      <c r="ED610" s="139"/>
      <c r="EE610" s="3"/>
      <c r="EF610" s="3"/>
      <c r="EG610" s="3"/>
      <c r="EH610" s="3"/>
      <c r="EI610" s="3"/>
      <c r="EJ610" s="3"/>
      <c r="EK610" s="3"/>
      <c r="EL610" s="3"/>
      <c r="EM610" s="3"/>
      <c r="EN610" s="3"/>
      <c r="EO610" s="131"/>
      <c r="EP610" s="15"/>
      <c r="EQ610" s="99"/>
      <c r="ER610" s="149"/>
      <c r="ES610" s="134"/>
      <c r="ET610" s="134"/>
      <c r="EU610" s="137"/>
      <c r="EV610" s="150"/>
      <c r="EW610" s="137"/>
      <c r="EX610" s="137"/>
      <c r="EY610" s="3"/>
      <c r="EZ610" s="138"/>
      <c r="FA610" s="2"/>
      <c r="FB610" s="139"/>
      <c r="FC610" s="3"/>
      <c r="FD610" s="3"/>
      <c r="FE610" s="3"/>
      <c r="FF610" s="3"/>
      <c r="FG610" s="3"/>
      <c r="FH610" s="3"/>
      <c r="FI610" s="3"/>
      <c r="FJ610" s="3"/>
      <c r="FK610" s="3"/>
      <c r="FL610" s="3"/>
      <c r="FM610" s="131"/>
      <c r="FN610" s="15"/>
      <c r="FO610" s="99"/>
      <c r="FP610" s="149"/>
      <c r="FQ610" s="134"/>
      <c r="FR610" s="134"/>
      <c r="FS610" s="137"/>
      <c r="FT610" s="150"/>
      <c r="FU610" s="137"/>
      <c r="FV610" s="137"/>
      <c r="FW610" s="3"/>
      <c r="FX610" s="138"/>
      <c r="FY610" s="2"/>
      <c r="FZ610" s="139"/>
      <c r="GA610" s="3"/>
      <c r="GB610" s="3"/>
      <c r="GC610" s="3"/>
      <c r="GD610" s="3"/>
      <c r="GE610" s="3"/>
      <c r="GF610" s="3"/>
      <c r="GG610" s="3"/>
      <c r="GH610" s="3"/>
      <c r="GI610" s="3"/>
      <c r="GJ610" s="3"/>
      <c r="GK610" s="131"/>
      <c r="GL610" s="15"/>
      <c r="GM610" s="99"/>
      <c r="GN610" s="149"/>
      <c r="GO610" s="134"/>
      <c r="GP610" s="134"/>
      <c r="GQ610" s="137"/>
      <c r="GR610" s="150"/>
      <c r="GS610" s="137"/>
      <c r="GT610" s="137"/>
      <c r="GU610" s="3"/>
      <c r="GV610" s="138"/>
      <c r="GW610" s="2"/>
      <c r="GX610" s="139"/>
      <c r="GY610" s="3"/>
      <c r="GZ610" s="3"/>
      <c r="HA610" s="3"/>
      <c r="HB610" s="3"/>
      <c r="HC610" s="3"/>
      <c r="HD610" s="3"/>
      <c r="HE610" s="3"/>
      <c r="HF610" s="3"/>
      <c r="HG610" s="3"/>
      <c r="HH610" s="3"/>
      <c r="HI610" s="131"/>
      <c r="HJ610" s="15"/>
      <c r="HK610" s="99"/>
      <c r="HL610" s="149"/>
      <c r="HM610" s="134"/>
      <c r="HN610" s="134"/>
      <c r="HO610" s="137"/>
      <c r="HP610" s="150"/>
      <c r="HQ610" s="137"/>
      <c r="HR610" s="137"/>
      <c r="HS610" s="3"/>
      <c r="HT610" s="138"/>
      <c r="HU610" s="2"/>
      <c r="HV610" s="139"/>
      <c r="HW610" s="3"/>
      <c r="HX610" s="3"/>
      <c r="HY610" s="3"/>
      <c r="HZ610" s="3"/>
      <c r="IA610" s="3"/>
      <c r="IB610" s="3"/>
      <c r="IC610" s="3"/>
      <c r="ID610" s="3"/>
      <c r="IE610" s="3"/>
      <c r="IF610" s="3"/>
      <c r="IG610" s="131"/>
      <c r="IH610" s="15"/>
      <c r="II610" s="99"/>
      <c r="IJ610" s="149"/>
      <c r="IK610" s="134"/>
      <c r="IL610" s="134"/>
      <c r="IM610" s="137"/>
      <c r="IN610" s="150"/>
      <c r="IO610" s="137"/>
      <c r="IP610" s="137"/>
      <c r="IQ610" s="3"/>
      <c r="IR610" s="138"/>
      <c r="IS610" s="2"/>
      <c r="IT610" s="139"/>
      <c r="IU610" s="3"/>
      <c r="IV610" s="3"/>
    </row>
    <row r="611" spans="1:256" s="125" customFormat="1" ht="13.5" customHeight="1">
      <c r="A611" s="86"/>
      <c r="B611" s="56"/>
      <c r="C611" s="18" t="s">
        <v>157</v>
      </c>
      <c r="D611" s="19"/>
      <c r="E611" s="20" t="s">
        <v>500</v>
      </c>
      <c r="F611" s="62" t="s">
        <v>815</v>
      </c>
      <c r="G611" s="63"/>
      <c r="H611" s="121"/>
      <c r="I611" s="24"/>
      <c r="J611" s="24">
        <v>12286</v>
      </c>
      <c r="K611" s="24">
        <f t="shared" si="54"/>
        <v>12286</v>
      </c>
      <c r="L611" s="123"/>
      <c r="M611" s="24">
        <v>12286</v>
      </c>
      <c r="N611" s="124">
        <f t="shared" si="55"/>
        <v>0</v>
      </c>
      <c r="O611" s="87"/>
      <c r="P611" s="3"/>
      <c r="Q611" s="140"/>
      <c r="R611" s="3"/>
      <c r="S611" s="3"/>
      <c r="T611" s="3"/>
      <c r="U611" s="3"/>
      <c r="V611" s="3"/>
      <c r="W611" s="3"/>
      <c r="X611" s="3"/>
      <c r="Y611" s="131"/>
      <c r="Z611" s="15"/>
      <c r="AA611" s="99"/>
      <c r="AB611" s="149"/>
      <c r="AC611" s="134"/>
      <c r="AD611" s="134"/>
      <c r="AE611" s="137"/>
      <c r="AF611" s="150"/>
      <c r="AG611" s="137"/>
      <c r="AH611" s="137"/>
      <c r="AI611" s="3"/>
      <c r="AJ611" s="138"/>
      <c r="AK611" s="2"/>
      <c r="AL611" s="139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131"/>
      <c r="AX611" s="15"/>
      <c r="AY611" s="99"/>
      <c r="AZ611" s="149"/>
      <c r="BA611" s="134"/>
      <c r="BB611" s="134"/>
      <c r="BC611" s="137"/>
      <c r="BD611" s="150"/>
      <c r="BE611" s="137"/>
      <c r="BF611" s="137"/>
      <c r="BG611" s="3"/>
      <c r="BH611" s="138"/>
      <c r="BI611" s="2"/>
      <c r="BJ611" s="139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131"/>
      <c r="BV611" s="15"/>
      <c r="BW611" s="99"/>
      <c r="BX611" s="149"/>
      <c r="BY611" s="134"/>
      <c r="BZ611" s="134"/>
      <c r="CA611" s="137"/>
      <c r="CB611" s="150"/>
      <c r="CC611" s="137"/>
      <c r="CD611" s="137"/>
      <c r="CE611" s="3"/>
      <c r="CF611" s="138"/>
      <c r="CG611" s="2"/>
      <c r="CH611" s="139"/>
      <c r="CI611" s="3"/>
      <c r="CJ611" s="3"/>
      <c r="CK611" s="3"/>
      <c r="CL611" s="3"/>
      <c r="CM611" s="3"/>
      <c r="CN611" s="3"/>
      <c r="CO611" s="3"/>
      <c r="CP611" s="3"/>
      <c r="CQ611" s="3"/>
      <c r="CR611" s="3"/>
      <c r="CS611" s="131"/>
      <c r="CT611" s="15"/>
      <c r="CU611" s="99"/>
      <c r="CV611" s="149"/>
      <c r="CW611" s="134"/>
      <c r="CX611" s="134"/>
      <c r="CY611" s="137"/>
      <c r="CZ611" s="150"/>
      <c r="DA611" s="137"/>
      <c r="DB611" s="137"/>
      <c r="DC611" s="3"/>
      <c r="DD611" s="138"/>
      <c r="DE611" s="2"/>
      <c r="DF611" s="139"/>
      <c r="DG611" s="3"/>
      <c r="DH611" s="3"/>
      <c r="DI611" s="3"/>
      <c r="DJ611" s="3"/>
      <c r="DK611" s="3"/>
      <c r="DL611" s="3"/>
      <c r="DM611" s="3"/>
      <c r="DN611" s="3"/>
      <c r="DO611" s="3"/>
      <c r="DP611" s="3"/>
      <c r="DQ611" s="131"/>
      <c r="DR611" s="15"/>
      <c r="DS611" s="99"/>
      <c r="DT611" s="149"/>
      <c r="DU611" s="134"/>
      <c r="DV611" s="134"/>
      <c r="DW611" s="137"/>
      <c r="DX611" s="150"/>
      <c r="DY611" s="137"/>
      <c r="DZ611" s="137"/>
      <c r="EA611" s="3"/>
      <c r="EB611" s="138"/>
      <c r="EC611" s="2"/>
      <c r="ED611" s="139"/>
      <c r="EE611" s="3"/>
      <c r="EF611" s="3"/>
      <c r="EG611" s="3"/>
      <c r="EH611" s="3"/>
      <c r="EI611" s="3"/>
      <c r="EJ611" s="3"/>
      <c r="EK611" s="3"/>
      <c r="EL611" s="3"/>
      <c r="EM611" s="3"/>
      <c r="EN611" s="3"/>
      <c r="EO611" s="131"/>
      <c r="EP611" s="15"/>
      <c r="EQ611" s="99"/>
      <c r="ER611" s="149"/>
      <c r="ES611" s="134"/>
      <c r="ET611" s="134"/>
      <c r="EU611" s="137"/>
      <c r="EV611" s="150"/>
      <c r="EW611" s="137"/>
      <c r="EX611" s="137"/>
      <c r="EY611" s="3"/>
      <c r="EZ611" s="138"/>
      <c r="FA611" s="2"/>
      <c r="FB611" s="139"/>
      <c r="FC611" s="3"/>
      <c r="FD611" s="3"/>
      <c r="FE611" s="3"/>
      <c r="FF611" s="3"/>
      <c r="FG611" s="3"/>
      <c r="FH611" s="3"/>
      <c r="FI611" s="3"/>
      <c r="FJ611" s="3"/>
      <c r="FK611" s="3"/>
      <c r="FL611" s="3"/>
      <c r="FM611" s="131"/>
      <c r="FN611" s="15"/>
      <c r="FO611" s="99"/>
      <c r="FP611" s="149"/>
      <c r="FQ611" s="134"/>
      <c r="FR611" s="134"/>
      <c r="FS611" s="137"/>
      <c r="FT611" s="150"/>
      <c r="FU611" s="137"/>
      <c r="FV611" s="137"/>
      <c r="FW611" s="3"/>
      <c r="FX611" s="138"/>
      <c r="FY611" s="2"/>
      <c r="FZ611" s="139"/>
      <c r="GA611" s="3"/>
      <c r="GB611" s="3"/>
      <c r="GC611" s="3"/>
      <c r="GD611" s="3"/>
      <c r="GE611" s="3"/>
      <c r="GF611" s="3"/>
      <c r="GG611" s="3"/>
      <c r="GH611" s="3"/>
      <c r="GI611" s="3"/>
      <c r="GJ611" s="3"/>
      <c r="GK611" s="131"/>
      <c r="GL611" s="15"/>
      <c r="GM611" s="99"/>
      <c r="GN611" s="149"/>
      <c r="GO611" s="134"/>
      <c r="GP611" s="134"/>
      <c r="GQ611" s="137"/>
      <c r="GR611" s="150"/>
      <c r="GS611" s="137"/>
      <c r="GT611" s="137"/>
      <c r="GU611" s="3"/>
      <c r="GV611" s="138"/>
      <c r="GW611" s="2"/>
      <c r="GX611" s="139"/>
      <c r="GY611" s="3"/>
      <c r="GZ611" s="3"/>
      <c r="HA611" s="3"/>
      <c r="HB611" s="3"/>
      <c r="HC611" s="3"/>
      <c r="HD611" s="3"/>
      <c r="HE611" s="3"/>
      <c r="HF611" s="3"/>
      <c r="HG611" s="3"/>
      <c r="HH611" s="3"/>
      <c r="HI611" s="131"/>
      <c r="HJ611" s="15"/>
      <c r="HK611" s="99"/>
      <c r="HL611" s="149"/>
      <c r="HM611" s="134"/>
      <c r="HN611" s="134"/>
      <c r="HO611" s="137"/>
      <c r="HP611" s="150"/>
      <c r="HQ611" s="137"/>
      <c r="HR611" s="137"/>
      <c r="HS611" s="3"/>
      <c r="HT611" s="138"/>
      <c r="HU611" s="2"/>
      <c r="HV611" s="139"/>
      <c r="HW611" s="3"/>
      <c r="HX611" s="3"/>
      <c r="HY611" s="3"/>
      <c r="HZ611" s="3"/>
      <c r="IA611" s="3"/>
      <c r="IB611" s="3"/>
      <c r="IC611" s="3"/>
      <c r="ID611" s="3"/>
      <c r="IE611" s="3"/>
      <c r="IF611" s="3"/>
      <c r="IG611" s="131"/>
      <c r="IH611" s="15"/>
      <c r="II611" s="99"/>
      <c r="IJ611" s="149"/>
      <c r="IK611" s="134"/>
      <c r="IL611" s="134"/>
      <c r="IM611" s="137"/>
      <c r="IN611" s="150"/>
      <c r="IO611" s="137"/>
      <c r="IP611" s="137"/>
      <c r="IQ611" s="3"/>
      <c r="IR611" s="138"/>
      <c r="IS611" s="2"/>
      <c r="IT611" s="139"/>
      <c r="IU611" s="3"/>
      <c r="IV611" s="3"/>
    </row>
    <row r="612" spans="1:256" s="125" customFormat="1" ht="13.5" customHeight="1">
      <c r="A612" s="86"/>
      <c r="B612" s="56"/>
      <c r="C612" s="18" t="s">
        <v>157</v>
      </c>
      <c r="D612" s="19"/>
      <c r="E612" s="20" t="s">
        <v>568</v>
      </c>
      <c r="F612" s="62" t="s">
        <v>816</v>
      </c>
      <c r="G612" s="63"/>
      <c r="H612" s="121"/>
      <c r="I612" s="24"/>
      <c r="J612" s="24">
        <v>28571</v>
      </c>
      <c r="K612" s="24">
        <f t="shared" si="54"/>
        <v>28571</v>
      </c>
      <c r="L612" s="123"/>
      <c r="M612" s="24">
        <v>28571</v>
      </c>
      <c r="N612" s="124">
        <f t="shared" si="55"/>
        <v>0</v>
      </c>
      <c r="O612" s="87"/>
      <c r="P612" s="3"/>
      <c r="Q612" s="140"/>
      <c r="R612" s="3"/>
      <c r="S612" s="3"/>
      <c r="T612" s="3"/>
      <c r="U612" s="3"/>
      <c r="V612" s="3"/>
      <c r="W612" s="3"/>
      <c r="X612" s="3"/>
      <c r="Y612" s="131"/>
      <c r="Z612" s="15"/>
      <c r="AA612" s="99"/>
      <c r="AB612" s="149"/>
      <c r="AC612" s="134"/>
      <c r="AD612" s="134"/>
      <c r="AE612" s="137"/>
      <c r="AF612" s="150"/>
      <c r="AG612" s="137"/>
      <c r="AH612" s="137"/>
      <c r="AI612" s="3"/>
      <c r="AJ612" s="138"/>
      <c r="AK612" s="2"/>
      <c r="AL612" s="139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131"/>
      <c r="AX612" s="15"/>
      <c r="AY612" s="99"/>
      <c r="AZ612" s="149"/>
      <c r="BA612" s="134"/>
      <c r="BB612" s="134"/>
      <c r="BC612" s="137"/>
      <c r="BD612" s="150"/>
      <c r="BE612" s="137"/>
      <c r="BF612" s="137"/>
      <c r="BG612" s="3"/>
      <c r="BH612" s="138"/>
      <c r="BI612" s="2"/>
      <c r="BJ612" s="139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131"/>
      <c r="BV612" s="15"/>
      <c r="BW612" s="99"/>
      <c r="BX612" s="149"/>
      <c r="BY612" s="134"/>
      <c r="BZ612" s="134"/>
      <c r="CA612" s="137"/>
      <c r="CB612" s="150"/>
      <c r="CC612" s="137"/>
      <c r="CD612" s="137"/>
      <c r="CE612" s="3"/>
      <c r="CF612" s="138"/>
      <c r="CG612" s="2"/>
      <c r="CH612" s="139"/>
      <c r="CI612" s="3"/>
      <c r="CJ612" s="3"/>
      <c r="CK612" s="3"/>
      <c r="CL612" s="3"/>
      <c r="CM612" s="3"/>
      <c r="CN612" s="3"/>
      <c r="CO612" s="3"/>
      <c r="CP612" s="3"/>
      <c r="CQ612" s="3"/>
      <c r="CR612" s="3"/>
      <c r="CS612" s="131"/>
      <c r="CT612" s="15"/>
      <c r="CU612" s="99"/>
      <c r="CV612" s="149"/>
      <c r="CW612" s="134"/>
      <c r="CX612" s="134"/>
      <c r="CY612" s="137"/>
      <c r="CZ612" s="150"/>
      <c r="DA612" s="137"/>
      <c r="DB612" s="137"/>
      <c r="DC612" s="3"/>
      <c r="DD612" s="138"/>
      <c r="DE612" s="2"/>
      <c r="DF612" s="139"/>
      <c r="DG612" s="3"/>
      <c r="DH612" s="3"/>
      <c r="DI612" s="3"/>
      <c r="DJ612" s="3"/>
      <c r="DK612" s="3"/>
      <c r="DL612" s="3"/>
      <c r="DM612" s="3"/>
      <c r="DN612" s="3"/>
      <c r="DO612" s="3"/>
      <c r="DP612" s="3"/>
      <c r="DQ612" s="131"/>
      <c r="DR612" s="15"/>
      <c r="DS612" s="99"/>
      <c r="DT612" s="149"/>
      <c r="DU612" s="134"/>
      <c r="DV612" s="134"/>
      <c r="DW612" s="137"/>
      <c r="DX612" s="150"/>
      <c r="DY612" s="137"/>
      <c r="DZ612" s="137"/>
      <c r="EA612" s="3"/>
      <c r="EB612" s="138"/>
      <c r="EC612" s="2"/>
      <c r="ED612" s="139"/>
      <c r="EE612" s="3"/>
      <c r="EF612" s="3"/>
      <c r="EG612" s="3"/>
      <c r="EH612" s="3"/>
      <c r="EI612" s="3"/>
      <c r="EJ612" s="3"/>
      <c r="EK612" s="3"/>
      <c r="EL612" s="3"/>
      <c r="EM612" s="3"/>
      <c r="EN612" s="3"/>
      <c r="EO612" s="131"/>
      <c r="EP612" s="15"/>
      <c r="EQ612" s="99"/>
      <c r="ER612" s="149"/>
      <c r="ES612" s="134"/>
      <c r="ET612" s="134"/>
      <c r="EU612" s="137"/>
      <c r="EV612" s="150"/>
      <c r="EW612" s="137"/>
      <c r="EX612" s="137"/>
      <c r="EY612" s="3"/>
      <c r="EZ612" s="138"/>
      <c r="FA612" s="2"/>
      <c r="FB612" s="139"/>
      <c r="FC612" s="3"/>
      <c r="FD612" s="3"/>
      <c r="FE612" s="3"/>
      <c r="FF612" s="3"/>
      <c r="FG612" s="3"/>
      <c r="FH612" s="3"/>
      <c r="FI612" s="3"/>
      <c r="FJ612" s="3"/>
      <c r="FK612" s="3"/>
      <c r="FL612" s="3"/>
      <c r="FM612" s="131"/>
      <c r="FN612" s="15"/>
      <c r="FO612" s="99"/>
      <c r="FP612" s="149"/>
      <c r="FQ612" s="134"/>
      <c r="FR612" s="134"/>
      <c r="FS612" s="137"/>
      <c r="FT612" s="150"/>
      <c r="FU612" s="137"/>
      <c r="FV612" s="137"/>
      <c r="FW612" s="3"/>
      <c r="FX612" s="138"/>
      <c r="FY612" s="2"/>
      <c r="FZ612" s="139"/>
      <c r="GA612" s="3"/>
      <c r="GB612" s="3"/>
      <c r="GC612" s="3"/>
      <c r="GD612" s="3"/>
      <c r="GE612" s="3"/>
      <c r="GF612" s="3"/>
      <c r="GG612" s="3"/>
      <c r="GH612" s="3"/>
      <c r="GI612" s="3"/>
      <c r="GJ612" s="3"/>
      <c r="GK612" s="131"/>
      <c r="GL612" s="15"/>
      <c r="GM612" s="99"/>
      <c r="GN612" s="149"/>
      <c r="GO612" s="134"/>
      <c r="GP612" s="134"/>
      <c r="GQ612" s="137"/>
      <c r="GR612" s="150"/>
      <c r="GS612" s="137"/>
      <c r="GT612" s="137"/>
      <c r="GU612" s="3"/>
      <c r="GV612" s="138"/>
      <c r="GW612" s="2"/>
      <c r="GX612" s="139"/>
      <c r="GY612" s="3"/>
      <c r="GZ612" s="3"/>
      <c r="HA612" s="3"/>
      <c r="HB612" s="3"/>
      <c r="HC612" s="3"/>
      <c r="HD612" s="3"/>
      <c r="HE612" s="3"/>
      <c r="HF612" s="3"/>
      <c r="HG612" s="3"/>
      <c r="HH612" s="3"/>
      <c r="HI612" s="131"/>
      <c r="HJ612" s="15"/>
      <c r="HK612" s="99"/>
      <c r="HL612" s="149"/>
      <c r="HM612" s="134"/>
      <c r="HN612" s="134"/>
      <c r="HO612" s="137"/>
      <c r="HP612" s="150"/>
      <c r="HQ612" s="137"/>
      <c r="HR612" s="137"/>
      <c r="HS612" s="3"/>
      <c r="HT612" s="138"/>
      <c r="HU612" s="2"/>
      <c r="HV612" s="139"/>
      <c r="HW612" s="3"/>
      <c r="HX612" s="3"/>
      <c r="HY612" s="3"/>
      <c r="HZ612" s="3"/>
      <c r="IA612" s="3"/>
      <c r="IB612" s="3"/>
      <c r="IC612" s="3"/>
      <c r="ID612" s="3"/>
      <c r="IE612" s="3"/>
      <c r="IF612" s="3"/>
      <c r="IG612" s="131"/>
      <c r="IH612" s="15"/>
      <c r="II612" s="99"/>
      <c r="IJ612" s="149"/>
      <c r="IK612" s="134"/>
      <c r="IL612" s="134"/>
      <c r="IM612" s="137"/>
      <c r="IN612" s="150"/>
      <c r="IO612" s="137"/>
      <c r="IP612" s="137"/>
      <c r="IQ612" s="3"/>
      <c r="IR612" s="138"/>
      <c r="IS612" s="2"/>
      <c r="IT612" s="139"/>
      <c r="IU612" s="3"/>
      <c r="IV612" s="3"/>
    </row>
    <row r="613" spans="1:256" s="125" customFormat="1" ht="13.5" customHeight="1">
      <c r="A613" s="86"/>
      <c r="B613" s="56"/>
      <c r="C613" s="18" t="s">
        <v>157</v>
      </c>
      <c r="D613" s="19"/>
      <c r="E613" s="20" t="s">
        <v>568</v>
      </c>
      <c r="F613" s="62" t="s">
        <v>817</v>
      </c>
      <c r="G613" s="63"/>
      <c r="H613" s="121"/>
      <c r="I613" s="24"/>
      <c r="J613" s="24">
        <v>28571</v>
      </c>
      <c r="K613" s="24">
        <f t="shared" si="54"/>
        <v>28571</v>
      </c>
      <c r="L613" s="123"/>
      <c r="M613" s="24">
        <v>28571</v>
      </c>
      <c r="N613" s="124">
        <f t="shared" si="55"/>
        <v>0</v>
      </c>
      <c r="O613" s="87"/>
      <c r="P613" s="3"/>
      <c r="Q613" s="140"/>
      <c r="R613" s="3"/>
      <c r="S613" s="3"/>
      <c r="T613" s="3"/>
      <c r="U613" s="3"/>
      <c r="V613" s="3"/>
      <c r="W613" s="3"/>
      <c r="X613" s="3"/>
      <c r="Y613" s="131"/>
      <c r="Z613" s="15"/>
      <c r="AA613" s="99"/>
      <c r="AB613" s="149"/>
      <c r="AC613" s="134"/>
      <c r="AD613" s="134"/>
      <c r="AE613" s="137"/>
      <c r="AF613" s="150"/>
      <c r="AG613" s="137"/>
      <c r="AH613" s="137"/>
      <c r="AI613" s="3"/>
      <c r="AJ613" s="138"/>
      <c r="AK613" s="2"/>
      <c r="AL613" s="139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131"/>
      <c r="AX613" s="15"/>
      <c r="AY613" s="99"/>
      <c r="AZ613" s="149"/>
      <c r="BA613" s="134"/>
      <c r="BB613" s="134"/>
      <c r="BC613" s="137"/>
      <c r="BD613" s="150"/>
      <c r="BE613" s="137"/>
      <c r="BF613" s="137"/>
      <c r="BG613" s="3"/>
      <c r="BH613" s="138"/>
      <c r="BI613" s="2"/>
      <c r="BJ613" s="139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131"/>
      <c r="BV613" s="15"/>
      <c r="BW613" s="99"/>
      <c r="BX613" s="149"/>
      <c r="BY613" s="134"/>
      <c r="BZ613" s="134"/>
      <c r="CA613" s="137"/>
      <c r="CB613" s="150"/>
      <c r="CC613" s="137"/>
      <c r="CD613" s="137"/>
      <c r="CE613" s="3"/>
      <c r="CF613" s="138"/>
      <c r="CG613" s="2"/>
      <c r="CH613" s="139"/>
      <c r="CI613" s="3"/>
      <c r="CJ613" s="3"/>
      <c r="CK613" s="3"/>
      <c r="CL613" s="3"/>
      <c r="CM613" s="3"/>
      <c r="CN613" s="3"/>
      <c r="CO613" s="3"/>
      <c r="CP613" s="3"/>
      <c r="CQ613" s="3"/>
      <c r="CR613" s="3"/>
      <c r="CS613" s="131"/>
      <c r="CT613" s="15"/>
      <c r="CU613" s="99"/>
      <c r="CV613" s="149"/>
      <c r="CW613" s="134"/>
      <c r="CX613" s="134"/>
      <c r="CY613" s="137"/>
      <c r="CZ613" s="150"/>
      <c r="DA613" s="137"/>
      <c r="DB613" s="137"/>
      <c r="DC613" s="3"/>
      <c r="DD613" s="138"/>
      <c r="DE613" s="2"/>
      <c r="DF613" s="139"/>
      <c r="DG613" s="3"/>
      <c r="DH613" s="3"/>
      <c r="DI613" s="3"/>
      <c r="DJ613" s="3"/>
      <c r="DK613" s="3"/>
      <c r="DL613" s="3"/>
      <c r="DM613" s="3"/>
      <c r="DN613" s="3"/>
      <c r="DO613" s="3"/>
      <c r="DP613" s="3"/>
      <c r="DQ613" s="131"/>
      <c r="DR613" s="15"/>
      <c r="DS613" s="99"/>
      <c r="DT613" s="149"/>
      <c r="DU613" s="134"/>
      <c r="DV613" s="134"/>
      <c r="DW613" s="137"/>
      <c r="DX613" s="150"/>
      <c r="DY613" s="137"/>
      <c r="DZ613" s="137"/>
      <c r="EA613" s="3"/>
      <c r="EB613" s="138"/>
      <c r="EC613" s="2"/>
      <c r="ED613" s="139"/>
      <c r="EE613" s="3"/>
      <c r="EF613" s="3"/>
      <c r="EG613" s="3"/>
      <c r="EH613" s="3"/>
      <c r="EI613" s="3"/>
      <c r="EJ613" s="3"/>
      <c r="EK613" s="3"/>
      <c r="EL613" s="3"/>
      <c r="EM613" s="3"/>
      <c r="EN613" s="3"/>
      <c r="EO613" s="131"/>
      <c r="EP613" s="15"/>
      <c r="EQ613" s="99"/>
      <c r="ER613" s="149"/>
      <c r="ES613" s="134"/>
      <c r="ET613" s="134"/>
      <c r="EU613" s="137"/>
      <c r="EV613" s="150"/>
      <c r="EW613" s="137"/>
      <c r="EX613" s="137"/>
      <c r="EY613" s="3"/>
      <c r="EZ613" s="138"/>
      <c r="FA613" s="2"/>
      <c r="FB613" s="139"/>
      <c r="FC613" s="3"/>
      <c r="FD613" s="3"/>
      <c r="FE613" s="3"/>
      <c r="FF613" s="3"/>
      <c r="FG613" s="3"/>
      <c r="FH613" s="3"/>
      <c r="FI613" s="3"/>
      <c r="FJ613" s="3"/>
      <c r="FK613" s="3"/>
      <c r="FL613" s="3"/>
      <c r="FM613" s="131"/>
      <c r="FN613" s="15"/>
      <c r="FO613" s="99"/>
      <c r="FP613" s="149"/>
      <c r="FQ613" s="134"/>
      <c r="FR613" s="134"/>
      <c r="FS613" s="137"/>
      <c r="FT613" s="150"/>
      <c r="FU613" s="137"/>
      <c r="FV613" s="137"/>
      <c r="FW613" s="3"/>
      <c r="FX613" s="138"/>
      <c r="FY613" s="2"/>
      <c r="FZ613" s="139"/>
      <c r="GA613" s="3"/>
      <c r="GB613" s="3"/>
      <c r="GC613" s="3"/>
      <c r="GD613" s="3"/>
      <c r="GE613" s="3"/>
      <c r="GF613" s="3"/>
      <c r="GG613" s="3"/>
      <c r="GH613" s="3"/>
      <c r="GI613" s="3"/>
      <c r="GJ613" s="3"/>
      <c r="GK613" s="131"/>
      <c r="GL613" s="15"/>
      <c r="GM613" s="99"/>
      <c r="GN613" s="149"/>
      <c r="GO613" s="134"/>
      <c r="GP613" s="134"/>
      <c r="GQ613" s="137"/>
      <c r="GR613" s="150"/>
      <c r="GS613" s="137"/>
      <c r="GT613" s="137"/>
      <c r="GU613" s="3"/>
      <c r="GV613" s="138"/>
      <c r="GW613" s="2"/>
      <c r="GX613" s="139"/>
      <c r="GY613" s="3"/>
      <c r="GZ613" s="3"/>
      <c r="HA613" s="3"/>
      <c r="HB613" s="3"/>
      <c r="HC613" s="3"/>
      <c r="HD613" s="3"/>
      <c r="HE613" s="3"/>
      <c r="HF613" s="3"/>
      <c r="HG613" s="3"/>
      <c r="HH613" s="3"/>
      <c r="HI613" s="131"/>
      <c r="HJ613" s="15"/>
      <c r="HK613" s="99"/>
      <c r="HL613" s="149"/>
      <c r="HM613" s="134"/>
      <c r="HN613" s="134"/>
      <c r="HO613" s="137"/>
      <c r="HP613" s="150"/>
      <c r="HQ613" s="137"/>
      <c r="HR613" s="137"/>
      <c r="HS613" s="3"/>
      <c r="HT613" s="138"/>
      <c r="HU613" s="2"/>
      <c r="HV613" s="139"/>
      <c r="HW613" s="3"/>
      <c r="HX613" s="3"/>
      <c r="HY613" s="3"/>
      <c r="HZ613" s="3"/>
      <c r="IA613" s="3"/>
      <c r="IB613" s="3"/>
      <c r="IC613" s="3"/>
      <c r="ID613" s="3"/>
      <c r="IE613" s="3"/>
      <c r="IF613" s="3"/>
      <c r="IG613" s="131"/>
      <c r="IH613" s="15"/>
      <c r="II613" s="99"/>
      <c r="IJ613" s="149"/>
      <c r="IK613" s="134"/>
      <c r="IL613" s="134"/>
      <c r="IM613" s="137"/>
      <c r="IN613" s="150"/>
      <c r="IO613" s="137"/>
      <c r="IP613" s="137"/>
      <c r="IQ613" s="3"/>
      <c r="IR613" s="138"/>
      <c r="IS613" s="2"/>
      <c r="IT613" s="139"/>
      <c r="IU613" s="3"/>
      <c r="IV613" s="3"/>
    </row>
    <row r="614" spans="1:256" s="125" customFormat="1" ht="13.5" customHeight="1">
      <c r="A614" s="86"/>
      <c r="B614" s="56"/>
      <c r="C614" s="18" t="s">
        <v>157</v>
      </c>
      <c r="D614" s="19"/>
      <c r="E614" s="20" t="s">
        <v>324</v>
      </c>
      <c r="F614" s="62" t="s">
        <v>818</v>
      </c>
      <c r="G614" s="63"/>
      <c r="H614" s="121"/>
      <c r="I614" s="24"/>
      <c r="J614" s="24">
        <v>28571</v>
      </c>
      <c r="K614" s="24">
        <f t="shared" si="54"/>
        <v>28571</v>
      </c>
      <c r="L614" s="123"/>
      <c r="M614" s="24">
        <v>28571</v>
      </c>
      <c r="N614" s="124">
        <f t="shared" si="55"/>
        <v>0</v>
      </c>
      <c r="O614" s="87"/>
      <c r="P614" s="3"/>
      <c r="Q614" s="140"/>
      <c r="R614" s="3"/>
      <c r="S614" s="3"/>
      <c r="T614" s="3"/>
      <c r="U614" s="3"/>
      <c r="V614" s="3"/>
      <c r="W614" s="3"/>
      <c r="X614" s="3"/>
      <c r="Y614" s="131"/>
      <c r="Z614" s="15"/>
      <c r="AA614" s="99"/>
      <c r="AB614" s="149"/>
      <c r="AC614" s="134"/>
      <c r="AD614" s="134"/>
      <c r="AE614" s="137"/>
      <c r="AF614" s="150"/>
      <c r="AG614" s="137"/>
      <c r="AH614" s="137"/>
      <c r="AI614" s="3"/>
      <c r="AJ614" s="138"/>
      <c r="AK614" s="2"/>
      <c r="AL614" s="139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131"/>
      <c r="AX614" s="15"/>
      <c r="AY614" s="99"/>
      <c r="AZ614" s="149"/>
      <c r="BA614" s="134"/>
      <c r="BB614" s="134"/>
      <c r="BC614" s="137"/>
      <c r="BD614" s="150"/>
      <c r="BE614" s="137"/>
      <c r="BF614" s="137"/>
      <c r="BG614" s="3"/>
      <c r="BH614" s="138"/>
      <c r="BI614" s="2"/>
      <c r="BJ614" s="139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131"/>
      <c r="BV614" s="15"/>
      <c r="BW614" s="99"/>
      <c r="BX614" s="149"/>
      <c r="BY614" s="134"/>
      <c r="BZ614" s="134"/>
      <c r="CA614" s="137"/>
      <c r="CB614" s="150"/>
      <c r="CC614" s="137"/>
      <c r="CD614" s="137"/>
      <c r="CE614" s="3"/>
      <c r="CF614" s="138"/>
      <c r="CG614" s="2"/>
      <c r="CH614" s="139"/>
      <c r="CI614" s="3"/>
      <c r="CJ614" s="3"/>
      <c r="CK614" s="3"/>
      <c r="CL614" s="3"/>
      <c r="CM614" s="3"/>
      <c r="CN614" s="3"/>
      <c r="CO614" s="3"/>
      <c r="CP614" s="3"/>
      <c r="CQ614" s="3"/>
      <c r="CR614" s="3"/>
      <c r="CS614" s="131"/>
      <c r="CT614" s="15"/>
      <c r="CU614" s="99"/>
      <c r="CV614" s="149"/>
      <c r="CW614" s="134"/>
      <c r="CX614" s="134"/>
      <c r="CY614" s="137"/>
      <c r="CZ614" s="150"/>
      <c r="DA614" s="137"/>
      <c r="DB614" s="137"/>
      <c r="DC614" s="3"/>
      <c r="DD614" s="138"/>
      <c r="DE614" s="2"/>
      <c r="DF614" s="139"/>
      <c r="DG614" s="3"/>
      <c r="DH614" s="3"/>
      <c r="DI614" s="3"/>
      <c r="DJ614" s="3"/>
      <c r="DK614" s="3"/>
      <c r="DL614" s="3"/>
      <c r="DM614" s="3"/>
      <c r="DN614" s="3"/>
      <c r="DO614" s="3"/>
      <c r="DP614" s="3"/>
      <c r="DQ614" s="131"/>
      <c r="DR614" s="15"/>
      <c r="DS614" s="99"/>
      <c r="DT614" s="149"/>
      <c r="DU614" s="134"/>
      <c r="DV614" s="134"/>
      <c r="DW614" s="137"/>
      <c r="DX614" s="150"/>
      <c r="DY614" s="137"/>
      <c r="DZ614" s="137"/>
      <c r="EA614" s="3"/>
      <c r="EB614" s="138"/>
      <c r="EC614" s="2"/>
      <c r="ED614" s="139"/>
      <c r="EE614" s="3"/>
      <c r="EF614" s="3"/>
      <c r="EG614" s="3"/>
      <c r="EH614" s="3"/>
      <c r="EI614" s="3"/>
      <c r="EJ614" s="3"/>
      <c r="EK614" s="3"/>
      <c r="EL614" s="3"/>
      <c r="EM614" s="3"/>
      <c r="EN614" s="3"/>
      <c r="EO614" s="131"/>
      <c r="EP614" s="15"/>
      <c r="EQ614" s="99"/>
      <c r="ER614" s="149"/>
      <c r="ES614" s="134"/>
      <c r="ET614" s="134"/>
      <c r="EU614" s="137"/>
      <c r="EV614" s="150"/>
      <c r="EW614" s="137"/>
      <c r="EX614" s="137"/>
      <c r="EY614" s="3"/>
      <c r="EZ614" s="138"/>
      <c r="FA614" s="2"/>
      <c r="FB614" s="139"/>
      <c r="FC614" s="3"/>
      <c r="FD614" s="3"/>
      <c r="FE614" s="3"/>
      <c r="FF614" s="3"/>
      <c r="FG614" s="3"/>
      <c r="FH614" s="3"/>
      <c r="FI614" s="3"/>
      <c r="FJ614" s="3"/>
      <c r="FK614" s="3"/>
      <c r="FL614" s="3"/>
      <c r="FM614" s="131"/>
      <c r="FN614" s="15"/>
      <c r="FO614" s="99"/>
      <c r="FP614" s="149"/>
      <c r="FQ614" s="134"/>
      <c r="FR614" s="134"/>
      <c r="FS614" s="137"/>
      <c r="FT614" s="150"/>
      <c r="FU614" s="137"/>
      <c r="FV614" s="137"/>
      <c r="FW614" s="3"/>
      <c r="FX614" s="138"/>
      <c r="FY614" s="2"/>
      <c r="FZ614" s="139"/>
      <c r="GA614" s="3"/>
      <c r="GB614" s="3"/>
      <c r="GC614" s="3"/>
      <c r="GD614" s="3"/>
      <c r="GE614" s="3"/>
      <c r="GF614" s="3"/>
      <c r="GG614" s="3"/>
      <c r="GH614" s="3"/>
      <c r="GI614" s="3"/>
      <c r="GJ614" s="3"/>
      <c r="GK614" s="131"/>
      <c r="GL614" s="15"/>
      <c r="GM614" s="99"/>
      <c r="GN614" s="149"/>
      <c r="GO614" s="134"/>
      <c r="GP614" s="134"/>
      <c r="GQ614" s="137"/>
      <c r="GR614" s="150"/>
      <c r="GS614" s="137"/>
      <c r="GT614" s="137"/>
      <c r="GU614" s="3"/>
      <c r="GV614" s="138"/>
      <c r="GW614" s="2"/>
      <c r="GX614" s="139"/>
      <c r="GY614" s="3"/>
      <c r="GZ614" s="3"/>
      <c r="HA614" s="3"/>
      <c r="HB614" s="3"/>
      <c r="HC614" s="3"/>
      <c r="HD614" s="3"/>
      <c r="HE614" s="3"/>
      <c r="HF614" s="3"/>
      <c r="HG614" s="3"/>
      <c r="HH614" s="3"/>
      <c r="HI614" s="131"/>
      <c r="HJ614" s="15"/>
      <c r="HK614" s="99"/>
      <c r="HL614" s="149"/>
      <c r="HM614" s="134"/>
      <c r="HN614" s="134"/>
      <c r="HO614" s="137"/>
      <c r="HP614" s="150"/>
      <c r="HQ614" s="137"/>
      <c r="HR614" s="137"/>
      <c r="HS614" s="3"/>
      <c r="HT614" s="138"/>
      <c r="HU614" s="2"/>
      <c r="HV614" s="139"/>
      <c r="HW614" s="3"/>
      <c r="HX614" s="3"/>
      <c r="HY614" s="3"/>
      <c r="HZ614" s="3"/>
      <c r="IA614" s="3"/>
      <c r="IB614" s="3"/>
      <c r="IC614" s="3"/>
      <c r="ID614" s="3"/>
      <c r="IE614" s="3"/>
      <c r="IF614" s="3"/>
      <c r="IG614" s="131"/>
      <c r="IH614" s="15"/>
      <c r="II614" s="99"/>
      <c r="IJ614" s="149"/>
      <c r="IK614" s="134"/>
      <c r="IL614" s="134"/>
      <c r="IM614" s="137"/>
      <c r="IN614" s="150"/>
      <c r="IO614" s="137"/>
      <c r="IP614" s="137"/>
      <c r="IQ614" s="3"/>
      <c r="IR614" s="138"/>
      <c r="IS614" s="2"/>
      <c r="IT614" s="139"/>
      <c r="IU614" s="3"/>
      <c r="IV614" s="3"/>
    </row>
    <row r="615" spans="1:256" s="125" customFormat="1" ht="13.5" customHeight="1">
      <c r="A615" s="86"/>
      <c r="B615" s="56"/>
      <c r="C615" s="18" t="s">
        <v>157</v>
      </c>
      <c r="D615" s="19"/>
      <c r="E615" s="20" t="s">
        <v>324</v>
      </c>
      <c r="F615" s="62" t="s">
        <v>819</v>
      </c>
      <c r="G615" s="63"/>
      <c r="H615" s="121"/>
      <c r="I615" s="24"/>
      <c r="J615" s="24">
        <v>28571</v>
      </c>
      <c r="K615" s="24">
        <f t="shared" si="54"/>
        <v>28571</v>
      </c>
      <c r="L615" s="123"/>
      <c r="M615" s="24">
        <v>28571</v>
      </c>
      <c r="N615" s="124">
        <f t="shared" si="55"/>
        <v>0</v>
      </c>
      <c r="O615" s="87"/>
      <c r="P615" s="3"/>
      <c r="Q615" s="140"/>
      <c r="R615" s="3"/>
      <c r="S615" s="3"/>
      <c r="T615" s="3"/>
      <c r="U615" s="3"/>
      <c r="V615" s="3"/>
      <c r="W615" s="3"/>
      <c r="X615" s="3"/>
      <c r="Y615" s="131"/>
      <c r="Z615" s="15"/>
      <c r="AA615" s="99"/>
      <c r="AB615" s="149"/>
      <c r="AC615" s="134"/>
      <c r="AD615" s="134"/>
      <c r="AE615" s="137"/>
      <c r="AF615" s="150"/>
      <c r="AG615" s="137"/>
      <c r="AH615" s="137"/>
      <c r="AI615" s="3"/>
      <c r="AJ615" s="138"/>
      <c r="AK615" s="2"/>
      <c r="AL615" s="139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131"/>
      <c r="AX615" s="15"/>
      <c r="AY615" s="99"/>
      <c r="AZ615" s="149"/>
      <c r="BA615" s="134"/>
      <c r="BB615" s="134"/>
      <c r="BC615" s="137"/>
      <c r="BD615" s="150"/>
      <c r="BE615" s="137"/>
      <c r="BF615" s="137"/>
      <c r="BG615" s="3"/>
      <c r="BH615" s="138"/>
      <c r="BI615" s="2"/>
      <c r="BJ615" s="139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131"/>
      <c r="BV615" s="15"/>
      <c r="BW615" s="99"/>
      <c r="BX615" s="149"/>
      <c r="BY615" s="134"/>
      <c r="BZ615" s="134"/>
      <c r="CA615" s="137"/>
      <c r="CB615" s="150"/>
      <c r="CC615" s="137"/>
      <c r="CD615" s="137"/>
      <c r="CE615" s="3"/>
      <c r="CF615" s="138"/>
      <c r="CG615" s="2"/>
      <c r="CH615" s="139"/>
      <c r="CI615" s="3"/>
      <c r="CJ615" s="3"/>
      <c r="CK615" s="3"/>
      <c r="CL615" s="3"/>
      <c r="CM615" s="3"/>
      <c r="CN615" s="3"/>
      <c r="CO615" s="3"/>
      <c r="CP615" s="3"/>
      <c r="CQ615" s="3"/>
      <c r="CR615" s="3"/>
      <c r="CS615" s="131"/>
      <c r="CT615" s="15"/>
      <c r="CU615" s="99"/>
      <c r="CV615" s="149"/>
      <c r="CW615" s="134"/>
      <c r="CX615" s="134"/>
      <c r="CY615" s="137"/>
      <c r="CZ615" s="150"/>
      <c r="DA615" s="137"/>
      <c r="DB615" s="137"/>
      <c r="DC615" s="3"/>
      <c r="DD615" s="138"/>
      <c r="DE615" s="2"/>
      <c r="DF615" s="139"/>
      <c r="DG615" s="3"/>
      <c r="DH615" s="3"/>
      <c r="DI615" s="3"/>
      <c r="DJ615" s="3"/>
      <c r="DK615" s="3"/>
      <c r="DL615" s="3"/>
      <c r="DM615" s="3"/>
      <c r="DN615" s="3"/>
      <c r="DO615" s="3"/>
      <c r="DP615" s="3"/>
      <c r="DQ615" s="131"/>
      <c r="DR615" s="15"/>
      <c r="DS615" s="99"/>
      <c r="DT615" s="149"/>
      <c r="DU615" s="134"/>
      <c r="DV615" s="134"/>
      <c r="DW615" s="137"/>
      <c r="DX615" s="150"/>
      <c r="DY615" s="137"/>
      <c r="DZ615" s="137"/>
      <c r="EA615" s="3"/>
      <c r="EB615" s="138"/>
      <c r="EC615" s="2"/>
      <c r="ED615" s="139"/>
      <c r="EE615" s="3"/>
      <c r="EF615" s="3"/>
      <c r="EG615" s="3"/>
      <c r="EH615" s="3"/>
      <c r="EI615" s="3"/>
      <c r="EJ615" s="3"/>
      <c r="EK615" s="3"/>
      <c r="EL615" s="3"/>
      <c r="EM615" s="3"/>
      <c r="EN615" s="3"/>
      <c r="EO615" s="131"/>
      <c r="EP615" s="15"/>
      <c r="EQ615" s="99"/>
      <c r="ER615" s="149"/>
      <c r="ES615" s="134"/>
      <c r="ET615" s="134"/>
      <c r="EU615" s="137"/>
      <c r="EV615" s="150"/>
      <c r="EW615" s="137"/>
      <c r="EX615" s="137"/>
      <c r="EY615" s="3"/>
      <c r="EZ615" s="138"/>
      <c r="FA615" s="2"/>
      <c r="FB615" s="139"/>
      <c r="FC615" s="3"/>
      <c r="FD615" s="3"/>
      <c r="FE615" s="3"/>
      <c r="FF615" s="3"/>
      <c r="FG615" s="3"/>
      <c r="FH615" s="3"/>
      <c r="FI615" s="3"/>
      <c r="FJ615" s="3"/>
      <c r="FK615" s="3"/>
      <c r="FL615" s="3"/>
      <c r="FM615" s="131"/>
      <c r="FN615" s="15"/>
      <c r="FO615" s="99"/>
      <c r="FP615" s="149"/>
      <c r="FQ615" s="134"/>
      <c r="FR615" s="134"/>
      <c r="FS615" s="137"/>
      <c r="FT615" s="150"/>
      <c r="FU615" s="137"/>
      <c r="FV615" s="137"/>
      <c r="FW615" s="3"/>
      <c r="FX615" s="138"/>
      <c r="FY615" s="2"/>
      <c r="FZ615" s="139"/>
      <c r="GA615" s="3"/>
      <c r="GB615" s="3"/>
      <c r="GC615" s="3"/>
      <c r="GD615" s="3"/>
      <c r="GE615" s="3"/>
      <c r="GF615" s="3"/>
      <c r="GG615" s="3"/>
      <c r="GH615" s="3"/>
      <c r="GI615" s="3"/>
      <c r="GJ615" s="3"/>
      <c r="GK615" s="131"/>
      <c r="GL615" s="15"/>
      <c r="GM615" s="99"/>
      <c r="GN615" s="149"/>
      <c r="GO615" s="134"/>
      <c r="GP615" s="134"/>
      <c r="GQ615" s="137"/>
      <c r="GR615" s="150"/>
      <c r="GS615" s="137"/>
      <c r="GT615" s="137"/>
      <c r="GU615" s="3"/>
      <c r="GV615" s="138"/>
      <c r="GW615" s="2"/>
      <c r="GX615" s="139"/>
      <c r="GY615" s="3"/>
      <c r="GZ615" s="3"/>
      <c r="HA615" s="3"/>
      <c r="HB615" s="3"/>
      <c r="HC615" s="3"/>
      <c r="HD615" s="3"/>
      <c r="HE615" s="3"/>
      <c r="HF615" s="3"/>
      <c r="HG615" s="3"/>
      <c r="HH615" s="3"/>
      <c r="HI615" s="131"/>
      <c r="HJ615" s="15"/>
      <c r="HK615" s="99"/>
      <c r="HL615" s="149"/>
      <c r="HM615" s="134"/>
      <c r="HN615" s="134"/>
      <c r="HO615" s="137"/>
      <c r="HP615" s="150"/>
      <c r="HQ615" s="137"/>
      <c r="HR615" s="137"/>
      <c r="HS615" s="3"/>
      <c r="HT615" s="138"/>
      <c r="HU615" s="2"/>
      <c r="HV615" s="139"/>
      <c r="HW615" s="3"/>
      <c r="HX615" s="3"/>
      <c r="HY615" s="3"/>
      <c r="HZ615" s="3"/>
      <c r="IA615" s="3"/>
      <c r="IB615" s="3"/>
      <c r="IC615" s="3"/>
      <c r="ID615" s="3"/>
      <c r="IE615" s="3"/>
      <c r="IF615" s="3"/>
      <c r="IG615" s="131"/>
      <c r="IH615" s="15"/>
      <c r="II615" s="99"/>
      <c r="IJ615" s="149"/>
      <c r="IK615" s="134"/>
      <c r="IL615" s="134"/>
      <c r="IM615" s="137"/>
      <c r="IN615" s="150"/>
      <c r="IO615" s="137"/>
      <c r="IP615" s="137"/>
      <c r="IQ615" s="3"/>
      <c r="IR615" s="138"/>
      <c r="IS615" s="2"/>
      <c r="IT615" s="139"/>
      <c r="IU615" s="3"/>
      <c r="IV615" s="3"/>
    </row>
    <row r="616" spans="1:256" s="125" customFormat="1" ht="13.5" customHeight="1">
      <c r="A616" s="86"/>
      <c r="B616" s="56"/>
      <c r="C616" s="18" t="s">
        <v>157</v>
      </c>
      <c r="D616" s="19"/>
      <c r="E616" s="20" t="s">
        <v>324</v>
      </c>
      <c r="F616" s="62" t="s">
        <v>820</v>
      </c>
      <c r="G616" s="63"/>
      <c r="H616" s="121"/>
      <c r="I616" s="24"/>
      <c r="J616" s="24">
        <v>28571</v>
      </c>
      <c r="K616" s="24">
        <f t="shared" si="54"/>
        <v>28571</v>
      </c>
      <c r="L616" s="123"/>
      <c r="M616" s="24">
        <v>28571</v>
      </c>
      <c r="N616" s="124">
        <f t="shared" si="55"/>
        <v>0</v>
      </c>
      <c r="O616" s="87"/>
      <c r="P616" s="3"/>
      <c r="Q616" s="140"/>
      <c r="R616" s="3"/>
      <c r="S616" s="3"/>
      <c r="T616" s="3"/>
      <c r="U616" s="3"/>
      <c r="V616" s="3"/>
      <c r="W616" s="3"/>
      <c r="X616" s="3"/>
      <c r="Y616" s="131"/>
      <c r="Z616" s="15"/>
      <c r="AA616" s="99"/>
      <c r="AB616" s="149"/>
      <c r="AC616" s="134"/>
      <c r="AD616" s="134"/>
      <c r="AE616" s="137"/>
      <c r="AF616" s="150"/>
      <c r="AG616" s="137"/>
      <c r="AH616" s="137"/>
      <c r="AI616" s="3"/>
      <c r="AJ616" s="138"/>
      <c r="AK616" s="2"/>
      <c r="AL616" s="139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131"/>
      <c r="AX616" s="15"/>
      <c r="AY616" s="99"/>
      <c r="AZ616" s="149"/>
      <c r="BA616" s="134"/>
      <c r="BB616" s="134"/>
      <c r="BC616" s="137"/>
      <c r="BD616" s="150"/>
      <c r="BE616" s="137"/>
      <c r="BF616" s="137"/>
      <c r="BG616" s="3"/>
      <c r="BH616" s="138"/>
      <c r="BI616" s="2"/>
      <c r="BJ616" s="139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131"/>
      <c r="BV616" s="15"/>
      <c r="BW616" s="99"/>
      <c r="BX616" s="149"/>
      <c r="BY616" s="134"/>
      <c r="BZ616" s="134"/>
      <c r="CA616" s="137"/>
      <c r="CB616" s="150"/>
      <c r="CC616" s="137"/>
      <c r="CD616" s="137"/>
      <c r="CE616" s="3"/>
      <c r="CF616" s="138"/>
      <c r="CG616" s="2"/>
      <c r="CH616" s="139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131"/>
      <c r="CT616" s="15"/>
      <c r="CU616" s="99"/>
      <c r="CV616" s="149"/>
      <c r="CW616" s="134"/>
      <c r="CX616" s="134"/>
      <c r="CY616" s="137"/>
      <c r="CZ616" s="150"/>
      <c r="DA616" s="137"/>
      <c r="DB616" s="137"/>
      <c r="DC616" s="3"/>
      <c r="DD616" s="138"/>
      <c r="DE616" s="2"/>
      <c r="DF616" s="139"/>
      <c r="DG616" s="3"/>
      <c r="DH616" s="3"/>
      <c r="DI616" s="3"/>
      <c r="DJ616" s="3"/>
      <c r="DK616" s="3"/>
      <c r="DL616" s="3"/>
      <c r="DM616" s="3"/>
      <c r="DN616" s="3"/>
      <c r="DO616" s="3"/>
      <c r="DP616" s="3"/>
      <c r="DQ616" s="131"/>
      <c r="DR616" s="15"/>
      <c r="DS616" s="99"/>
      <c r="DT616" s="149"/>
      <c r="DU616" s="134"/>
      <c r="DV616" s="134"/>
      <c r="DW616" s="137"/>
      <c r="DX616" s="150"/>
      <c r="DY616" s="137"/>
      <c r="DZ616" s="137"/>
      <c r="EA616" s="3"/>
      <c r="EB616" s="138"/>
      <c r="EC616" s="2"/>
      <c r="ED616" s="139"/>
      <c r="EE616" s="3"/>
      <c r="EF616" s="3"/>
      <c r="EG616" s="3"/>
      <c r="EH616" s="3"/>
      <c r="EI616" s="3"/>
      <c r="EJ616" s="3"/>
      <c r="EK616" s="3"/>
      <c r="EL616" s="3"/>
      <c r="EM616" s="3"/>
      <c r="EN616" s="3"/>
      <c r="EO616" s="131"/>
      <c r="EP616" s="15"/>
      <c r="EQ616" s="99"/>
      <c r="ER616" s="149"/>
      <c r="ES616" s="134"/>
      <c r="ET616" s="134"/>
      <c r="EU616" s="137"/>
      <c r="EV616" s="150"/>
      <c r="EW616" s="137"/>
      <c r="EX616" s="137"/>
      <c r="EY616" s="3"/>
      <c r="EZ616" s="138"/>
      <c r="FA616" s="2"/>
      <c r="FB616" s="139"/>
      <c r="FC616" s="3"/>
      <c r="FD616" s="3"/>
      <c r="FE616" s="3"/>
      <c r="FF616" s="3"/>
      <c r="FG616" s="3"/>
      <c r="FH616" s="3"/>
      <c r="FI616" s="3"/>
      <c r="FJ616" s="3"/>
      <c r="FK616" s="3"/>
      <c r="FL616" s="3"/>
      <c r="FM616" s="131"/>
      <c r="FN616" s="15"/>
      <c r="FO616" s="99"/>
      <c r="FP616" s="149"/>
      <c r="FQ616" s="134"/>
      <c r="FR616" s="134"/>
      <c r="FS616" s="137"/>
      <c r="FT616" s="150"/>
      <c r="FU616" s="137"/>
      <c r="FV616" s="137"/>
      <c r="FW616" s="3"/>
      <c r="FX616" s="138"/>
      <c r="FY616" s="2"/>
      <c r="FZ616" s="139"/>
      <c r="GA616" s="3"/>
      <c r="GB616" s="3"/>
      <c r="GC616" s="3"/>
      <c r="GD616" s="3"/>
      <c r="GE616" s="3"/>
      <c r="GF616" s="3"/>
      <c r="GG616" s="3"/>
      <c r="GH616" s="3"/>
      <c r="GI616" s="3"/>
      <c r="GJ616" s="3"/>
      <c r="GK616" s="131"/>
      <c r="GL616" s="15"/>
      <c r="GM616" s="99"/>
      <c r="GN616" s="149"/>
      <c r="GO616" s="134"/>
      <c r="GP616" s="134"/>
      <c r="GQ616" s="137"/>
      <c r="GR616" s="150"/>
      <c r="GS616" s="137"/>
      <c r="GT616" s="137"/>
      <c r="GU616" s="3"/>
      <c r="GV616" s="138"/>
      <c r="GW616" s="2"/>
      <c r="GX616" s="139"/>
      <c r="GY616" s="3"/>
      <c r="GZ616" s="3"/>
      <c r="HA616" s="3"/>
      <c r="HB616" s="3"/>
      <c r="HC616" s="3"/>
      <c r="HD616" s="3"/>
      <c r="HE616" s="3"/>
      <c r="HF616" s="3"/>
      <c r="HG616" s="3"/>
      <c r="HH616" s="3"/>
      <c r="HI616" s="131"/>
      <c r="HJ616" s="15"/>
      <c r="HK616" s="99"/>
      <c r="HL616" s="149"/>
      <c r="HM616" s="134"/>
      <c r="HN616" s="134"/>
      <c r="HO616" s="137"/>
      <c r="HP616" s="150"/>
      <c r="HQ616" s="137"/>
      <c r="HR616" s="137"/>
      <c r="HS616" s="3"/>
      <c r="HT616" s="138"/>
      <c r="HU616" s="2"/>
      <c r="HV616" s="139"/>
      <c r="HW616" s="3"/>
      <c r="HX616" s="3"/>
      <c r="HY616" s="3"/>
      <c r="HZ616" s="3"/>
      <c r="IA616" s="3"/>
      <c r="IB616" s="3"/>
      <c r="IC616" s="3"/>
      <c r="ID616" s="3"/>
      <c r="IE616" s="3"/>
      <c r="IF616" s="3"/>
      <c r="IG616" s="131"/>
      <c r="IH616" s="15"/>
      <c r="II616" s="99"/>
      <c r="IJ616" s="149"/>
      <c r="IK616" s="134"/>
      <c r="IL616" s="134"/>
      <c r="IM616" s="137"/>
      <c r="IN616" s="150"/>
      <c r="IO616" s="137"/>
      <c r="IP616" s="137"/>
      <c r="IQ616" s="3"/>
      <c r="IR616" s="138"/>
      <c r="IS616" s="2"/>
      <c r="IT616" s="139"/>
      <c r="IU616" s="3"/>
      <c r="IV616" s="3"/>
    </row>
    <row r="617" spans="1:256" s="125" customFormat="1" ht="13.5" customHeight="1">
      <c r="A617" s="86"/>
      <c r="B617" s="56"/>
      <c r="C617" s="18" t="s">
        <v>157</v>
      </c>
      <c r="D617" s="19"/>
      <c r="E617" s="20" t="s">
        <v>324</v>
      </c>
      <c r="F617" s="62" t="s">
        <v>821</v>
      </c>
      <c r="G617" s="63"/>
      <c r="H617" s="121"/>
      <c r="I617" s="24"/>
      <c r="J617" s="24">
        <v>28571</v>
      </c>
      <c r="K617" s="24">
        <f t="shared" si="54"/>
        <v>28571</v>
      </c>
      <c r="L617" s="123"/>
      <c r="M617" s="24">
        <v>28571</v>
      </c>
      <c r="N617" s="124">
        <f t="shared" si="55"/>
        <v>0</v>
      </c>
      <c r="O617" s="87"/>
      <c r="P617" s="3"/>
      <c r="Q617" s="140"/>
      <c r="R617" s="3"/>
      <c r="S617" s="3"/>
      <c r="T617" s="3"/>
      <c r="U617" s="3"/>
      <c r="V617" s="3"/>
      <c r="W617" s="3"/>
      <c r="X617" s="3"/>
      <c r="Y617" s="131"/>
      <c r="Z617" s="15"/>
      <c r="AA617" s="99"/>
      <c r="AB617" s="149"/>
      <c r="AC617" s="134"/>
      <c r="AD617" s="134"/>
      <c r="AE617" s="137"/>
      <c r="AF617" s="150"/>
      <c r="AG617" s="137"/>
      <c r="AH617" s="137"/>
      <c r="AI617" s="3"/>
      <c r="AJ617" s="138"/>
      <c r="AK617" s="2"/>
      <c r="AL617" s="139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131"/>
      <c r="AX617" s="15"/>
      <c r="AY617" s="99"/>
      <c r="AZ617" s="149"/>
      <c r="BA617" s="134"/>
      <c r="BB617" s="134"/>
      <c r="BC617" s="137"/>
      <c r="BD617" s="150"/>
      <c r="BE617" s="137"/>
      <c r="BF617" s="137"/>
      <c r="BG617" s="3"/>
      <c r="BH617" s="138"/>
      <c r="BI617" s="2"/>
      <c r="BJ617" s="139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131"/>
      <c r="BV617" s="15"/>
      <c r="BW617" s="99"/>
      <c r="BX617" s="149"/>
      <c r="BY617" s="134"/>
      <c r="BZ617" s="134"/>
      <c r="CA617" s="137"/>
      <c r="CB617" s="150"/>
      <c r="CC617" s="137"/>
      <c r="CD617" s="137"/>
      <c r="CE617" s="3"/>
      <c r="CF617" s="138"/>
      <c r="CG617" s="2"/>
      <c r="CH617" s="139"/>
      <c r="CI617" s="3"/>
      <c r="CJ617" s="3"/>
      <c r="CK617" s="3"/>
      <c r="CL617" s="3"/>
      <c r="CM617" s="3"/>
      <c r="CN617" s="3"/>
      <c r="CO617" s="3"/>
      <c r="CP617" s="3"/>
      <c r="CQ617" s="3"/>
      <c r="CR617" s="3"/>
      <c r="CS617" s="131"/>
      <c r="CT617" s="15"/>
      <c r="CU617" s="99"/>
      <c r="CV617" s="149"/>
      <c r="CW617" s="134"/>
      <c r="CX617" s="134"/>
      <c r="CY617" s="137"/>
      <c r="CZ617" s="150"/>
      <c r="DA617" s="137"/>
      <c r="DB617" s="137"/>
      <c r="DC617" s="3"/>
      <c r="DD617" s="138"/>
      <c r="DE617" s="2"/>
      <c r="DF617" s="139"/>
      <c r="DG617" s="3"/>
      <c r="DH617" s="3"/>
      <c r="DI617" s="3"/>
      <c r="DJ617" s="3"/>
      <c r="DK617" s="3"/>
      <c r="DL617" s="3"/>
      <c r="DM617" s="3"/>
      <c r="DN617" s="3"/>
      <c r="DO617" s="3"/>
      <c r="DP617" s="3"/>
      <c r="DQ617" s="131"/>
      <c r="DR617" s="15"/>
      <c r="DS617" s="99"/>
      <c r="DT617" s="149"/>
      <c r="DU617" s="134"/>
      <c r="DV617" s="134"/>
      <c r="DW617" s="137"/>
      <c r="DX617" s="150"/>
      <c r="DY617" s="137"/>
      <c r="DZ617" s="137"/>
      <c r="EA617" s="3"/>
      <c r="EB617" s="138"/>
      <c r="EC617" s="2"/>
      <c r="ED617" s="139"/>
      <c r="EE617" s="3"/>
      <c r="EF617" s="3"/>
      <c r="EG617" s="3"/>
      <c r="EH617" s="3"/>
      <c r="EI617" s="3"/>
      <c r="EJ617" s="3"/>
      <c r="EK617" s="3"/>
      <c r="EL617" s="3"/>
      <c r="EM617" s="3"/>
      <c r="EN617" s="3"/>
      <c r="EO617" s="131"/>
      <c r="EP617" s="15"/>
      <c r="EQ617" s="99"/>
      <c r="ER617" s="149"/>
      <c r="ES617" s="134"/>
      <c r="ET617" s="134"/>
      <c r="EU617" s="137"/>
      <c r="EV617" s="150"/>
      <c r="EW617" s="137"/>
      <c r="EX617" s="137"/>
      <c r="EY617" s="3"/>
      <c r="EZ617" s="138"/>
      <c r="FA617" s="2"/>
      <c r="FB617" s="139"/>
      <c r="FC617" s="3"/>
      <c r="FD617" s="3"/>
      <c r="FE617" s="3"/>
      <c r="FF617" s="3"/>
      <c r="FG617" s="3"/>
      <c r="FH617" s="3"/>
      <c r="FI617" s="3"/>
      <c r="FJ617" s="3"/>
      <c r="FK617" s="3"/>
      <c r="FL617" s="3"/>
      <c r="FM617" s="131"/>
      <c r="FN617" s="15"/>
      <c r="FO617" s="99"/>
      <c r="FP617" s="149"/>
      <c r="FQ617" s="134"/>
      <c r="FR617" s="134"/>
      <c r="FS617" s="137"/>
      <c r="FT617" s="150"/>
      <c r="FU617" s="137"/>
      <c r="FV617" s="137"/>
      <c r="FW617" s="3"/>
      <c r="FX617" s="138"/>
      <c r="FY617" s="2"/>
      <c r="FZ617" s="139"/>
      <c r="GA617" s="3"/>
      <c r="GB617" s="3"/>
      <c r="GC617" s="3"/>
      <c r="GD617" s="3"/>
      <c r="GE617" s="3"/>
      <c r="GF617" s="3"/>
      <c r="GG617" s="3"/>
      <c r="GH617" s="3"/>
      <c r="GI617" s="3"/>
      <c r="GJ617" s="3"/>
      <c r="GK617" s="131"/>
      <c r="GL617" s="15"/>
      <c r="GM617" s="99"/>
      <c r="GN617" s="149"/>
      <c r="GO617" s="134"/>
      <c r="GP617" s="134"/>
      <c r="GQ617" s="137"/>
      <c r="GR617" s="150"/>
      <c r="GS617" s="137"/>
      <c r="GT617" s="137"/>
      <c r="GU617" s="3"/>
      <c r="GV617" s="138"/>
      <c r="GW617" s="2"/>
      <c r="GX617" s="139"/>
      <c r="GY617" s="3"/>
      <c r="GZ617" s="3"/>
      <c r="HA617" s="3"/>
      <c r="HB617" s="3"/>
      <c r="HC617" s="3"/>
      <c r="HD617" s="3"/>
      <c r="HE617" s="3"/>
      <c r="HF617" s="3"/>
      <c r="HG617" s="3"/>
      <c r="HH617" s="3"/>
      <c r="HI617" s="131"/>
      <c r="HJ617" s="15"/>
      <c r="HK617" s="99"/>
      <c r="HL617" s="149"/>
      <c r="HM617" s="134"/>
      <c r="HN617" s="134"/>
      <c r="HO617" s="137"/>
      <c r="HP617" s="150"/>
      <c r="HQ617" s="137"/>
      <c r="HR617" s="137"/>
      <c r="HS617" s="3"/>
      <c r="HT617" s="138"/>
      <c r="HU617" s="2"/>
      <c r="HV617" s="139"/>
      <c r="HW617" s="3"/>
      <c r="HX617" s="3"/>
      <c r="HY617" s="3"/>
      <c r="HZ617" s="3"/>
      <c r="IA617" s="3"/>
      <c r="IB617" s="3"/>
      <c r="IC617" s="3"/>
      <c r="ID617" s="3"/>
      <c r="IE617" s="3"/>
      <c r="IF617" s="3"/>
      <c r="IG617" s="131"/>
      <c r="IH617" s="15"/>
      <c r="II617" s="99"/>
      <c r="IJ617" s="149"/>
      <c r="IK617" s="134"/>
      <c r="IL617" s="134"/>
      <c r="IM617" s="137"/>
      <c r="IN617" s="150"/>
      <c r="IO617" s="137"/>
      <c r="IP617" s="137"/>
      <c r="IQ617" s="3"/>
      <c r="IR617" s="138"/>
      <c r="IS617" s="2"/>
      <c r="IT617" s="139"/>
      <c r="IU617" s="3"/>
      <c r="IV617" s="3"/>
    </row>
    <row r="618" spans="1:256" s="125" customFormat="1" ht="13.5" customHeight="1">
      <c r="A618" s="86"/>
      <c r="B618" s="56"/>
      <c r="C618" s="18" t="s">
        <v>157</v>
      </c>
      <c r="D618" s="19"/>
      <c r="E618" s="20" t="s">
        <v>324</v>
      </c>
      <c r="F618" s="62" t="s">
        <v>822</v>
      </c>
      <c r="G618" s="63"/>
      <c r="H618" s="121"/>
      <c r="I618" s="24"/>
      <c r="J618" s="24">
        <v>28571</v>
      </c>
      <c r="K618" s="24">
        <f t="shared" si="54"/>
        <v>28571</v>
      </c>
      <c r="L618" s="123"/>
      <c r="M618" s="24">
        <v>28571</v>
      </c>
      <c r="N618" s="124">
        <f t="shared" si="55"/>
        <v>0</v>
      </c>
      <c r="O618" s="87"/>
      <c r="P618" s="3"/>
      <c r="Q618" s="140"/>
      <c r="R618" s="3"/>
      <c r="S618" s="3"/>
      <c r="T618" s="3"/>
      <c r="U618" s="3"/>
      <c r="V618" s="3"/>
      <c r="W618" s="3"/>
      <c r="X618" s="3"/>
      <c r="Y618" s="131"/>
      <c r="Z618" s="15"/>
      <c r="AA618" s="99"/>
      <c r="AB618" s="149"/>
      <c r="AC618" s="134"/>
      <c r="AD618" s="134"/>
      <c r="AE618" s="137"/>
      <c r="AF618" s="150"/>
      <c r="AG618" s="137"/>
      <c r="AH618" s="137"/>
      <c r="AI618" s="3"/>
      <c r="AJ618" s="138"/>
      <c r="AK618" s="2"/>
      <c r="AL618" s="139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131"/>
      <c r="AX618" s="15"/>
      <c r="AY618" s="99"/>
      <c r="AZ618" s="149"/>
      <c r="BA618" s="134"/>
      <c r="BB618" s="134"/>
      <c r="BC618" s="137"/>
      <c r="BD618" s="150"/>
      <c r="BE618" s="137"/>
      <c r="BF618" s="137"/>
      <c r="BG618" s="3"/>
      <c r="BH618" s="138"/>
      <c r="BI618" s="2"/>
      <c r="BJ618" s="139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131"/>
      <c r="BV618" s="15"/>
      <c r="BW618" s="99"/>
      <c r="BX618" s="149"/>
      <c r="BY618" s="134"/>
      <c r="BZ618" s="134"/>
      <c r="CA618" s="137"/>
      <c r="CB618" s="150"/>
      <c r="CC618" s="137"/>
      <c r="CD618" s="137"/>
      <c r="CE618" s="3"/>
      <c r="CF618" s="138"/>
      <c r="CG618" s="2"/>
      <c r="CH618" s="139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131"/>
      <c r="CT618" s="15"/>
      <c r="CU618" s="99"/>
      <c r="CV618" s="149"/>
      <c r="CW618" s="134"/>
      <c r="CX618" s="134"/>
      <c r="CY618" s="137"/>
      <c r="CZ618" s="150"/>
      <c r="DA618" s="137"/>
      <c r="DB618" s="137"/>
      <c r="DC618" s="3"/>
      <c r="DD618" s="138"/>
      <c r="DE618" s="2"/>
      <c r="DF618" s="139"/>
      <c r="DG618" s="3"/>
      <c r="DH618" s="3"/>
      <c r="DI618" s="3"/>
      <c r="DJ618" s="3"/>
      <c r="DK618" s="3"/>
      <c r="DL618" s="3"/>
      <c r="DM618" s="3"/>
      <c r="DN618" s="3"/>
      <c r="DO618" s="3"/>
      <c r="DP618" s="3"/>
      <c r="DQ618" s="131"/>
      <c r="DR618" s="15"/>
      <c r="DS618" s="99"/>
      <c r="DT618" s="149"/>
      <c r="DU618" s="134"/>
      <c r="DV618" s="134"/>
      <c r="DW618" s="137"/>
      <c r="DX618" s="150"/>
      <c r="DY618" s="137"/>
      <c r="DZ618" s="137"/>
      <c r="EA618" s="3"/>
      <c r="EB618" s="138"/>
      <c r="EC618" s="2"/>
      <c r="ED618" s="139"/>
      <c r="EE618" s="3"/>
      <c r="EF618" s="3"/>
      <c r="EG618" s="3"/>
      <c r="EH618" s="3"/>
      <c r="EI618" s="3"/>
      <c r="EJ618" s="3"/>
      <c r="EK618" s="3"/>
      <c r="EL618" s="3"/>
      <c r="EM618" s="3"/>
      <c r="EN618" s="3"/>
      <c r="EO618" s="131"/>
      <c r="EP618" s="15"/>
      <c r="EQ618" s="99"/>
      <c r="ER618" s="149"/>
      <c r="ES618" s="134"/>
      <c r="ET618" s="134"/>
      <c r="EU618" s="137"/>
      <c r="EV618" s="150"/>
      <c r="EW618" s="137"/>
      <c r="EX618" s="137"/>
      <c r="EY618" s="3"/>
      <c r="EZ618" s="138"/>
      <c r="FA618" s="2"/>
      <c r="FB618" s="139"/>
      <c r="FC618" s="3"/>
      <c r="FD618" s="3"/>
      <c r="FE618" s="3"/>
      <c r="FF618" s="3"/>
      <c r="FG618" s="3"/>
      <c r="FH618" s="3"/>
      <c r="FI618" s="3"/>
      <c r="FJ618" s="3"/>
      <c r="FK618" s="3"/>
      <c r="FL618" s="3"/>
      <c r="FM618" s="131"/>
      <c r="FN618" s="15"/>
      <c r="FO618" s="99"/>
      <c r="FP618" s="149"/>
      <c r="FQ618" s="134"/>
      <c r="FR618" s="134"/>
      <c r="FS618" s="137"/>
      <c r="FT618" s="150"/>
      <c r="FU618" s="137"/>
      <c r="FV618" s="137"/>
      <c r="FW618" s="3"/>
      <c r="FX618" s="138"/>
      <c r="FY618" s="2"/>
      <c r="FZ618" s="139"/>
      <c r="GA618" s="3"/>
      <c r="GB618" s="3"/>
      <c r="GC618" s="3"/>
      <c r="GD618" s="3"/>
      <c r="GE618" s="3"/>
      <c r="GF618" s="3"/>
      <c r="GG618" s="3"/>
      <c r="GH618" s="3"/>
      <c r="GI618" s="3"/>
      <c r="GJ618" s="3"/>
      <c r="GK618" s="131"/>
      <c r="GL618" s="15"/>
      <c r="GM618" s="99"/>
      <c r="GN618" s="149"/>
      <c r="GO618" s="134"/>
      <c r="GP618" s="134"/>
      <c r="GQ618" s="137"/>
      <c r="GR618" s="150"/>
      <c r="GS618" s="137"/>
      <c r="GT618" s="137"/>
      <c r="GU618" s="3"/>
      <c r="GV618" s="138"/>
      <c r="GW618" s="2"/>
      <c r="GX618" s="139"/>
      <c r="GY618" s="3"/>
      <c r="GZ618" s="3"/>
      <c r="HA618" s="3"/>
      <c r="HB618" s="3"/>
      <c r="HC618" s="3"/>
      <c r="HD618" s="3"/>
      <c r="HE618" s="3"/>
      <c r="HF618" s="3"/>
      <c r="HG618" s="3"/>
      <c r="HH618" s="3"/>
      <c r="HI618" s="131"/>
      <c r="HJ618" s="15"/>
      <c r="HK618" s="99"/>
      <c r="HL618" s="149"/>
      <c r="HM618" s="134"/>
      <c r="HN618" s="134"/>
      <c r="HO618" s="137"/>
      <c r="HP618" s="150"/>
      <c r="HQ618" s="137"/>
      <c r="HR618" s="137"/>
      <c r="HS618" s="3"/>
      <c r="HT618" s="138"/>
      <c r="HU618" s="2"/>
      <c r="HV618" s="139"/>
      <c r="HW618" s="3"/>
      <c r="HX618" s="3"/>
      <c r="HY618" s="3"/>
      <c r="HZ618" s="3"/>
      <c r="IA618" s="3"/>
      <c r="IB618" s="3"/>
      <c r="IC618" s="3"/>
      <c r="ID618" s="3"/>
      <c r="IE618" s="3"/>
      <c r="IF618" s="3"/>
      <c r="IG618" s="131"/>
      <c r="IH618" s="15"/>
      <c r="II618" s="99"/>
      <c r="IJ618" s="149"/>
      <c r="IK618" s="134"/>
      <c r="IL618" s="134"/>
      <c r="IM618" s="137"/>
      <c r="IN618" s="150"/>
      <c r="IO618" s="137"/>
      <c r="IP618" s="137"/>
      <c r="IQ618" s="3"/>
      <c r="IR618" s="138"/>
      <c r="IS618" s="2"/>
      <c r="IT618" s="139"/>
      <c r="IU618" s="3"/>
      <c r="IV618" s="3"/>
    </row>
    <row r="619" spans="1:256" s="125" customFormat="1" ht="13.5" customHeight="1">
      <c r="A619" s="86"/>
      <c r="B619" s="56"/>
      <c r="C619" s="18" t="s">
        <v>157</v>
      </c>
      <c r="D619" s="19" t="s">
        <v>472</v>
      </c>
      <c r="E619" s="20"/>
      <c r="F619" s="62" t="s">
        <v>823</v>
      </c>
      <c r="G619" s="63"/>
      <c r="H619" s="121"/>
      <c r="I619" s="24"/>
      <c r="J619" s="24">
        <f t="shared" ref="J619:J633" si="56">SUM(H619)/1.05</f>
        <v>0</v>
      </c>
      <c r="K619" s="24">
        <f t="shared" si="54"/>
        <v>0</v>
      </c>
      <c r="L619" s="123"/>
      <c r="M619" s="24">
        <f t="shared" ref="M619:M633" si="57">K619*L619</f>
        <v>0</v>
      </c>
      <c r="N619" s="124">
        <f t="shared" si="55"/>
        <v>0</v>
      </c>
      <c r="O619" s="87"/>
      <c r="P619" s="3"/>
      <c r="Q619" s="140"/>
      <c r="R619" s="3"/>
      <c r="S619" s="3"/>
      <c r="T619" s="3"/>
      <c r="U619" s="3"/>
      <c r="V619" s="3"/>
      <c r="W619" s="3"/>
      <c r="X619" s="3"/>
      <c r="Y619" s="131"/>
      <c r="Z619" s="15"/>
      <c r="AA619" s="99"/>
      <c r="AB619" s="149"/>
      <c r="AC619" s="134"/>
      <c r="AD619" s="134"/>
      <c r="AE619" s="137"/>
      <c r="AF619" s="150"/>
      <c r="AG619" s="137"/>
      <c r="AH619" s="137"/>
      <c r="AI619" s="3"/>
      <c r="AJ619" s="138"/>
      <c r="AK619" s="2"/>
      <c r="AL619" s="139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131"/>
      <c r="AX619" s="15"/>
      <c r="AY619" s="99"/>
      <c r="AZ619" s="149"/>
      <c r="BA619" s="134"/>
      <c r="BB619" s="134"/>
      <c r="BC619" s="137"/>
      <c r="BD619" s="150"/>
      <c r="BE619" s="137"/>
      <c r="BF619" s="137"/>
      <c r="BG619" s="3"/>
      <c r="BH619" s="138"/>
      <c r="BI619" s="2"/>
      <c r="BJ619" s="139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131"/>
      <c r="BV619" s="15"/>
      <c r="BW619" s="99"/>
      <c r="BX619" s="149"/>
      <c r="BY619" s="134"/>
      <c r="BZ619" s="134"/>
      <c r="CA619" s="137"/>
      <c r="CB619" s="150"/>
      <c r="CC619" s="137"/>
      <c r="CD619" s="137"/>
      <c r="CE619" s="3"/>
      <c r="CF619" s="138"/>
      <c r="CG619" s="2"/>
      <c r="CH619" s="139"/>
      <c r="CI619" s="3"/>
      <c r="CJ619" s="3"/>
      <c r="CK619" s="3"/>
      <c r="CL619" s="3"/>
      <c r="CM619" s="3"/>
      <c r="CN619" s="3"/>
      <c r="CO619" s="3"/>
      <c r="CP619" s="3"/>
      <c r="CQ619" s="3"/>
      <c r="CR619" s="3"/>
      <c r="CS619" s="131"/>
      <c r="CT619" s="15"/>
      <c r="CU619" s="99"/>
      <c r="CV619" s="149"/>
      <c r="CW619" s="134"/>
      <c r="CX619" s="134"/>
      <c r="CY619" s="137"/>
      <c r="CZ619" s="150"/>
      <c r="DA619" s="137"/>
      <c r="DB619" s="137"/>
      <c r="DC619" s="3"/>
      <c r="DD619" s="138"/>
      <c r="DE619" s="2"/>
      <c r="DF619" s="139"/>
      <c r="DG619" s="3"/>
      <c r="DH619" s="3"/>
      <c r="DI619" s="3"/>
      <c r="DJ619" s="3"/>
      <c r="DK619" s="3"/>
      <c r="DL619" s="3"/>
      <c r="DM619" s="3"/>
      <c r="DN619" s="3"/>
      <c r="DO619" s="3"/>
      <c r="DP619" s="3"/>
      <c r="DQ619" s="131"/>
      <c r="DR619" s="15"/>
      <c r="DS619" s="99"/>
      <c r="DT619" s="149"/>
      <c r="DU619" s="134"/>
      <c r="DV619" s="134"/>
      <c r="DW619" s="137"/>
      <c r="DX619" s="150"/>
      <c r="DY619" s="137"/>
      <c r="DZ619" s="137"/>
      <c r="EA619" s="3"/>
      <c r="EB619" s="138"/>
      <c r="EC619" s="2"/>
      <c r="ED619" s="139"/>
      <c r="EE619" s="3"/>
      <c r="EF619" s="3"/>
      <c r="EG619" s="3"/>
      <c r="EH619" s="3"/>
      <c r="EI619" s="3"/>
      <c r="EJ619" s="3"/>
      <c r="EK619" s="3"/>
      <c r="EL619" s="3"/>
      <c r="EM619" s="3"/>
      <c r="EN619" s="3"/>
      <c r="EO619" s="131"/>
      <c r="EP619" s="15"/>
      <c r="EQ619" s="99"/>
      <c r="ER619" s="149"/>
      <c r="ES619" s="134"/>
      <c r="ET619" s="134"/>
      <c r="EU619" s="137"/>
      <c r="EV619" s="150"/>
      <c r="EW619" s="137"/>
      <c r="EX619" s="137"/>
      <c r="EY619" s="3"/>
      <c r="EZ619" s="138"/>
      <c r="FA619" s="2"/>
      <c r="FB619" s="139"/>
      <c r="FC619" s="3"/>
      <c r="FD619" s="3"/>
      <c r="FE619" s="3"/>
      <c r="FF619" s="3"/>
      <c r="FG619" s="3"/>
      <c r="FH619" s="3"/>
      <c r="FI619" s="3"/>
      <c r="FJ619" s="3"/>
      <c r="FK619" s="3"/>
      <c r="FL619" s="3"/>
      <c r="FM619" s="131"/>
      <c r="FN619" s="15"/>
      <c r="FO619" s="99"/>
      <c r="FP619" s="149"/>
      <c r="FQ619" s="134"/>
      <c r="FR619" s="134"/>
      <c r="FS619" s="137"/>
      <c r="FT619" s="150"/>
      <c r="FU619" s="137"/>
      <c r="FV619" s="137"/>
      <c r="FW619" s="3"/>
      <c r="FX619" s="138"/>
      <c r="FY619" s="2"/>
      <c r="FZ619" s="139"/>
      <c r="GA619" s="3"/>
      <c r="GB619" s="3"/>
      <c r="GC619" s="3"/>
      <c r="GD619" s="3"/>
      <c r="GE619" s="3"/>
      <c r="GF619" s="3"/>
      <c r="GG619" s="3"/>
      <c r="GH619" s="3"/>
      <c r="GI619" s="3"/>
      <c r="GJ619" s="3"/>
      <c r="GK619" s="131"/>
      <c r="GL619" s="15"/>
      <c r="GM619" s="99"/>
      <c r="GN619" s="149"/>
      <c r="GO619" s="134"/>
      <c r="GP619" s="134"/>
      <c r="GQ619" s="137"/>
      <c r="GR619" s="150"/>
      <c r="GS619" s="137"/>
      <c r="GT619" s="137"/>
      <c r="GU619" s="3"/>
      <c r="GV619" s="138"/>
      <c r="GW619" s="2"/>
      <c r="GX619" s="139"/>
      <c r="GY619" s="3"/>
      <c r="GZ619" s="3"/>
      <c r="HA619" s="3"/>
      <c r="HB619" s="3"/>
      <c r="HC619" s="3"/>
      <c r="HD619" s="3"/>
      <c r="HE619" s="3"/>
      <c r="HF619" s="3"/>
      <c r="HG619" s="3"/>
      <c r="HH619" s="3"/>
      <c r="HI619" s="131"/>
      <c r="HJ619" s="15"/>
      <c r="HK619" s="99"/>
      <c r="HL619" s="149"/>
      <c r="HM619" s="134"/>
      <c r="HN619" s="134"/>
      <c r="HO619" s="137"/>
      <c r="HP619" s="150"/>
      <c r="HQ619" s="137"/>
      <c r="HR619" s="137"/>
      <c r="HS619" s="3"/>
      <c r="HT619" s="138"/>
      <c r="HU619" s="2"/>
      <c r="HV619" s="139"/>
      <c r="HW619" s="3"/>
      <c r="HX619" s="3"/>
      <c r="HY619" s="3"/>
      <c r="HZ619" s="3"/>
      <c r="IA619" s="3"/>
      <c r="IB619" s="3"/>
      <c r="IC619" s="3"/>
      <c r="ID619" s="3"/>
      <c r="IE619" s="3"/>
      <c r="IF619" s="3"/>
      <c r="IG619" s="131"/>
      <c r="IH619" s="15"/>
      <c r="II619" s="99"/>
      <c r="IJ619" s="149"/>
      <c r="IK619" s="134"/>
      <c r="IL619" s="134"/>
      <c r="IM619" s="137"/>
      <c r="IN619" s="150"/>
      <c r="IO619" s="137"/>
      <c r="IP619" s="137"/>
      <c r="IQ619" s="3"/>
      <c r="IR619" s="138"/>
      <c r="IS619" s="2"/>
      <c r="IT619" s="139"/>
      <c r="IU619" s="3"/>
      <c r="IV619" s="3"/>
    </row>
    <row r="620" spans="1:256" s="125" customFormat="1" ht="13.5" customHeight="1">
      <c r="A620" s="86"/>
      <c r="B620" s="56"/>
      <c r="C620" s="18" t="s">
        <v>157</v>
      </c>
      <c r="D620" s="19" t="s">
        <v>461</v>
      </c>
      <c r="E620" s="20"/>
      <c r="F620" s="62" t="s">
        <v>824</v>
      </c>
      <c r="G620" s="63"/>
      <c r="H620" s="121"/>
      <c r="I620" s="24"/>
      <c r="J620" s="24">
        <f t="shared" si="56"/>
        <v>0</v>
      </c>
      <c r="K620" s="24">
        <f t="shared" si="54"/>
        <v>0</v>
      </c>
      <c r="L620" s="123"/>
      <c r="M620" s="24">
        <f t="shared" si="57"/>
        <v>0</v>
      </c>
      <c r="N620" s="124">
        <f t="shared" si="55"/>
        <v>0</v>
      </c>
      <c r="O620" s="87"/>
      <c r="P620" s="3"/>
      <c r="Q620" s="140"/>
      <c r="R620" s="3"/>
      <c r="S620" s="3"/>
      <c r="T620" s="3"/>
      <c r="U620" s="3"/>
      <c r="V620" s="3"/>
      <c r="W620" s="3"/>
      <c r="X620" s="3"/>
      <c r="Y620" s="131"/>
      <c r="Z620" s="15"/>
      <c r="AA620" s="99"/>
      <c r="AB620" s="149"/>
      <c r="AC620" s="134"/>
      <c r="AD620" s="134"/>
      <c r="AE620" s="137"/>
      <c r="AF620" s="150"/>
      <c r="AG620" s="137"/>
      <c r="AH620" s="137"/>
      <c r="AI620" s="3"/>
      <c r="AJ620" s="138"/>
      <c r="AK620" s="2"/>
      <c r="AL620" s="139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131"/>
      <c r="AX620" s="15"/>
      <c r="AY620" s="99"/>
      <c r="AZ620" s="149"/>
      <c r="BA620" s="134"/>
      <c r="BB620" s="134"/>
      <c r="BC620" s="137"/>
      <c r="BD620" s="150"/>
      <c r="BE620" s="137"/>
      <c r="BF620" s="137"/>
      <c r="BG620" s="3"/>
      <c r="BH620" s="138"/>
      <c r="BI620" s="2"/>
      <c r="BJ620" s="139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131"/>
      <c r="BV620" s="15"/>
      <c r="BW620" s="99"/>
      <c r="BX620" s="149"/>
      <c r="BY620" s="134"/>
      <c r="BZ620" s="134"/>
      <c r="CA620" s="137"/>
      <c r="CB620" s="150"/>
      <c r="CC620" s="137"/>
      <c r="CD620" s="137"/>
      <c r="CE620" s="3"/>
      <c r="CF620" s="138"/>
      <c r="CG620" s="2"/>
      <c r="CH620" s="139"/>
      <c r="CI620" s="3"/>
      <c r="CJ620" s="3"/>
      <c r="CK620" s="3"/>
      <c r="CL620" s="3"/>
      <c r="CM620" s="3"/>
      <c r="CN620" s="3"/>
      <c r="CO620" s="3"/>
      <c r="CP620" s="3"/>
      <c r="CQ620" s="3"/>
      <c r="CR620" s="3"/>
      <c r="CS620" s="131"/>
      <c r="CT620" s="15"/>
      <c r="CU620" s="99"/>
      <c r="CV620" s="149"/>
      <c r="CW620" s="134"/>
      <c r="CX620" s="134"/>
      <c r="CY620" s="137"/>
      <c r="CZ620" s="150"/>
      <c r="DA620" s="137"/>
      <c r="DB620" s="137"/>
      <c r="DC620" s="3"/>
      <c r="DD620" s="138"/>
      <c r="DE620" s="2"/>
      <c r="DF620" s="139"/>
      <c r="DG620" s="3"/>
      <c r="DH620" s="3"/>
      <c r="DI620" s="3"/>
      <c r="DJ620" s="3"/>
      <c r="DK620" s="3"/>
      <c r="DL620" s="3"/>
      <c r="DM620" s="3"/>
      <c r="DN620" s="3"/>
      <c r="DO620" s="3"/>
      <c r="DP620" s="3"/>
      <c r="DQ620" s="131"/>
      <c r="DR620" s="15"/>
      <c r="DS620" s="99"/>
      <c r="DT620" s="149"/>
      <c r="DU620" s="134"/>
      <c r="DV620" s="134"/>
      <c r="DW620" s="137"/>
      <c r="DX620" s="150"/>
      <c r="DY620" s="137"/>
      <c r="DZ620" s="137"/>
      <c r="EA620" s="3"/>
      <c r="EB620" s="138"/>
      <c r="EC620" s="2"/>
      <c r="ED620" s="139"/>
      <c r="EE620" s="3"/>
      <c r="EF620" s="3"/>
      <c r="EG620" s="3"/>
      <c r="EH620" s="3"/>
      <c r="EI620" s="3"/>
      <c r="EJ620" s="3"/>
      <c r="EK620" s="3"/>
      <c r="EL620" s="3"/>
      <c r="EM620" s="3"/>
      <c r="EN620" s="3"/>
      <c r="EO620" s="131"/>
      <c r="EP620" s="15"/>
      <c r="EQ620" s="99"/>
      <c r="ER620" s="149"/>
      <c r="ES620" s="134"/>
      <c r="ET620" s="134"/>
      <c r="EU620" s="137"/>
      <c r="EV620" s="150"/>
      <c r="EW620" s="137"/>
      <c r="EX620" s="137"/>
      <c r="EY620" s="3"/>
      <c r="EZ620" s="138"/>
      <c r="FA620" s="2"/>
      <c r="FB620" s="139"/>
      <c r="FC620" s="3"/>
      <c r="FD620" s="3"/>
      <c r="FE620" s="3"/>
      <c r="FF620" s="3"/>
      <c r="FG620" s="3"/>
      <c r="FH620" s="3"/>
      <c r="FI620" s="3"/>
      <c r="FJ620" s="3"/>
      <c r="FK620" s="3"/>
      <c r="FL620" s="3"/>
      <c r="FM620" s="131"/>
      <c r="FN620" s="15"/>
      <c r="FO620" s="99"/>
      <c r="FP620" s="149"/>
      <c r="FQ620" s="134"/>
      <c r="FR620" s="134"/>
      <c r="FS620" s="137"/>
      <c r="FT620" s="150"/>
      <c r="FU620" s="137"/>
      <c r="FV620" s="137"/>
      <c r="FW620" s="3"/>
      <c r="FX620" s="138"/>
      <c r="FY620" s="2"/>
      <c r="FZ620" s="139"/>
      <c r="GA620" s="3"/>
      <c r="GB620" s="3"/>
      <c r="GC620" s="3"/>
      <c r="GD620" s="3"/>
      <c r="GE620" s="3"/>
      <c r="GF620" s="3"/>
      <c r="GG620" s="3"/>
      <c r="GH620" s="3"/>
      <c r="GI620" s="3"/>
      <c r="GJ620" s="3"/>
      <c r="GK620" s="131"/>
      <c r="GL620" s="15"/>
      <c r="GM620" s="99"/>
      <c r="GN620" s="149"/>
      <c r="GO620" s="134"/>
      <c r="GP620" s="134"/>
      <c r="GQ620" s="137"/>
      <c r="GR620" s="150"/>
      <c r="GS620" s="137"/>
      <c r="GT620" s="137"/>
      <c r="GU620" s="3"/>
      <c r="GV620" s="138"/>
      <c r="GW620" s="2"/>
      <c r="GX620" s="139"/>
      <c r="GY620" s="3"/>
      <c r="GZ620" s="3"/>
      <c r="HA620" s="3"/>
      <c r="HB620" s="3"/>
      <c r="HC620" s="3"/>
      <c r="HD620" s="3"/>
      <c r="HE620" s="3"/>
      <c r="HF620" s="3"/>
      <c r="HG620" s="3"/>
      <c r="HH620" s="3"/>
      <c r="HI620" s="131"/>
      <c r="HJ620" s="15"/>
      <c r="HK620" s="99"/>
      <c r="HL620" s="149"/>
      <c r="HM620" s="134"/>
      <c r="HN620" s="134"/>
      <c r="HO620" s="137"/>
      <c r="HP620" s="150"/>
      <c r="HQ620" s="137"/>
      <c r="HR620" s="137"/>
      <c r="HS620" s="3"/>
      <c r="HT620" s="138"/>
      <c r="HU620" s="2"/>
      <c r="HV620" s="139"/>
      <c r="HW620" s="3"/>
      <c r="HX620" s="3"/>
      <c r="HY620" s="3"/>
      <c r="HZ620" s="3"/>
      <c r="IA620" s="3"/>
      <c r="IB620" s="3"/>
      <c r="IC620" s="3"/>
      <c r="ID620" s="3"/>
      <c r="IE620" s="3"/>
      <c r="IF620" s="3"/>
      <c r="IG620" s="131"/>
      <c r="IH620" s="15"/>
      <c r="II620" s="99"/>
      <c r="IJ620" s="149"/>
      <c r="IK620" s="134"/>
      <c r="IL620" s="134"/>
      <c r="IM620" s="137"/>
      <c r="IN620" s="150"/>
      <c r="IO620" s="137"/>
      <c r="IP620" s="137"/>
      <c r="IQ620" s="3"/>
      <c r="IR620" s="138"/>
      <c r="IS620" s="2"/>
      <c r="IT620" s="139"/>
      <c r="IU620" s="3"/>
      <c r="IV620" s="3"/>
    </row>
    <row r="621" spans="1:256" s="125" customFormat="1" ht="13.5" customHeight="1">
      <c r="A621" s="86"/>
      <c r="B621" s="56"/>
      <c r="C621" s="18" t="s">
        <v>157</v>
      </c>
      <c r="D621" s="19" t="s">
        <v>461</v>
      </c>
      <c r="E621" s="20"/>
      <c r="F621" s="62" t="s">
        <v>825</v>
      </c>
      <c r="G621" s="63"/>
      <c r="H621" s="121"/>
      <c r="I621" s="24"/>
      <c r="J621" s="24">
        <f t="shared" si="56"/>
        <v>0</v>
      </c>
      <c r="K621" s="24">
        <f t="shared" si="54"/>
        <v>0</v>
      </c>
      <c r="L621" s="123"/>
      <c r="M621" s="24">
        <f t="shared" si="57"/>
        <v>0</v>
      </c>
      <c r="N621" s="124">
        <f t="shared" si="55"/>
        <v>0</v>
      </c>
      <c r="O621" s="87"/>
      <c r="P621" s="3"/>
      <c r="Q621" s="140"/>
      <c r="R621" s="3"/>
      <c r="S621" s="3"/>
      <c r="T621" s="3"/>
      <c r="U621" s="3"/>
      <c r="V621" s="3"/>
      <c r="W621" s="3"/>
      <c r="X621" s="3"/>
      <c r="Y621" s="131"/>
      <c r="Z621" s="15"/>
      <c r="AA621" s="99"/>
      <c r="AB621" s="149"/>
      <c r="AC621" s="134"/>
      <c r="AD621" s="134"/>
      <c r="AE621" s="137"/>
      <c r="AF621" s="150"/>
      <c r="AG621" s="137"/>
      <c r="AH621" s="137"/>
      <c r="AI621" s="3"/>
      <c r="AJ621" s="138"/>
      <c r="AK621" s="2"/>
      <c r="AL621" s="139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131"/>
      <c r="AX621" s="15"/>
      <c r="AY621" s="99"/>
      <c r="AZ621" s="149"/>
      <c r="BA621" s="134"/>
      <c r="BB621" s="134"/>
      <c r="BC621" s="137"/>
      <c r="BD621" s="150"/>
      <c r="BE621" s="137"/>
      <c r="BF621" s="137"/>
      <c r="BG621" s="3"/>
      <c r="BH621" s="138"/>
      <c r="BI621" s="2"/>
      <c r="BJ621" s="139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131"/>
      <c r="BV621" s="15"/>
      <c r="BW621" s="99"/>
      <c r="BX621" s="149"/>
      <c r="BY621" s="134"/>
      <c r="BZ621" s="134"/>
      <c r="CA621" s="137"/>
      <c r="CB621" s="150"/>
      <c r="CC621" s="137"/>
      <c r="CD621" s="137"/>
      <c r="CE621" s="3"/>
      <c r="CF621" s="138"/>
      <c r="CG621" s="2"/>
      <c r="CH621" s="139"/>
      <c r="CI621" s="3"/>
      <c r="CJ621" s="3"/>
      <c r="CK621" s="3"/>
      <c r="CL621" s="3"/>
      <c r="CM621" s="3"/>
      <c r="CN621" s="3"/>
      <c r="CO621" s="3"/>
      <c r="CP621" s="3"/>
      <c r="CQ621" s="3"/>
      <c r="CR621" s="3"/>
      <c r="CS621" s="131"/>
      <c r="CT621" s="15"/>
      <c r="CU621" s="99"/>
      <c r="CV621" s="149"/>
      <c r="CW621" s="134"/>
      <c r="CX621" s="134"/>
      <c r="CY621" s="137"/>
      <c r="CZ621" s="150"/>
      <c r="DA621" s="137"/>
      <c r="DB621" s="137"/>
      <c r="DC621" s="3"/>
      <c r="DD621" s="138"/>
      <c r="DE621" s="2"/>
      <c r="DF621" s="139"/>
      <c r="DG621" s="3"/>
      <c r="DH621" s="3"/>
      <c r="DI621" s="3"/>
      <c r="DJ621" s="3"/>
      <c r="DK621" s="3"/>
      <c r="DL621" s="3"/>
      <c r="DM621" s="3"/>
      <c r="DN621" s="3"/>
      <c r="DO621" s="3"/>
      <c r="DP621" s="3"/>
      <c r="DQ621" s="131"/>
      <c r="DR621" s="15"/>
      <c r="DS621" s="99"/>
      <c r="DT621" s="149"/>
      <c r="DU621" s="134"/>
      <c r="DV621" s="134"/>
      <c r="DW621" s="137"/>
      <c r="DX621" s="150"/>
      <c r="DY621" s="137"/>
      <c r="DZ621" s="137"/>
      <c r="EA621" s="3"/>
      <c r="EB621" s="138"/>
      <c r="EC621" s="2"/>
      <c r="ED621" s="139"/>
      <c r="EE621" s="3"/>
      <c r="EF621" s="3"/>
      <c r="EG621" s="3"/>
      <c r="EH621" s="3"/>
      <c r="EI621" s="3"/>
      <c r="EJ621" s="3"/>
      <c r="EK621" s="3"/>
      <c r="EL621" s="3"/>
      <c r="EM621" s="3"/>
      <c r="EN621" s="3"/>
      <c r="EO621" s="131"/>
      <c r="EP621" s="15"/>
      <c r="EQ621" s="99"/>
      <c r="ER621" s="149"/>
      <c r="ES621" s="134"/>
      <c r="ET621" s="134"/>
      <c r="EU621" s="137"/>
      <c r="EV621" s="150"/>
      <c r="EW621" s="137"/>
      <c r="EX621" s="137"/>
      <c r="EY621" s="3"/>
      <c r="EZ621" s="138"/>
      <c r="FA621" s="2"/>
      <c r="FB621" s="139"/>
      <c r="FC621" s="3"/>
      <c r="FD621" s="3"/>
      <c r="FE621" s="3"/>
      <c r="FF621" s="3"/>
      <c r="FG621" s="3"/>
      <c r="FH621" s="3"/>
      <c r="FI621" s="3"/>
      <c r="FJ621" s="3"/>
      <c r="FK621" s="3"/>
      <c r="FL621" s="3"/>
      <c r="FM621" s="131"/>
      <c r="FN621" s="15"/>
      <c r="FO621" s="99"/>
      <c r="FP621" s="149"/>
      <c r="FQ621" s="134"/>
      <c r="FR621" s="134"/>
      <c r="FS621" s="137"/>
      <c r="FT621" s="150"/>
      <c r="FU621" s="137"/>
      <c r="FV621" s="137"/>
      <c r="FW621" s="3"/>
      <c r="FX621" s="138"/>
      <c r="FY621" s="2"/>
      <c r="FZ621" s="139"/>
      <c r="GA621" s="3"/>
      <c r="GB621" s="3"/>
      <c r="GC621" s="3"/>
      <c r="GD621" s="3"/>
      <c r="GE621" s="3"/>
      <c r="GF621" s="3"/>
      <c r="GG621" s="3"/>
      <c r="GH621" s="3"/>
      <c r="GI621" s="3"/>
      <c r="GJ621" s="3"/>
      <c r="GK621" s="131"/>
      <c r="GL621" s="15"/>
      <c r="GM621" s="99"/>
      <c r="GN621" s="149"/>
      <c r="GO621" s="134"/>
      <c r="GP621" s="134"/>
      <c r="GQ621" s="137"/>
      <c r="GR621" s="150"/>
      <c r="GS621" s="137"/>
      <c r="GT621" s="137"/>
      <c r="GU621" s="3"/>
      <c r="GV621" s="138"/>
      <c r="GW621" s="2"/>
      <c r="GX621" s="139"/>
      <c r="GY621" s="3"/>
      <c r="GZ621" s="3"/>
      <c r="HA621" s="3"/>
      <c r="HB621" s="3"/>
      <c r="HC621" s="3"/>
      <c r="HD621" s="3"/>
      <c r="HE621" s="3"/>
      <c r="HF621" s="3"/>
      <c r="HG621" s="3"/>
      <c r="HH621" s="3"/>
      <c r="HI621" s="131"/>
      <c r="HJ621" s="15"/>
      <c r="HK621" s="99"/>
      <c r="HL621" s="149"/>
      <c r="HM621" s="134"/>
      <c r="HN621" s="134"/>
      <c r="HO621" s="137"/>
      <c r="HP621" s="150"/>
      <c r="HQ621" s="137"/>
      <c r="HR621" s="137"/>
      <c r="HS621" s="3"/>
      <c r="HT621" s="138"/>
      <c r="HU621" s="2"/>
      <c r="HV621" s="139"/>
      <c r="HW621" s="3"/>
      <c r="HX621" s="3"/>
      <c r="HY621" s="3"/>
      <c r="HZ621" s="3"/>
      <c r="IA621" s="3"/>
      <c r="IB621" s="3"/>
      <c r="IC621" s="3"/>
      <c r="ID621" s="3"/>
      <c r="IE621" s="3"/>
      <c r="IF621" s="3"/>
      <c r="IG621" s="131"/>
      <c r="IH621" s="15"/>
      <c r="II621" s="99"/>
      <c r="IJ621" s="149"/>
      <c r="IK621" s="134"/>
      <c r="IL621" s="134"/>
      <c r="IM621" s="137"/>
      <c r="IN621" s="150"/>
      <c r="IO621" s="137"/>
      <c r="IP621" s="137"/>
      <c r="IQ621" s="3"/>
      <c r="IR621" s="138"/>
      <c r="IS621" s="2"/>
      <c r="IT621" s="139"/>
      <c r="IU621" s="3"/>
      <c r="IV621" s="3"/>
    </row>
    <row r="622" spans="1:256" s="125" customFormat="1" ht="13.5" customHeight="1">
      <c r="A622" s="86"/>
      <c r="B622" s="56"/>
      <c r="C622" s="18" t="s">
        <v>157</v>
      </c>
      <c r="D622" s="19" t="s">
        <v>479</v>
      </c>
      <c r="E622" s="20"/>
      <c r="F622" s="62" t="s">
        <v>826</v>
      </c>
      <c r="G622" s="63"/>
      <c r="H622" s="121"/>
      <c r="I622" s="24"/>
      <c r="J622" s="24">
        <f t="shared" si="56"/>
        <v>0</v>
      </c>
      <c r="K622" s="24">
        <f t="shared" si="54"/>
        <v>0</v>
      </c>
      <c r="L622" s="123"/>
      <c r="M622" s="24">
        <f t="shared" si="57"/>
        <v>0</v>
      </c>
      <c r="N622" s="124">
        <f t="shared" si="55"/>
        <v>0</v>
      </c>
      <c r="O622" s="87"/>
      <c r="P622" s="3"/>
      <c r="Q622" s="140"/>
      <c r="R622" s="3"/>
      <c r="S622" s="3"/>
      <c r="T622" s="3"/>
      <c r="U622" s="3"/>
      <c r="V622" s="3"/>
      <c r="W622" s="3"/>
      <c r="X622" s="3"/>
      <c r="Y622" s="131"/>
      <c r="Z622" s="15"/>
      <c r="AA622" s="99"/>
      <c r="AB622" s="149"/>
      <c r="AC622" s="134"/>
      <c r="AD622" s="134"/>
      <c r="AE622" s="137"/>
      <c r="AF622" s="150"/>
      <c r="AG622" s="137"/>
      <c r="AH622" s="137"/>
      <c r="AI622" s="3"/>
      <c r="AJ622" s="138"/>
      <c r="AK622" s="2"/>
      <c r="AL622" s="139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131"/>
      <c r="AX622" s="15"/>
      <c r="AY622" s="99"/>
      <c r="AZ622" s="149"/>
      <c r="BA622" s="134"/>
      <c r="BB622" s="134"/>
      <c r="BC622" s="137"/>
      <c r="BD622" s="150"/>
      <c r="BE622" s="137"/>
      <c r="BF622" s="137"/>
      <c r="BG622" s="3"/>
      <c r="BH622" s="138"/>
      <c r="BI622" s="2"/>
      <c r="BJ622" s="139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131"/>
      <c r="BV622" s="15"/>
      <c r="BW622" s="99"/>
      <c r="BX622" s="149"/>
      <c r="BY622" s="134"/>
      <c r="BZ622" s="134"/>
      <c r="CA622" s="137"/>
      <c r="CB622" s="150"/>
      <c r="CC622" s="137"/>
      <c r="CD622" s="137"/>
      <c r="CE622" s="3"/>
      <c r="CF622" s="138"/>
      <c r="CG622" s="2"/>
      <c r="CH622" s="139"/>
      <c r="CI622" s="3"/>
      <c r="CJ622" s="3"/>
      <c r="CK622" s="3"/>
      <c r="CL622" s="3"/>
      <c r="CM622" s="3"/>
      <c r="CN622" s="3"/>
      <c r="CO622" s="3"/>
      <c r="CP622" s="3"/>
      <c r="CQ622" s="3"/>
      <c r="CR622" s="3"/>
      <c r="CS622" s="131"/>
      <c r="CT622" s="15"/>
      <c r="CU622" s="99"/>
      <c r="CV622" s="149"/>
      <c r="CW622" s="134"/>
      <c r="CX622" s="134"/>
      <c r="CY622" s="137"/>
      <c r="CZ622" s="150"/>
      <c r="DA622" s="137"/>
      <c r="DB622" s="137"/>
      <c r="DC622" s="3"/>
      <c r="DD622" s="138"/>
      <c r="DE622" s="2"/>
      <c r="DF622" s="139"/>
      <c r="DG622" s="3"/>
      <c r="DH622" s="3"/>
      <c r="DI622" s="3"/>
      <c r="DJ622" s="3"/>
      <c r="DK622" s="3"/>
      <c r="DL622" s="3"/>
      <c r="DM622" s="3"/>
      <c r="DN622" s="3"/>
      <c r="DO622" s="3"/>
      <c r="DP622" s="3"/>
      <c r="DQ622" s="131"/>
      <c r="DR622" s="15"/>
      <c r="DS622" s="99"/>
      <c r="DT622" s="149"/>
      <c r="DU622" s="134"/>
      <c r="DV622" s="134"/>
      <c r="DW622" s="137"/>
      <c r="DX622" s="150"/>
      <c r="DY622" s="137"/>
      <c r="DZ622" s="137"/>
      <c r="EA622" s="3"/>
      <c r="EB622" s="138"/>
      <c r="EC622" s="2"/>
      <c r="ED622" s="139"/>
      <c r="EE622" s="3"/>
      <c r="EF622" s="3"/>
      <c r="EG622" s="3"/>
      <c r="EH622" s="3"/>
      <c r="EI622" s="3"/>
      <c r="EJ622" s="3"/>
      <c r="EK622" s="3"/>
      <c r="EL622" s="3"/>
      <c r="EM622" s="3"/>
      <c r="EN622" s="3"/>
      <c r="EO622" s="131"/>
      <c r="EP622" s="15"/>
      <c r="EQ622" s="99"/>
      <c r="ER622" s="149"/>
      <c r="ES622" s="134"/>
      <c r="ET622" s="134"/>
      <c r="EU622" s="137"/>
      <c r="EV622" s="150"/>
      <c r="EW622" s="137"/>
      <c r="EX622" s="137"/>
      <c r="EY622" s="3"/>
      <c r="EZ622" s="138"/>
      <c r="FA622" s="2"/>
      <c r="FB622" s="139"/>
      <c r="FC622" s="3"/>
      <c r="FD622" s="3"/>
      <c r="FE622" s="3"/>
      <c r="FF622" s="3"/>
      <c r="FG622" s="3"/>
      <c r="FH622" s="3"/>
      <c r="FI622" s="3"/>
      <c r="FJ622" s="3"/>
      <c r="FK622" s="3"/>
      <c r="FL622" s="3"/>
      <c r="FM622" s="131"/>
      <c r="FN622" s="15"/>
      <c r="FO622" s="99"/>
      <c r="FP622" s="149"/>
      <c r="FQ622" s="134"/>
      <c r="FR622" s="134"/>
      <c r="FS622" s="137"/>
      <c r="FT622" s="150"/>
      <c r="FU622" s="137"/>
      <c r="FV622" s="137"/>
      <c r="FW622" s="3"/>
      <c r="FX622" s="138"/>
      <c r="FY622" s="2"/>
      <c r="FZ622" s="139"/>
      <c r="GA622" s="3"/>
      <c r="GB622" s="3"/>
      <c r="GC622" s="3"/>
      <c r="GD622" s="3"/>
      <c r="GE622" s="3"/>
      <c r="GF622" s="3"/>
      <c r="GG622" s="3"/>
      <c r="GH622" s="3"/>
      <c r="GI622" s="3"/>
      <c r="GJ622" s="3"/>
      <c r="GK622" s="131"/>
      <c r="GL622" s="15"/>
      <c r="GM622" s="99"/>
      <c r="GN622" s="149"/>
      <c r="GO622" s="134"/>
      <c r="GP622" s="134"/>
      <c r="GQ622" s="137"/>
      <c r="GR622" s="150"/>
      <c r="GS622" s="137"/>
      <c r="GT622" s="137"/>
      <c r="GU622" s="3"/>
      <c r="GV622" s="138"/>
      <c r="GW622" s="2"/>
      <c r="GX622" s="139"/>
      <c r="GY622" s="3"/>
      <c r="GZ622" s="3"/>
      <c r="HA622" s="3"/>
      <c r="HB622" s="3"/>
      <c r="HC622" s="3"/>
      <c r="HD622" s="3"/>
      <c r="HE622" s="3"/>
      <c r="HF622" s="3"/>
      <c r="HG622" s="3"/>
      <c r="HH622" s="3"/>
      <c r="HI622" s="131"/>
      <c r="HJ622" s="15"/>
      <c r="HK622" s="99"/>
      <c r="HL622" s="149"/>
      <c r="HM622" s="134"/>
      <c r="HN622" s="134"/>
      <c r="HO622" s="137"/>
      <c r="HP622" s="150"/>
      <c r="HQ622" s="137"/>
      <c r="HR622" s="137"/>
      <c r="HS622" s="3"/>
      <c r="HT622" s="138"/>
      <c r="HU622" s="2"/>
      <c r="HV622" s="139"/>
      <c r="HW622" s="3"/>
      <c r="HX622" s="3"/>
      <c r="HY622" s="3"/>
      <c r="HZ622" s="3"/>
      <c r="IA622" s="3"/>
      <c r="IB622" s="3"/>
      <c r="IC622" s="3"/>
      <c r="ID622" s="3"/>
      <c r="IE622" s="3"/>
      <c r="IF622" s="3"/>
      <c r="IG622" s="131"/>
      <c r="IH622" s="15"/>
      <c r="II622" s="99"/>
      <c r="IJ622" s="149"/>
      <c r="IK622" s="134"/>
      <c r="IL622" s="134"/>
      <c r="IM622" s="137"/>
      <c r="IN622" s="150"/>
      <c r="IO622" s="137"/>
      <c r="IP622" s="137"/>
      <c r="IQ622" s="3"/>
      <c r="IR622" s="138"/>
      <c r="IS622" s="2"/>
      <c r="IT622" s="139"/>
      <c r="IU622" s="3"/>
      <c r="IV622" s="3"/>
    </row>
    <row r="623" spans="1:256" s="125" customFormat="1" ht="13.5" customHeight="1">
      <c r="A623" s="86"/>
      <c r="B623" s="56"/>
      <c r="C623" s="18" t="s">
        <v>157</v>
      </c>
      <c r="D623" s="19" t="s">
        <v>479</v>
      </c>
      <c r="E623" s="20"/>
      <c r="F623" s="62" t="s">
        <v>827</v>
      </c>
      <c r="G623" s="63"/>
      <c r="H623" s="121"/>
      <c r="I623" s="24"/>
      <c r="J623" s="24">
        <f t="shared" si="56"/>
        <v>0</v>
      </c>
      <c r="K623" s="24">
        <f t="shared" si="54"/>
        <v>0</v>
      </c>
      <c r="L623" s="123"/>
      <c r="M623" s="24">
        <f t="shared" si="57"/>
        <v>0</v>
      </c>
      <c r="N623" s="124">
        <f t="shared" si="55"/>
        <v>0</v>
      </c>
      <c r="O623" s="87"/>
      <c r="P623" s="3"/>
      <c r="Q623" s="140"/>
      <c r="R623" s="3"/>
      <c r="S623" s="3"/>
      <c r="T623" s="3"/>
      <c r="U623" s="3"/>
      <c r="V623" s="3"/>
      <c r="W623" s="3"/>
      <c r="X623" s="3"/>
      <c r="Y623" s="131"/>
      <c r="Z623" s="15"/>
      <c r="AA623" s="99"/>
      <c r="AB623" s="149"/>
      <c r="AC623" s="134"/>
      <c r="AD623" s="134"/>
      <c r="AE623" s="137"/>
      <c r="AF623" s="150"/>
      <c r="AG623" s="137"/>
      <c r="AH623" s="137"/>
      <c r="AI623" s="3"/>
      <c r="AJ623" s="138"/>
      <c r="AK623" s="2"/>
      <c r="AL623" s="139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131"/>
      <c r="AX623" s="15"/>
      <c r="AY623" s="99"/>
      <c r="AZ623" s="149"/>
      <c r="BA623" s="134"/>
      <c r="BB623" s="134"/>
      <c r="BC623" s="137"/>
      <c r="BD623" s="150"/>
      <c r="BE623" s="137"/>
      <c r="BF623" s="137"/>
      <c r="BG623" s="3"/>
      <c r="BH623" s="138"/>
      <c r="BI623" s="2"/>
      <c r="BJ623" s="139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131"/>
      <c r="BV623" s="15"/>
      <c r="BW623" s="99"/>
      <c r="BX623" s="149"/>
      <c r="BY623" s="134"/>
      <c r="BZ623" s="134"/>
      <c r="CA623" s="137"/>
      <c r="CB623" s="150"/>
      <c r="CC623" s="137"/>
      <c r="CD623" s="137"/>
      <c r="CE623" s="3"/>
      <c r="CF623" s="138"/>
      <c r="CG623" s="2"/>
      <c r="CH623" s="139"/>
      <c r="CI623" s="3"/>
      <c r="CJ623" s="3"/>
      <c r="CK623" s="3"/>
      <c r="CL623" s="3"/>
      <c r="CM623" s="3"/>
      <c r="CN623" s="3"/>
      <c r="CO623" s="3"/>
      <c r="CP623" s="3"/>
      <c r="CQ623" s="3"/>
      <c r="CR623" s="3"/>
      <c r="CS623" s="131"/>
      <c r="CT623" s="15"/>
      <c r="CU623" s="99"/>
      <c r="CV623" s="149"/>
      <c r="CW623" s="134"/>
      <c r="CX623" s="134"/>
      <c r="CY623" s="137"/>
      <c r="CZ623" s="150"/>
      <c r="DA623" s="137"/>
      <c r="DB623" s="137"/>
      <c r="DC623" s="3"/>
      <c r="DD623" s="138"/>
      <c r="DE623" s="2"/>
      <c r="DF623" s="139"/>
      <c r="DG623" s="3"/>
      <c r="DH623" s="3"/>
      <c r="DI623" s="3"/>
      <c r="DJ623" s="3"/>
      <c r="DK623" s="3"/>
      <c r="DL623" s="3"/>
      <c r="DM623" s="3"/>
      <c r="DN623" s="3"/>
      <c r="DO623" s="3"/>
      <c r="DP623" s="3"/>
      <c r="DQ623" s="131"/>
      <c r="DR623" s="15"/>
      <c r="DS623" s="99"/>
      <c r="DT623" s="149"/>
      <c r="DU623" s="134"/>
      <c r="DV623" s="134"/>
      <c r="DW623" s="137"/>
      <c r="DX623" s="150"/>
      <c r="DY623" s="137"/>
      <c r="DZ623" s="137"/>
      <c r="EA623" s="3"/>
      <c r="EB623" s="138"/>
      <c r="EC623" s="2"/>
      <c r="ED623" s="139"/>
      <c r="EE623" s="3"/>
      <c r="EF623" s="3"/>
      <c r="EG623" s="3"/>
      <c r="EH623" s="3"/>
      <c r="EI623" s="3"/>
      <c r="EJ623" s="3"/>
      <c r="EK623" s="3"/>
      <c r="EL623" s="3"/>
      <c r="EM623" s="3"/>
      <c r="EN623" s="3"/>
      <c r="EO623" s="131"/>
      <c r="EP623" s="15"/>
      <c r="EQ623" s="99"/>
      <c r="ER623" s="149"/>
      <c r="ES623" s="134"/>
      <c r="ET623" s="134"/>
      <c r="EU623" s="137"/>
      <c r="EV623" s="150"/>
      <c r="EW623" s="137"/>
      <c r="EX623" s="137"/>
      <c r="EY623" s="3"/>
      <c r="EZ623" s="138"/>
      <c r="FA623" s="2"/>
      <c r="FB623" s="139"/>
      <c r="FC623" s="3"/>
      <c r="FD623" s="3"/>
      <c r="FE623" s="3"/>
      <c r="FF623" s="3"/>
      <c r="FG623" s="3"/>
      <c r="FH623" s="3"/>
      <c r="FI623" s="3"/>
      <c r="FJ623" s="3"/>
      <c r="FK623" s="3"/>
      <c r="FL623" s="3"/>
      <c r="FM623" s="131"/>
      <c r="FN623" s="15"/>
      <c r="FO623" s="99"/>
      <c r="FP623" s="149"/>
      <c r="FQ623" s="134"/>
      <c r="FR623" s="134"/>
      <c r="FS623" s="137"/>
      <c r="FT623" s="150"/>
      <c r="FU623" s="137"/>
      <c r="FV623" s="137"/>
      <c r="FW623" s="3"/>
      <c r="FX623" s="138"/>
      <c r="FY623" s="2"/>
      <c r="FZ623" s="139"/>
      <c r="GA623" s="3"/>
      <c r="GB623" s="3"/>
      <c r="GC623" s="3"/>
      <c r="GD623" s="3"/>
      <c r="GE623" s="3"/>
      <c r="GF623" s="3"/>
      <c r="GG623" s="3"/>
      <c r="GH623" s="3"/>
      <c r="GI623" s="3"/>
      <c r="GJ623" s="3"/>
      <c r="GK623" s="131"/>
      <c r="GL623" s="15"/>
      <c r="GM623" s="99"/>
      <c r="GN623" s="149"/>
      <c r="GO623" s="134"/>
      <c r="GP623" s="134"/>
      <c r="GQ623" s="137"/>
      <c r="GR623" s="150"/>
      <c r="GS623" s="137"/>
      <c r="GT623" s="137"/>
      <c r="GU623" s="3"/>
      <c r="GV623" s="138"/>
      <c r="GW623" s="2"/>
      <c r="GX623" s="139"/>
      <c r="GY623" s="3"/>
      <c r="GZ623" s="3"/>
      <c r="HA623" s="3"/>
      <c r="HB623" s="3"/>
      <c r="HC623" s="3"/>
      <c r="HD623" s="3"/>
      <c r="HE623" s="3"/>
      <c r="HF623" s="3"/>
      <c r="HG623" s="3"/>
      <c r="HH623" s="3"/>
      <c r="HI623" s="131"/>
      <c r="HJ623" s="15"/>
      <c r="HK623" s="99"/>
      <c r="HL623" s="149"/>
      <c r="HM623" s="134"/>
      <c r="HN623" s="134"/>
      <c r="HO623" s="137"/>
      <c r="HP623" s="150"/>
      <c r="HQ623" s="137"/>
      <c r="HR623" s="137"/>
      <c r="HS623" s="3"/>
      <c r="HT623" s="138"/>
      <c r="HU623" s="2"/>
      <c r="HV623" s="139"/>
      <c r="HW623" s="3"/>
      <c r="HX623" s="3"/>
      <c r="HY623" s="3"/>
      <c r="HZ623" s="3"/>
      <c r="IA623" s="3"/>
      <c r="IB623" s="3"/>
      <c r="IC623" s="3"/>
      <c r="ID623" s="3"/>
      <c r="IE623" s="3"/>
      <c r="IF623" s="3"/>
      <c r="IG623" s="131"/>
      <c r="IH623" s="15"/>
      <c r="II623" s="99"/>
      <c r="IJ623" s="149"/>
      <c r="IK623" s="134"/>
      <c r="IL623" s="134"/>
      <c r="IM623" s="137"/>
      <c r="IN623" s="150"/>
      <c r="IO623" s="137"/>
      <c r="IP623" s="137"/>
      <c r="IQ623" s="3"/>
      <c r="IR623" s="138"/>
      <c r="IS623" s="2"/>
      <c r="IT623" s="139"/>
      <c r="IU623" s="3"/>
      <c r="IV623" s="3"/>
    </row>
    <row r="624" spans="1:256" s="125" customFormat="1" ht="13.5" customHeight="1">
      <c r="A624" s="86"/>
      <c r="B624" s="60"/>
      <c r="C624" s="18" t="s">
        <v>157</v>
      </c>
      <c r="D624" s="19" t="s">
        <v>828</v>
      </c>
      <c r="E624" s="20"/>
      <c r="F624" s="120" t="s">
        <v>829</v>
      </c>
      <c r="G624" s="63"/>
      <c r="H624" s="121"/>
      <c r="I624" s="24"/>
      <c r="J624" s="24">
        <f t="shared" si="56"/>
        <v>0</v>
      </c>
      <c r="K624" s="24">
        <f t="shared" si="54"/>
        <v>0</v>
      </c>
      <c r="L624" s="123"/>
      <c r="M624" s="24">
        <f t="shared" si="57"/>
        <v>0</v>
      </c>
      <c r="N624" s="124">
        <f t="shared" si="55"/>
        <v>0</v>
      </c>
      <c r="O624" s="28"/>
      <c r="P624" s="3"/>
      <c r="Q624" s="140"/>
      <c r="R624" s="3"/>
      <c r="S624" s="3"/>
      <c r="T624" s="3"/>
      <c r="U624" s="3"/>
      <c r="V624" s="3"/>
      <c r="W624" s="3"/>
      <c r="X624" s="3"/>
      <c r="Y624" s="131"/>
      <c r="Z624" s="15"/>
      <c r="AA624" s="99"/>
      <c r="AB624" s="149"/>
      <c r="AC624" s="134"/>
      <c r="AD624" s="134"/>
      <c r="AE624" s="137"/>
      <c r="AF624" s="150"/>
      <c r="AG624" s="137"/>
      <c r="AH624" s="137"/>
      <c r="AI624" s="3"/>
      <c r="AJ624" s="138"/>
      <c r="AK624" s="2"/>
      <c r="AL624" s="139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131"/>
      <c r="AX624" s="15"/>
      <c r="AY624" s="99"/>
      <c r="AZ624" s="149"/>
      <c r="BA624" s="134"/>
      <c r="BB624" s="134"/>
      <c r="BC624" s="137"/>
      <c r="BD624" s="150"/>
      <c r="BE624" s="137"/>
      <c r="BF624" s="137"/>
      <c r="BG624" s="3"/>
      <c r="BH624" s="138"/>
      <c r="BI624" s="2"/>
      <c r="BJ624" s="139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131"/>
      <c r="BV624" s="15"/>
      <c r="BW624" s="99"/>
      <c r="BX624" s="149"/>
      <c r="BY624" s="134"/>
      <c r="BZ624" s="134"/>
      <c r="CA624" s="137"/>
      <c r="CB624" s="150"/>
      <c r="CC624" s="137"/>
      <c r="CD624" s="137"/>
      <c r="CE624" s="3"/>
      <c r="CF624" s="138"/>
      <c r="CG624" s="2"/>
      <c r="CH624" s="139"/>
      <c r="CI624" s="3"/>
      <c r="CJ624" s="3"/>
      <c r="CK624" s="3"/>
      <c r="CL624" s="3"/>
      <c r="CM624" s="3"/>
      <c r="CN624" s="3"/>
      <c r="CO624" s="3"/>
      <c r="CP624" s="3"/>
      <c r="CQ624" s="3"/>
      <c r="CR624" s="3"/>
      <c r="CS624" s="131"/>
      <c r="CT624" s="15"/>
      <c r="CU624" s="99"/>
      <c r="CV624" s="149"/>
      <c r="CW624" s="134"/>
      <c r="CX624" s="134"/>
      <c r="CY624" s="137"/>
      <c r="CZ624" s="150"/>
      <c r="DA624" s="137"/>
      <c r="DB624" s="137"/>
      <c r="DC624" s="3"/>
      <c r="DD624" s="138"/>
      <c r="DE624" s="2"/>
      <c r="DF624" s="139"/>
      <c r="DG624" s="3"/>
      <c r="DH624" s="3"/>
      <c r="DI624" s="3"/>
      <c r="DJ624" s="3"/>
      <c r="DK624" s="3"/>
      <c r="DL624" s="3"/>
      <c r="DM624" s="3"/>
      <c r="DN624" s="3"/>
      <c r="DO624" s="3"/>
      <c r="DP624" s="3"/>
      <c r="DQ624" s="131"/>
      <c r="DR624" s="15"/>
      <c r="DS624" s="99"/>
      <c r="DT624" s="149"/>
      <c r="DU624" s="134"/>
      <c r="DV624" s="134"/>
      <c r="DW624" s="137"/>
      <c r="DX624" s="150"/>
      <c r="DY624" s="137"/>
      <c r="DZ624" s="137"/>
      <c r="EA624" s="3"/>
      <c r="EB624" s="138"/>
      <c r="EC624" s="2"/>
      <c r="ED624" s="139"/>
      <c r="EE624" s="3"/>
      <c r="EF624" s="3"/>
      <c r="EG624" s="3"/>
      <c r="EH624" s="3"/>
      <c r="EI624" s="3"/>
      <c r="EJ624" s="3"/>
      <c r="EK624" s="3"/>
      <c r="EL624" s="3"/>
      <c r="EM624" s="3"/>
      <c r="EN624" s="3"/>
      <c r="EO624" s="131"/>
      <c r="EP624" s="15"/>
      <c r="EQ624" s="99"/>
      <c r="ER624" s="149"/>
      <c r="ES624" s="134"/>
      <c r="ET624" s="134"/>
      <c r="EU624" s="137"/>
      <c r="EV624" s="150"/>
      <c r="EW624" s="137"/>
      <c r="EX624" s="137"/>
      <c r="EY624" s="3"/>
      <c r="EZ624" s="138"/>
      <c r="FA624" s="2"/>
      <c r="FB624" s="139"/>
      <c r="FC624" s="3"/>
      <c r="FD624" s="3"/>
      <c r="FE624" s="3"/>
      <c r="FF624" s="3"/>
      <c r="FG624" s="3"/>
      <c r="FH624" s="3"/>
      <c r="FI624" s="3"/>
      <c r="FJ624" s="3"/>
      <c r="FK624" s="3"/>
      <c r="FL624" s="3"/>
      <c r="FM624" s="131"/>
      <c r="FN624" s="15"/>
      <c r="FO624" s="99"/>
      <c r="FP624" s="149"/>
      <c r="FQ624" s="134"/>
      <c r="FR624" s="134"/>
      <c r="FS624" s="137"/>
      <c r="FT624" s="150"/>
      <c r="FU624" s="137"/>
      <c r="FV624" s="137"/>
      <c r="FW624" s="3"/>
      <c r="FX624" s="138"/>
      <c r="FY624" s="2"/>
      <c r="FZ624" s="139"/>
      <c r="GA624" s="3"/>
      <c r="GB624" s="3"/>
      <c r="GC624" s="3"/>
      <c r="GD624" s="3"/>
      <c r="GE624" s="3"/>
      <c r="GF624" s="3"/>
      <c r="GG624" s="3"/>
      <c r="GH624" s="3"/>
      <c r="GI624" s="3"/>
      <c r="GJ624" s="3"/>
      <c r="GK624" s="131"/>
      <c r="GL624" s="15"/>
      <c r="GM624" s="99"/>
      <c r="GN624" s="149"/>
      <c r="GO624" s="134"/>
      <c r="GP624" s="134"/>
      <c r="GQ624" s="137"/>
      <c r="GR624" s="150"/>
      <c r="GS624" s="137"/>
      <c r="GT624" s="137"/>
      <c r="GU624" s="3"/>
      <c r="GV624" s="138"/>
      <c r="GW624" s="2"/>
      <c r="GX624" s="139"/>
      <c r="GY624" s="3"/>
      <c r="GZ624" s="3"/>
      <c r="HA624" s="3"/>
      <c r="HB624" s="3"/>
      <c r="HC624" s="3"/>
      <c r="HD624" s="3"/>
      <c r="HE624" s="3"/>
      <c r="HF624" s="3"/>
      <c r="HG624" s="3"/>
      <c r="HH624" s="3"/>
      <c r="HI624" s="131"/>
      <c r="HJ624" s="15"/>
      <c r="HK624" s="99"/>
      <c r="HL624" s="149"/>
      <c r="HM624" s="134"/>
      <c r="HN624" s="134"/>
      <c r="HO624" s="137"/>
      <c r="HP624" s="150"/>
      <c r="HQ624" s="137"/>
      <c r="HR624" s="137"/>
      <c r="HS624" s="3"/>
      <c r="HT624" s="138"/>
      <c r="HU624" s="2"/>
      <c r="HV624" s="139"/>
      <c r="HW624" s="3"/>
      <c r="HX624" s="3"/>
      <c r="HY624" s="3"/>
      <c r="HZ624" s="3"/>
      <c r="IA624" s="3"/>
      <c r="IB624" s="3"/>
      <c r="IC624" s="3"/>
      <c r="ID624" s="3"/>
      <c r="IE624" s="3"/>
      <c r="IF624" s="3"/>
      <c r="IG624" s="131"/>
      <c r="IH624" s="15"/>
      <c r="II624" s="99"/>
      <c r="IJ624" s="149"/>
      <c r="IK624" s="134"/>
      <c r="IL624" s="134"/>
      <c r="IM624" s="137"/>
      <c r="IN624" s="150"/>
      <c r="IO624" s="137"/>
      <c r="IP624" s="137"/>
      <c r="IQ624" s="3"/>
      <c r="IR624" s="138"/>
      <c r="IS624" s="2"/>
      <c r="IT624" s="139"/>
      <c r="IU624" s="3"/>
      <c r="IV624" s="3"/>
    </row>
    <row r="625" spans="1:256" s="125" customFormat="1" ht="13.5" customHeight="1">
      <c r="A625" s="86"/>
      <c r="B625" s="60"/>
      <c r="C625" s="18" t="s">
        <v>157</v>
      </c>
      <c r="D625" s="19" t="s">
        <v>379</v>
      </c>
      <c r="E625" s="20"/>
      <c r="F625" s="120" t="s">
        <v>830</v>
      </c>
      <c r="G625" s="63"/>
      <c r="H625" s="121"/>
      <c r="I625" s="24"/>
      <c r="J625" s="24">
        <f t="shared" ref="J625:J632" si="58">SUM(H625)/1.05</f>
        <v>0</v>
      </c>
      <c r="K625" s="24">
        <f t="shared" si="54"/>
        <v>0</v>
      </c>
      <c r="L625" s="123"/>
      <c r="M625" s="24">
        <f t="shared" si="57"/>
        <v>0</v>
      </c>
      <c r="N625" s="124">
        <f t="shared" si="55"/>
        <v>0</v>
      </c>
      <c r="O625" s="28"/>
      <c r="P625" s="3"/>
      <c r="Q625" s="140"/>
      <c r="R625" s="3"/>
      <c r="S625" s="3"/>
      <c r="T625" s="3"/>
      <c r="U625" s="3"/>
      <c r="V625" s="3"/>
      <c r="W625" s="3"/>
      <c r="X625" s="3"/>
      <c r="Y625" s="131"/>
      <c r="Z625" s="15"/>
      <c r="AA625" s="99"/>
      <c r="AB625" s="149"/>
      <c r="AC625" s="134"/>
      <c r="AD625" s="134"/>
      <c r="AE625" s="137"/>
      <c r="AF625" s="150"/>
      <c r="AG625" s="137"/>
      <c r="AH625" s="137"/>
      <c r="AI625" s="3"/>
      <c r="AJ625" s="138"/>
      <c r="AK625" s="2"/>
      <c r="AL625" s="139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131"/>
      <c r="AX625" s="15"/>
      <c r="AY625" s="99"/>
      <c r="AZ625" s="149"/>
      <c r="BA625" s="134"/>
      <c r="BB625" s="134"/>
      <c r="BC625" s="137"/>
      <c r="BD625" s="150"/>
      <c r="BE625" s="137"/>
      <c r="BF625" s="137"/>
      <c r="BG625" s="3"/>
      <c r="BH625" s="138"/>
      <c r="BI625" s="2"/>
      <c r="BJ625" s="139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131"/>
      <c r="BV625" s="15"/>
      <c r="BW625" s="99"/>
      <c r="BX625" s="149"/>
      <c r="BY625" s="134"/>
      <c r="BZ625" s="134"/>
      <c r="CA625" s="137"/>
      <c r="CB625" s="150"/>
      <c r="CC625" s="137"/>
      <c r="CD625" s="137"/>
      <c r="CE625" s="3"/>
      <c r="CF625" s="138"/>
      <c r="CG625" s="2"/>
      <c r="CH625" s="139"/>
      <c r="CI625" s="3"/>
      <c r="CJ625" s="3"/>
      <c r="CK625" s="3"/>
      <c r="CL625" s="3"/>
      <c r="CM625" s="3"/>
      <c r="CN625" s="3"/>
      <c r="CO625" s="3"/>
      <c r="CP625" s="3"/>
      <c r="CQ625" s="3"/>
      <c r="CR625" s="3"/>
      <c r="CS625" s="131"/>
      <c r="CT625" s="15"/>
      <c r="CU625" s="99"/>
      <c r="CV625" s="149"/>
      <c r="CW625" s="134"/>
      <c r="CX625" s="134"/>
      <c r="CY625" s="137"/>
      <c r="CZ625" s="150"/>
      <c r="DA625" s="137"/>
      <c r="DB625" s="137"/>
      <c r="DC625" s="3"/>
      <c r="DD625" s="138"/>
      <c r="DE625" s="2"/>
      <c r="DF625" s="139"/>
      <c r="DG625" s="3"/>
      <c r="DH625" s="3"/>
      <c r="DI625" s="3"/>
      <c r="DJ625" s="3"/>
      <c r="DK625" s="3"/>
      <c r="DL625" s="3"/>
      <c r="DM625" s="3"/>
      <c r="DN625" s="3"/>
      <c r="DO625" s="3"/>
      <c r="DP625" s="3"/>
      <c r="DQ625" s="131"/>
      <c r="DR625" s="15"/>
      <c r="DS625" s="99"/>
      <c r="DT625" s="149"/>
      <c r="DU625" s="134"/>
      <c r="DV625" s="134"/>
      <c r="DW625" s="137"/>
      <c r="DX625" s="150"/>
      <c r="DY625" s="137"/>
      <c r="DZ625" s="137"/>
      <c r="EA625" s="3"/>
      <c r="EB625" s="138"/>
      <c r="EC625" s="2"/>
      <c r="ED625" s="139"/>
      <c r="EE625" s="3"/>
      <c r="EF625" s="3"/>
      <c r="EG625" s="3"/>
      <c r="EH625" s="3"/>
      <c r="EI625" s="3"/>
      <c r="EJ625" s="3"/>
      <c r="EK625" s="3"/>
      <c r="EL625" s="3"/>
      <c r="EM625" s="3"/>
      <c r="EN625" s="3"/>
      <c r="EO625" s="131"/>
      <c r="EP625" s="15"/>
      <c r="EQ625" s="99"/>
      <c r="ER625" s="149"/>
      <c r="ES625" s="134"/>
      <c r="ET625" s="134"/>
      <c r="EU625" s="137"/>
      <c r="EV625" s="150"/>
      <c r="EW625" s="137"/>
      <c r="EX625" s="137"/>
      <c r="EY625" s="3"/>
      <c r="EZ625" s="138"/>
      <c r="FA625" s="2"/>
      <c r="FB625" s="139"/>
      <c r="FC625" s="3"/>
      <c r="FD625" s="3"/>
      <c r="FE625" s="3"/>
      <c r="FF625" s="3"/>
      <c r="FG625" s="3"/>
      <c r="FH625" s="3"/>
      <c r="FI625" s="3"/>
      <c r="FJ625" s="3"/>
      <c r="FK625" s="3"/>
      <c r="FL625" s="3"/>
      <c r="FM625" s="131"/>
      <c r="FN625" s="15"/>
      <c r="FO625" s="99"/>
      <c r="FP625" s="149"/>
      <c r="FQ625" s="134"/>
      <c r="FR625" s="134"/>
      <c r="FS625" s="137"/>
      <c r="FT625" s="150"/>
      <c r="FU625" s="137"/>
      <c r="FV625" s="137"/>
      <c r="FW625" s="3"/>
      <c r="FX625" s="138"/>
      <c r="FY625" s="2"/>
      <c r="FZ625" s="139"/>
      <c r="GA625" s="3"/>
      <c r="GB625" s="3"/>
      <c r="GC625" s="3"/>
      <c r="GD625" s="3"/>
      <c r="GE625" s="3"/>
      <c r="GF625" s="3"/>
      <c r="GG625" s="3"/>
      <c r="GH625" s="3"/>
      <c r="GI625" s="3"/>
      <c r="GJ625" s="3"/>
      <c r="GK625" s="131"/>
      <c r="GL625" s="15"/>
      <c r="GM625" s="99"/>
      <c r="GN625" s="149"/>
      <c r="GO625" s="134"/>
      <c r="GP625" s="134"/>
      <c r="GQ625" s="137"/>
      <c r="GR625" s="150"/>
      <c r="GS625" s="137"/>
      <c r="GT625" s="137"/>
      <c r="GU625" s="3"/>
      <c r="GV625" s="138"/>
      <c r="GW625" s="2"/>
      <c r="GX625" s="139"/>
      <c r="GY625" s="3"/>
      <c r="GZ625" s="3"/>
      <c r="HA625" s="3"/>
      <c r="HB625" s="3"/>
      <c r="HC625" s="3"/>
      <c r="HD625" s="3"/>
      <c r="HE625" s="3"/>
      <c r="HF625" s="3"/>
      <c r="HG625" s="3"/>
      <c r="HH625" s="3"/>
      <c r="HI625" s="131"/>
      <c r="HJ625" s="15"/>
      <c r="HK625" s="99"/>
      <c r="HL625" s="149"/>
      <c r="HM625" s="134"/>
      <c r="HN625" s="134"/>
      <c r="HO625" s="137"/>
      <c r="HP625" s="150"/>
      <c r="HQ625" s="137"/>
      <c r="HR625" s="137"/>
      <c r="HS625" s="3"/>
      <c r="HT625" s="138"/>
      <c r="HU625" s="2"/>
      <c r="HV625" s="139"/>
      <c r="HW625" s="3"/>
      <c r="HX625" s="3"/>
      <c r="HY625" s="3"/>
      <c r="HZ625" s="3"/>
      <c r="IA625" s="3"/>
      <c r="IB625" s="3"/>
      <c r="IC625" s="3"/>
      <c r="ID625" s="3"/>
      <c r="IE625" s="3"/>
      <c r="IF625" s="3"/>
      <c r="IG625" s="131"/>
      <c r="IH625" s="15"/>
      <c r="II625" s="99"/>
      <c r="IJ625" s="149"/>
      <c r="IK625" s="134"/>
      <c r="IL625" s="134"/>
      <c r="IM625" s="137"/>
      <c r="IN625" s="150"/>
      <c r="IO625" s="137"/>
      <c r="IP625" s="137"/>
      <c r="IQ625" s="3"/>
      <c r="IR625" s="138"/>
      <c r="IS625" s="2"/>
      <c r="IT625" s="139"/>
      <c r="IU625" s="3"/>
      <c r="IV625" s="3"/>
    </row>
    <row r="626" spans="1:256" s="125" customFormat="1" ht="13.5" customHeight="1">
      <c r="A626" s="86"/>
      <c r="B626" s="60"/>
      <c r="C626" s="18" t="s">
        <v>157</v>
      </c>
      <c r="D626" s="19" t="s">
        <v>379</v>
      </c>
      <c r="E626" s="20"/>
      <c r="F626" s="120" t="s">
        <v>831</v>
      </c>
      <c r="G626" s="63"/>
      <c r="H626" s="121"/>
      <c r="I626" s="24"/>
      <c r="J626" s="24">
        <f t="shared" si="58"/>
        <v>0</v>
      </c>
      <c r="K626" s="24">
        <f t="shared" si="54"/>
        <v>0</v>
      </c>
      <c r="L626" s="123"/>
      <c r="M626" s="24">
        <f t="shared" si="57"/>
        <v>0</v>
      </c>
      <c r="N626" s="124">
        <f t="shared" si="55"/>
        <v>0</v>
      </c>
      <c r="O626" s="28"/>
      <c r="P626" s="3"/>
      <c r="Q626" s="140"/>
      <c r="R626" s="3"/>
      <c r="S626" s="3"/>
      <c r="T626" s="3"/>
      <c r="U626" s="3"/>
      <c r="V626" s="3"/>
      <c r="W626" s="3"/>
      <c r="X626" s="3"/>
      <c r="Y626" s="131"/>
      <c r="Z626" s="15"/>
      <c r="AA626" s="99"/>
      <c r="AB626" s="149"/>
      <c r="AC626" s="134"/>
      <c r="AD626" s="134"/>
      <c r="AE626" s="137"/>
      <c r="AF626" s="150"/>
      <c r="AG626" s="137"/>
      <c r="AH626" s="137"/>
      <c r="AI626" s="3"/>
      <c r="AJ626" s="138"/>
      <c r="AK626" s="2"/>
      <c r="AL626" s="139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131"/>
      <c r="AX626" s="15"/>
      <c r="AY626" s="99"/>
      <c r="AZ626" s="149"/>
      <c r="BA626" s="134"/>
      <c r="BB626" s="134"/>
      <c r="BC626" s="137"/>
      <c r="BD626" s="150"/>
      <c r="BE626" s="137"/>
      <c r="BF626" s="137"/>
      <c r="BG626" s="3"/>
      <c r="BH626" s="138"/>
      <c r="BI626" s="2"/>
      <c r="BJ626" s="139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131"/>
      <c r="BV626" s="15"/>
      <c r="BW626" s="99"/>
      <c r="BX626" s="149"/>
      <c r="BY626" s="134"/>
      <c r="BZ626" s="134"/>
      <c r="CA626" s="137"/>
      <c r="CB626" s="150"/>
      <c r="CC626" s="137"/>
      <c r="CD626" s="137"/>
      <c r="CE626" s="3"/>
      <c r="CF626" s="138"/>
      <c r="CG626" s="2"/>
      <c r="CH626" s="139"/>
      <c r="CI626" s="3"/>
      <c r="CJ626" s="3"/>
      <c r="CK626" s="3"/>
      <c r="CL626" s="3"/>
      <c r="CM626" s="3"/>
      <c r="CN626" s="3"/>
      <c r="CO626" s="3"/>
      <c r="CP626" s="3"/>
      <c r="CQ626" s="3"/>
      <c r="CR626" s="3"/>
      <c r="CS626" s="131"/>
      <c r="CT626" s="15"/>
      <c r="CU626" s="99"/>
      <c r="CV626" s="149"/>
      <c r="CW626" s="134"/>
      <c r="CX626" s="134"/>
      <c r="CY626" s="137"/>
      <c r="CZ626" s="150"/>
      <c r="DA626" s="137"/>
      <c r="DB626" s="137"/>
      <c r="DC626" s="3"/>
      <c r="DD626" s="138"/>
      <c r="DE626" s="2"/>
      <c r="DF626" s="139"/>
      <c r="DG626" s="3"/>
      <c r="DH626" s="3"/>
      <c r="DI626" s="3"/>
      <c r="DJ626" s="3"/>
      <c r="DK626" s="3"/>
      <c r="DL626" s="3"/>
      <c r="DM626" s="3"/>
      <c r="DN626" s="3"/>
      <c r="DO626" s="3"/>
      <c r="DP626" s="3"/>
      <c r="DQ626" s="131"/>
      <c r="DR626" s="15"/>
      <c r="DS626" s="99"/>
      <c r="DT626" s="149"/>
      <c r="DU626" s="134"/>
      <c r="DV626" s="134"/>
      <c r="DW626" s="137"/>
      <c r="DX626" s="150"/>
      <c r="DY626" s="137"/>
      <c r="DZ626" s="137"/>
      <c r="EA626" s="3"/>
      <c r="EB626" s="138"/>
      <c r="EC626" s="2"/>
      <c r="ED626" s="139"/>
      <c r="EE626" s="3"/>
      <c r="EF626" s="3"/>
      <c r="EG626" s="3"/>
      <c r="EH626" s="3"/>
      <c r="EI626" s="3"/>
      <c r="EJ626" s="3"/>
      <c r="EK626" s="3"/>
      <c r="EL626" s="3"/>
      <c r="EM626" s="3"/>
      <c r="EN626" s="3"/>
      <c r="EO626" s="131"/>
      <c r="EP626" s="15"/>
      <c r="EQ626" s="99"/>
      <c r="ER626" s="149"/>
      <c r="ES626" s="134"/>
      <c r="ET626" s="134"/>
      <c r="EU626" s="137"/>
      <c r="EV626" s="150"/>
      <c r="EW626" s="137"/>
      <c r="EX626" s="137"/>
      <c r="EY626" s="3"/>
      <c r="EZ626" s="138"/>
      <c r="FA626" s="2"/>
      <c r="FB626" s="139"/>
      <c r="FC626" s="3"/>
      <c r="FD626" s="3"/>
      <c r="FE626" s="3"/>
      <c r="FF626" s="3"/>
      <c r="FG626" s="3"/>
      <c r="FH626" s="3"/>
      <c r="FI626" s="3"/>
      <c r="FJ626" s="3"/>
      <c r="FK626" s="3"/>
      <c r="FL626" s="3"/>
      <c r="FM626" s="131"/>
      <c r="FN626" s="15"/>
      <c r="FO626" s="99"/>
      <c r="FP626" s="149"/>
      <c r="FQ626" s="134"/>
      <c r="FR626" s="134"/>
      <c r="FS626" s="137"/>
      <c r="FT626" s="150"/>
      <c r="FU626" s="137"/>
      <c r="FV626" s="137"/>
      <c r="FW626" s="3"/>
      <c r="FX626" s="138"/>
      <c r="FY626" s="2"/>
      <c r="FZ626" s="139"/>
      <c r="GA626" s="3"/>
      <c r="GB626" s="3"/>
      <c r="GC626" s="3"/>
      <c r="GD626" s="3"/>
      <c r="GE626" s="3"/>
      <c r="GF626" s="3"/>
      <c r="GG626" s="3"/>
      <c r="GH626" s="3"/>
      <c r="GI626" s="3"/>
      <c r="GJ626" s="3"/>
      <c r="GK626" s="131"/>
      <c r="GL626" s="15"/>
      <c r="GM626" s="99"/>
      <c r="GN626" s="149"/>
      <c r="GO626" s="134"/>
      <c r="GP626" s="134"/>
      <c r="GQ626" s="137"/>
      <c r="GR626" s="150"/>
      <c r="GS626" s="137"/>
      <c r="GT626" s="137"/>
      <c r="GU626" s="3"/>
      <c r="GV626" s="138"/>
      <c r="GW626" s="2"/>
      <c r="GX626" s="139"/>
      <c r="GY626" s="3"/>
      <c r="GZ626" s="3"/>
      <c r="HA626" s="3"/>
      <c r="HB626" s="3"/>
      <c r="HC626" s="3"/>
      <c r="HD626" s="3"/>
      <c r="HE626" s="3"/>
      <c r="HF626" s="3"/>
      <c r="HG626" s="3"/>
      <c r="HH626" s="3"/>
      <c r="HI626" s="131"/>
      <c r="HJ626" s="15"/>
      <c r="HK626" s="99"/>
      <c r="HL626" s="149"/>
      <c r="HM626" s="134"/>
      <c r="HN626" s="134"/>
      <c r="HO626" s="137"/>
      <c r="HP626" s="150"/>
      <c r="HQ626" s="137"/>
      <c r="HR626" s="137"/>
      <c r="HS626" s="3"/>
      <c r="HT626" s="138"/>
      <c r="HU626" s="2"/>
      <c r="HV626" s="139"/>
      <c r="HW626" s="3"/>
      <c r="HX626" s="3"/>
      <c r="HY626" s="3"/>
      <c r="HZ626" s="3"/>
      <c r="IA626" s="3"/>
      <c r="IB626" s="3"/>
      <c r="IC626" s="3"/>
      <c r="ID626" s="3"/>
      <c r="IE626" s="3"/>
      <c r="IF626" s="3"/>
      <c r="IG626" s="131"/>
      <c r="IH626" s="15"/>
      <c r="II626" s="99"/>
      <c r="IJ626" s="149"/>
      <c r="IK626" s="134"/>
      <c r="IL626" s="134"/>
      <c r="IM626" s="137"/>
      <c r="IN626" s="150"/>
      <c r="IO626" s="137"/>
      <c r="IP626" s="137"/>
      <c r="IQ626" s="3"/>
      <c r="IR626" s="138"/>
      <c r="IS626" s="2"/>
      <c r="IT626" s="139"/>
      <c r="IU626" s="3"/>
      <c r="IV626" s="3"/>
    </row>
    <row r="627" spans="1:256" s="125" customFormat="1" ht="13.5" customHeight="1">
      <c r="A627" s="86"/>
      <c r="B627" s="60"/>
      <c r="C627" s="18" t="s">
        <v>157</v>
      </c>
      <c r="D627" s="19" t="s">
        <v>379</v>
      </c>
      <c r="E627" s="20"/>
      <c r="F627" s="120" t="s">
        <v>832</v>
      </c>
      <c r="G627" s="63"/>
      <c r="H627" s="121"/>
      <c r="I627" s="24"/>
      <c r="J627" s="24">
        <f t="shared" si="58"/>
        <v>0</v>
      </c>
      <c r="K627" s="24">
        <f t="shared" si="54"/>
        <v>0</v>
      </c>
      <c r="L627" s="123"/>
      <c r="M627" s="24">
        <f t="shared" si="57"/>
        <v>0</v>
      </c>
      <c r="N627" s="124">
        <f t="shared" si="55"/>
        <v>0</v>
      </c>
      <c r="O627" s="28"/>
      <c r="P627" s="3"/>
      <c r="Q627" s="140"/>
      <c r="R627" s="3"/>
      <c r="S627" s="3"/>
      <c r="T627" s="3"/>
      <c r="U627" s="3"/>
      <c r="V627" s="3"/>
      <c r="W627" s="3"/>
      <c r="X627" s="3"/>
      <c r="Y627" s="131"/>
      <c r="Z627" s="15"/>
      <c r="AA627" s="99"/>
      <c r="AB627" s="149"/>
      <c r="AC627" s="134"/>
      <c r="AD627" s="134"/>
      <c r="AE627" s="137"/>
      <c r="AF627" s="150"/>
      <c r="AG627" s="137"/>
      <c r="AH627" s="137"/>
      <c r="AI627" s="3"/>
      <c r="AJ627" s="138"/>
      <c r="AK627" s="2"/>
      <c r="AL627" s="139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131"/>
      <c r="AX627" s="15"/>
      <c r="AY627" s="99"/>
      <c r="AZ627" s="149"/>
      <c r="BA627" s="134"/>
      <c r="BB627" s="134"/>
      <c r="BC627" s="137"/>
      <c r="BD627" s="150"/>
      <c r="BE627" s="137"/>
      <c r="BF627" s="137"/>
      <c r="BG627" s="3"/>
      <c r="BH627" s="138"/>
      <c r="BI627" s="2"/>
      <c r="BJ627" s="139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131"/>
      <c r="BV627" s="15"/>
      <c r="BW627" s="99"/>
      <c r="BX627" s="149"/>
      <c r="BY627" s="134"/>
      <c r="BZ627" s="134"/>
      <c r="CA627" s="137"/>
      <c r="CB627" s="150"/>
      <c r="CC627" s="137"/>
      <c r="CD627" s="137"/>
      <c r="CE627" s="3"/>
      <c r="CF627" s="138"/>
      <c r="CG627" s="2"/>
      <c r="CH627" s="139"/>
      <c r="CI627" s="3"/>
      <c r="CJ627" s="3"/>
      <c r="CK627" s="3"/>
      <c r="CL627" s="3"/>
      <c r="CM627" s="3"/>
      <c r="CN627" s="3"/>
      <c r="CO627" s="3"/>
      <c r="CP627" s="3"/>
      <c r="CQ627" s="3"/>
      <c r="CR627" s="3"/>
      <c r="CS627" s="131"/>
      <c r="CT627" s="15"/>
      <c r="CU627" s="99"/>
      <c r="CV627" s="149"/>
      <c r="CW627" s="134"/>
      <c r="CX627" s="134"/>
      <c r="CY627" s="137"/>
      <c r="CZ627" s="150"/>
      <c r="DA627" s="137"/>
      <c r="DB627" s="137"/>
      <c r="DC627" s="3"/>
      <c r="DD627" s="138"/>
      <c r="DE627" s="2"/>
      <c r="DF627" s="139"/>
      <c r="DG627" s="3"/>
      <c r="DH627" s="3"/>
      <c r="DI627" s="3"/>
      <c r="DJ627" s="3"/>
      <c r="DK627" s="3"/>
      <c r="DL627" s="3"/>
      <c r="DM627" s="3"/>
      <c r="DN627" s="3"/>
      <c r="DO627" s="3"/>
      <c r="DP627" s="3"/>
      <c r="DQ627" s="131"/>
      <c r="DR627" s="15"/>
      <c r="DS627" s="99"/>
      <c r="DT627" s="149"/>
      <c r="DU627" s="134"/>
      <c r="DV627" s="134"/>
      <c r="DW627" s="137"/>
      <c r="DX627" s="150"/>
      <c r="DY627" s="137"/>
      <c r="DZ627" s="137"/>
      <c r="EA627" s="3"/>
      <c r="EB627" s="138"/>
      <c r="EC627" s="2"/>
      <c r="ED627" s="139"/>
      <c r="EE627" s="3"/>
      <c r="EF627" s="3"/>
      <c r="EG627" s="3"/>
      <c r="EH627" s="3"/>
      <c r="EI627" s="3"/>
      <c r="EJ627" s="3"/>
      <c r="EK627" s="3"/>
      <c r="EL627" s="3"/>
      <c r="EM627" s="3"/>
      <c r="EN627" s="3"/>
      <c r="EO627" s="131"/>
      <c r="EP627" s="15"/>
      <c r="EQ627" s="99"/>
      <c r="ER627" s="149"/>
      <c r="ES627" s="134"/>
      <c r="ET627" s="134"/>
      <c r="EU627" s="137"/>
      <c r="EV627" s="150"/>
      <c r="EW627" s="137"/>
      <c r="EX627" s="137"/>
      <c r="EY627" s="3"/>
      <c r="EZ627" s="138"/>
      <c r="FA627" s="2"/>
      <c r="FB627" s="139"/>
      <c r="FC627" s="3"/>
      <c r="FD627" s="3"/>
      <c r="FE627" s="3"/>
      <c r="FF627" s="3"/>
      <c r="FG627" s="3"/>
      <c r="FH627" s="3"/>
      <c r="FI627" s="3"/>
      <c r="FJ627" s="3"/>
      <c r="FK627" s="3"/>
      <c r="FL627" s="3"/>
      <c r="FM627" s="131"/>
      <c r="FN627" s="15"/>
      <c r="FO627" s="99"/>
      <c r="FP627" s="149"/>
      <c r="FQ627" s="134"/>
      <c r="FR627" s="134"/>
      <c r="FS627" s="137"/>
      <c r="FT627" s="150"/>
      <c r="FU627" s="137"/>
      <c r="FV627" s="137"/>
      <c r="FW627" s="3"/>
      <c r="FX627" s="138"/>
      <c r="FY627" s="2"/>
      <c r="FZ627" s="139"/>
      <c r="GA627" s="3"/>
      <c r="GB627" s="3"/>
      <c r="GC627" s="3"/>
      <c r="GD627" s="3"/>
      <c r="GE627" s="3"/>
      <c r="GF627" s="3"/>
      <c r="GG627" s="3"/>
      <c r="GH627" s="3"/>
      <c r="GI627" s="3"/>
      <c r="GJ627" s="3"/>
      <c r="GK627" s="131"/>
      <c r="GL627" s="15"/>
      <c r="GM627" s="99"/>
      <c r="GN627" s="149"/>
      <c r="GO627" s="134"/>
      <c r="GP627" s="134"/>
      <c r="GQ627" s="137"/>
      <c r="GR627" s="150"/>
      <c r="GS627" s="137"/>
      <c r="GT627" s="137"/>
      <c r="GU627" s="3"/>
      <c r="GV627" s="138"/>
      <c r="GW627" s="2"/>
      <c r="GX627" s="139"/>
      <c r="GY627" s="3"/>
      <c r="GZ627" s="3"/>
      <c r="HA627" s="3"/>
      <c r="HB627" s="3"/>
      <c r="HC627" s="3"/>
      <c r="HD627" s="3"/>
      <c r="HE627" s="3"/>
      <c r="HF627" s="3"/>
      <c r="HG627" s="3"/>
      <c r="HH627" s="3"/>
      <c r="HI627" s="131"/>
      <c r="HJ627" s="15"/>
      <c r="HK627" s="99"/>
      <c r="HL627" s="149"/>
      <c r="HM627" s="134"/>
      <c r="HN627" s="134"/>
      <c r="HO627" s="137"/>
      <c r="HP627" s="150"/>
      <c r="HQ627" s="137"/>
      <c r="HR627" s="137"/>
      <c r="HS627" s="3"/>
      <c r="HT627" s="138"/>
      <c r="HU627" s="2"/>
      <c r="HV627" s="139"/>
      <c r="HW627" s="3"/>
      <c r="HX627" s="3"/>
      <c r="HY627" s="3"/>
      <c r="HZ627" s="3"/>
      <c r="IA627" s="3"/>
      <c r="IB627" s="3"/>
      <c r="IC627" s="3"/>
      <c r="ID627" s="3"/>
      <c r="IE627" s="3"/>
      <c r="IF627" s="3"/>
      <c r="IG627" s="131"/>
      <c r="IH627" s="15"/>
      <c r="II627" s="99"/>
      <c r="IJ627" s="149"/>
      <c r="IK627" s="134"/>
      <c r="IL627" s="134"/>
      <c r="IM627" s="137"/>
      <c r="IN627" s="150"/>
      <c r="IO627" s="137"/>
      <c r="IP627" s="137"/>
      <c r="IQ627" s="3"/>
      <c r="IR627" s="138"/>
      <c r="IS627" s="2"/>
      <c r="IT627" s="139"/>
      <c r="IU627" s="3"/>
      <c r="IV627" s="3"/>
    </row>
    <row r="628" spans="1:256" s="125" customFormat="1" ht="13.5" customHeight="1">
      <c r="A628" s="86"/>
      <c r="B628" s="60"/>
      <c r="C628" s="18" t="s">
        <v>157</v>
      </c>
      <c r="D628" s="19" t="s">
        <v>379</v>
      </c>
      <c r="E628" s="20"/>
      <c r="F628" s="120" t="s">
        <v>833</v>
      </c>
      <c r="G628" s="63"/>
      <c r="H628" s="121"/>
      <c r="I628" s="24"/>
      <c r="J628" s="24">
        <f t="shared" si="58"/>
        <v>0</v>
      </c>
      <c r="K628" s="24">
        <f t="shared" si="54"/>
        <v>0</v>
      </c>
      <c r="L628" s="123"/>
      <c r="M628" s="24">
        <f t="shared" si="57"/>
        <v>0</v>
      </c>
      <c r="N628" s="124">
        <f t="shared" si="55"/>
        <v>0</v>
      </c>
      <c r="O628" s="28"/>
      <c r="P628" s="3"/>
      <c r="Q628" s="140"/>
      <c r="R628" s="3"/>
      <c r="S628" s="3"/>
      <c r="T628" s="3"/>
      <c r="U628" s="3"/>
      <c r="V628" s="3"/>
      <c r="W628" s="3"/>
      <c r="X628" s="3"/>
      <c r="Y628" s="131"/>
      <c r="Z628" s="15"/>
      <c r="AA628" s="99"/>
      <c r="AB628" s="149"/>
      <c r="AC628" s="134"/>
      <c r="AD628" s="134"/>
      <c r="AE628" s="137"/>
      <c r="AF628" s="150"/>
      <c r="AG628" s="137"/>
      <c r="AH628" s="137"/>
      <c r="AI628" s="3"/>
      <c r="AJ628" s="138"/>
      <c r="AK628" s="2"/>
      <c r="AL628" s="139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131"/>
      <c r="AX628" s="15"/>
      <c r="AY628" s="99"/>
      <c r="AZ628" s="149"/>
      <c r="BA628" s="134"/>
      <c r="BB628" s="134"/>
      <c r="BC628" s="137"/>
      <c r="BD628" s="150"/>
      <c r="BE628" s="137"/>
      <c r="BF628" s="137"/>
      <c r="BG628" s="3"/>
      <c r="BH628" s="138"/>
      <c r="BI628" s="2"/>
      <c r="BJ628" s="139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131"/>
      <c r="BV628" s="15"/>
      <c r="BW628" s="99"/>
      <c r="BX628" s="149"/>
      <c r="BY628" s="134"/>
      <c r="BZ628" s="134"/>
      <c r="CA628" s="137"/>
      <c r="CB628" s="150"/>
      <c r="CC628" s="137"/>
      <c r="CD628" s="137"/>
      <c r="CE628" s="3"/>
      <c r="CF628" s="138"/>
      <c r="CG628" s="2"/>
      <c r="CH628" s="139"/>
      <c r="CI628" s="3"/>
      <c r="CJ628" s="3"/>
      <c r="CK628" s="3"/>
      <c r="CL628" s="3"/>
      <c r="CM628" s="3"/>
      <c r="CN628" s="3"/>
      <c r="CO628" s="3"/>
      <c r="CP628" s="3"/>
      <c r="CQ628" s="3"/>
      <c r="CR628" s="3"/>
      <c r="CS628" s="131"/>
      <c r="CT628" s="15"/>
      <c r="CU628" s="99"/>
      <c r="CV628" s="149"/>
      <c r="CW628" s="134"/>
      <c r="CX628" s="134"/>
      <c r="CY628" s="137"/>
      <c r="CZ628" s="150"/>
      <c r="DA628" s="137"/>
      <c r="DB628" s="137"/>
      <c r="DC628" s="3"/>
      <c r="DD628" s="138"/>
      <c r="DE628" s="2"/>
      <c r="DF628" s="139"/>
      <c r="DG628" s="3"/>
      <c r="DH628" s="3"/>
      <c r="DI628" s="3"/>
      <c r="DJ628" s="3"/>
      <c r="DK628" s="3"/>
      <c r="DL628" s="3"/>
      <c r="DM628" s="3"/>
      <c r="DN628" s="3"/>
      <c r="DO628" s="3"/>
      <c r="DP628" s="3"/>
      <c r="DQ628" s="131"/>
      <c r="DR628" s="15"/>
      <c r="DS628" s="99"/>
      <c r="DT628" s="149"/>
      <c r="DU628" s="134"/>
      <c r="DV628" s="134"/>
      <c r="DW628" s="137"/>
      <c r="DX628" s="150"/>
      <c r="DY628" s="137"/>
      <c r="DZ628" s="137"/>
      <c r="EA628" s="3"/>
      <c r="EB628" s="138"/>
      <c r="EC628" s="2"/>
      <c r="ED628" s="139"/>
      <c r="EE628" s="3"/>
      <c r="EF628" s="3"/>
      <c r="EG628" s="3"/>
      <c r="EH628" s="3"/>
      <c r="EI628" s="3"/>
      <c r="EJ628" s="3"/>
      <c r="EK628" s="3"/>
      <c r="EL628" s="3"/>
      <c r="EM628" s="3"/>
      <c r="EN628" s="3"/>
      <c r="EO628" s="131"/>
      <c r="EP628" s="15"/>
      <c r="EQ628" s="99"/>
      <c r="ER628" s="149"/>
      <c r="ES628" s="134"/>
      <c r="ET628" s="134"/>
      <c r="EU628" s="137"/>
      <c r="EV628" s="150"/>
      <c r="EW628" s="137"/>
      <c r="EX628" s="137"/>
      <c r="EY628" s="3"/>
      <c r="EZ628" s="138"/>
      <c r="FA628" s="2"/>
      <c r="FB628" s="139"/>
      <c r="FC628" s="3"/>
      <c r="FD628" s="3"/>
      <c r="FE628" s="3"/>
      <c r="FF628" s="3"/>
      <c r="FG628" s="3"/>
      <c r="FH628" s="3"/>
      <c r="FI628" s="3"/>
      <c r="FJ628" s="3"/>
      <c r="FK628" s="3"/>
      <c r="FL628" s="3"/>
      <c r="FM628" s="131"/>
      <c r="FN628" s="15"/>
      <c r="FO628" s="99"/>
      <c r="FP628" s="149"/>
      <c r="FQ628" s="134"/>
      <c r="FR628" s="134"/>
      <c r="FS628" s="137"/>
      <c r="FT628" s="150"/>
      <c r="FU628" s="137"/>
      <c r="FV628" s="137"/>
      <c r="FW628" s="3"/>
      <c r="FX628" s="138"/>
      <c r="FY628" s="2"/>
      <c r="FZ628" s="139"/>
      <c r="GA628" s="3"/>
      <c r="GB628" s="3"/>
      <c r="GC628" s="3"/>
      <c r="GD628" s="3"/>
      <c r="GE628" s="3"/>
      <c r="GF628" s="3"/>
      <c r="GG628" s="3"/>
      <c r="GH628" s="3"/>
      <c r="GI628" s="3"/>
      <c r="GJ628" s="3"/>
      <c r="GK628" s="131"/>
      <c r="GL628" s="15"/>
      <c r="GM628" s="99"/>
      <c r="GN628" s="149"/>
      <c r="GO628" s="134"/>
      <c r="GP628" s="134"/>
      <c r="GQ628" s="137"/>
      <c r="GR628" s="150"/>
      <c r="GS628" s="137"/>
      <c r="GT628" s="137"/>
      <c r="GU628" s="3"/>
      <c r="GV628" s="138"/>
      <c r="GW628" s="2"/>
      <c r="GX628" s="139"/>
      <c r="GY628" s="3"/>
      <c r="GZ628" s="3"/>
      <c r="HA628" s="3"/>
      <c r="HB628" s="3"/>
      <c r="HC628" s="3"/>
      <c r="HD628" s="3"/>
      <c r="HE628" s="3"/>
      <c r="HF628" s="3"/>
      <c r="HG628" s="3"/>
      <c r="HH628" s="3"/>
      <c r="HI628" s="131"/>
      <c r="HJ628" s="15"/>
      <c r="HK628" s="99"/>
      <c r="HL628" s="149"/>
      <c r="HM628" s="134"/>
      <c r="HN628" s="134"/>
      <c r="HO628" s="137"/>
      <c r="HP628" s="150"/>
      <c r="HQ628" s="137"/>
      <c r="HR628" s="137"/>
      <c r="HS628" s="3"/>
      <c r="HT628" s="138"/>
      <c r="HU628" s="2"/>
      <c r="HV628" s="139"/>
      <c r="HW628" s="3"/>
      <c r="HX628" s="3"/>
      <c r="HY628" s="3"/>
      <c r="HZ628" s="3"/>
      <c r="IA628" s="3"/>
      <c r="IB628" s="3"/>
      <c r="IC628" s="3"/>
      <c r="ID628" s="3"/>
      <c r="IE628" s="3"/>
      <c r="IF628" s="3"/>
      <c r="IG628" s="131"/>
      <c r="IH628" s="15"/>
      <c r="II628" s="99"/>
      <c r="IJ628" s="149"/>
      <c r="IK628" s="134"/>
      <c r="IL628" s="134"/>
      <c r="IM628" s="137"/>
      <c r="IN628" s="150"/>
      <c r="IO628" s="137"/>
      <c r="IP628" s="137"/>
      <c r="IQ628" s="3"/>
      <c r="IR628" s="138"/>
      <c r="IS628" s="2"/>
      <c r="IT628" s="139"/>
      <c r="IU628" s="3"/>
      <c r="IV628" s="3"/>
    </row>
    <row r="629" spans="1:256" s="125" customFormat="1" ht="13.5" customHeight="1">
      <c r="A629" s="86"/>
      <c r="B629" s="60"/>
      <c r="C629" s="18" t="s">
        <v>157</v>
      </c>
      <c r="D629" s="19" t="s">
        <v>406</v>
      </c>
      <c r="E629" s="20"/>
      <c r="F629" s="120" t="s">
        <v>834</v>
      </c>
      <c r="G629" s="63"/>
      <c r="H629" s="121"/>
      <c r="I629" s="24"/>
      <c r="J629" s="24">
        <f t="shared" si="58"/>
        <v>0</v>
      </c>
      <c r="K629" s="24">
        <f t="shared" si="54"/>
        <v>0</v>
      </c>
      <c r="L629" s="123"/>
      <c r="M629" s="24">
        <f t="shared" si="57"/>
        <v>0</v>
      </c>
      <c r="N629" s="124">
        <f t="shared" si="55"/>
        <v>0</v>
      </c>
      <c r="O629" s="28"/>
      <c r="P629" s="3"/>
      <c r="Q629" s="140"/>
      <c r="R629" s="3"/>
      <c r="S629" s="3"/>
      <c r="T629" s="3"/>
      <c r="U629" s="3"/>
      <c r="V629" s="3"/>
      <c r="W629" s="3"/>
      <c r="X629" s="3"/>
      <c r="Y629" s="131"/>
      <c r="Z629" s="15"/>
      <c r="AA629" s="99"/>
      <c r="AB629" s="149"/>
      <c r="AC629" s="134"/>
      <c r="AD629" s="134"/>
      <c r="AE629" s="137"/>
      <c r="AF629" s="150"/>
      <c r="AG629" s="137"/>
      <c r="AH629" s="137"/>
      <c r="AI629" s="3"/>
      <c r="AJ629" s="138"/>
      <c r="AK629" s="2"/>
      <c r="AL629" s="139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131"/>
      <c r="AX629" s="15"/>
      <c r="AY629" s="99"/>
      <c r="AZ629" s="149"/>
      <c r="BA629" s="134"/>
      <c r="BB629" s="134"/>
      <c r="BC629" s="137"/>
      <c r="BD629" s="150"/>
      <c r="BE629" s="137"/>
      <c r="BF629" s="137"/>
      <c r="BG629" s="3"/>
      <c r="BH629" s="138"/>
      <c r="BI629" s="2"/>
      <c r="BJ629" s="139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131"/>
      <c r="BV629" s="15"/>
      <c r="BW629" s="99"/>
      <c r="BX629" s="149"/>
      <c r="BY629" s="134"/>
      <c r="BZ629" s="134"/>
      <c r="CA629" s="137"/>
      <c r="CB629" s="150"/>
      <c r="CC629" s="137"/>
      <c r="CD629" s="137"/>
      <c r="CE629" s="3"/>
      <c r="CF629" s="138"/>
      <c r="CG629" s="2"/>
      <c r="CH629" s="139"/>
      <c r="CI629" s="3"/>
      <c r="CJ629" s="3"/>
      <c r="CK629" s="3"/>
      <c r="CL629" s="3"/>
      <c r="CM629" s="3"/>
      <c r="CN629" s="3"/>
      <c r="CO629" s="3"/>
      <c r="CP629" s="3"/>
      <c r="CQ629" s="3"/>
      <c r="CR629" s="3"/>
      <c r="CS629" s="131"/>
      <c r="CT629" s="15"/>
      <c r="CU629" s="99"/>
      <c r="CV629" s="149"/>
      <c r="CW629" s="134"/>
      <c r="CX629" s="134"/>
      <c r="CY629" s="137"/>
      <c r="CZ629" s="150"/>
      <c r="DA629" s="137"/>
      <c r="DB629" s="137"/>
      <c r="DC629" s="3"/>
      <c r="DD629" s="138"/>
      <c r="DE629" s="2"/>
      <c r="DF629" s="139"/>
      <c r="DG629" s="3"/>
      <c r="DH629" s="3"/>
      <c r="DI629" s="3"/>
      <c r="DJ629" s="3"/>
      <c r="DK629" s="3"/>
      <c r="DL629" s="3"/>
      <c r="DM629" s="3"/>
      <c r="DN629" s="3"/>
      <c r="DO629" s="3"/>
      <c r="DP629" s="3"/>
      <c r="DQ629" s="131"/>
      <c r="DR629" s="15"/>
      <c r="DS629" s="99"/>
      <c r="DT629" s="149"/>
      <c r="DU629" s="134"/>
      <c r="DV629" s="134"/>
      <c r="DW629" s="137"/>
      <c r="DX629" s="150"/>
      <c r="DY629" s="137"/>
      <c r="DZ629" s="137"/>
      <c r="EA629" s="3"/>
      <c r="EB629" s="138"/>
      <c r="EC629" s="2"/>
      <c r="ED629" s="139"/>
      <c r="EE629" s="3"/>
      <c r="EF629" s="3"/>
      <c r="EG629" s="3"/>
      <c r="EH629" s="3"/>
      <c r="EI629" s="3"/>
      <c r="EJ629" s="3"/>
      <c r="EK629" s="3"/>
      <c r="EL629" s="3"/>
      <c r="EM629" s="3"/>
      <c r="EN629" s="3"/>
      <c r="EO629" s="131"/>
      <c r="EP629" s="15"/>
      <c r="EQ629" s="99"/>
      <c r="ER629" s="149"/>
      <c r="ES629" s="134"/>
      <c r="ET629" s="134"/>
      <c r="EU629" s="137"/>
      <c r="EV629" s="150"/>
      <c r="EW629" s="137"/>
      <c r="EX629" s="137"/>
      <c r="EY629" s="3"/>
      <c r="EZ629" s="138"/>
      <c r="FA629" s="2"/>
      <c r="FB629" s="139"/>
      <c r="FC629" s="3"/>
      <c r="FD629" s="3"/>
      <c r="FE629" s="3"/>
      <c r="FF629" s="3"/>
      <c r="FG629" s="3"/>
      <c r="FH629" s="3"/>
      <c r="FI629" s="3"/>
      <c r="FJ629" s="3"/>
      <c r="FK629" s="3"/>
      <c r="FL629" s="3"/>
      <c r="FM629" s="131"/>
      <c r="FN629" s="15"/>
      <c r="FO629" s="99"/>
      <c r="FP629" s="149"/>
      <c r="FQ629" s="134"/>
      <c r="FR629" s="134"/>
      <c r="FS629" s="137"/>
      <c r="FT629" s="150"/>
      <c r="FU629" s="137"/>
      <c r="FV629" s="137"/>
      <c r="FW629" s="3"/>
      <c r="FX629" s="138"/>
      <c r="FY629" s="2"/>
      <c r="FZ629" s="139"/>
      <c r="GA629" s="3"/>
      <c r="GB629" s="3"/>
      <c r="GC629" s="3"/>
      <c r="GD629" s="3"/>
      <c r="GE629" s="3"/>
      <c r="GF629" s="3"/>
      <c r="GG629" s="3"/>
      <c r="GH629" s="3"/>
      <c r="GI629" s="3"/>
      <c r="GJ629" s="3"/>
      <c r="GK629" s="131"/>
      <c r="GL629" s="15"/>
      <c r="GM629" s="99"/>
      <c r="GN629" s="149"/>
      <c r="GO629" s="134"/>
      <c r="GP629" s="134"/>
      <c r="GQ629" s="137"/>
      <c r="GR629" s="150"/>
      <c r="GS629" s="137"/>
      <c r="GT629" s="137"/>
      <c r="GU629" s="3"/>
      <c r="GV629" s="138"/>
      <c r="GW629" s="2"/>
      <c r="GX629" s="139"/>
      <c r="GY629" s="3"/>
      <c r="GZ629" s="3"/>
      <c r="HA629" s="3"/>
      <c r="HB629" s="3"/>
      <c r="HC629" s="3"/>
      <c r="HD629" s="3"/>
      <c r="HE629" s="3"/>
      <c r="HF629" s="3"/>
      <c r="HG629" s="3"/>
      <c r="HH629" s="3"/>
      <c r="HI629" s="131"/>
      <c r="HJ629" s="15"/>
      <c r="HK629" s="99"/>
      <c r="HL629" s="149"/>
      <c r="HM629" s="134"/>
      <c r="HN629" s="134"/>
      <c r="HO629" s="137"/>
      <c r="HP629" s="150"/>
      <c r="HQ629" s="137"/>
      <c r="HR629" s="137"/>
      <c r="HS629" s="3"/>
      <c r="HT629" s="138"/>
      <c r="HU629" s="2"/>
      <c r="HV629" s="139"/>
      <c r="HW629" s="3"/>
      <c r="HX629" s="3"/>
      <c r="HY629" s="3"/>
      <c r="HZ629" s="3"/>
      <c r="IA629" s="3"/>
      <c r="IB629" s="3"/>
      <c r="IC629" s="3"/>
      <c r="ID629" s="3"/>
      <c r="IE629" s="3"/>
      <c r="IF629" s="3"/>
      <c r="IG629" s="131"/>
      <c r="IH629" s="15"/>
      <c r="II629" s="99"/>
      <c r="IJ629" s="149"/>
      <c r="IK629" s="134"/>
      <c r="IL629" s="134"/>
      <c r="IM629" s="137"/>
      <c r="IN629" s="150"/>
      <c r="IO629" s="137"/>
      <c r="IP629" s="137"/>
      <c r="IQ629" s="3"/>
      <c r="IR629" s="138"/>
      <c r="IS629" s="2"/>
      <c r="IT629" s="139"/>
      <c r="IU629" s="3"/>
      <c r="IV629" s="3"/>
    </row>
    <row r="630" spans="1:256" s="125" customFormat="1" ht="13.5" customHeight="1">
      <c r="A630" s="86"/>
      <c r="B630" s="60"/>
      <c r="C630" s="18" t="s">
        <v>157</v>
      </c>
      <c r="D630" s="19" t="s">
        <v>323</v>
      </c>
      <c r="E630" s="20"/>
      <c r="F630" s="120" t="s">
        <v>835</v>
      </c>
      <c r="G630" s="63"/>
      <c r="H630" s="121"/>
      <c r="I630" s="24"/>
      <c r="J630" s="24">
        <f t="shared" si="58"/>
        <v>0</v>
      </c>
      <c r="K630" s="24">
        <f t="shared" si="54"/>
        <v>0</v>
      </c>
      <c r="L630" s="123"/>
      <c r="M630" s="24">
        <f t="shared" si="57"/>
        <v>0</v>
      </c>
      <c r="N630" s="124">
        <f t="shared" si="55"/>
        <v>0</v>
      </c>
      <c r="O630" s="28"/>
      <c r="P630" s="3"/>
      <c r="Q630" s="140"/>
      <c r="R630" s="3"/>
      <c r="S630" s="3"/>
      <c r="T630" s="3"/>
      <c r="U630" s="3"/>
      <c r="V630" s="3"/>
      <c r="W630" s="3"/>
      <c r="X630" s="3"/>
      <c r="Y630" s="131"/>
      <c r="Z630" s="15"/>
      <c r="AA630" s="99"/>
      <c r="AB630" s="149"/>
      <c r="AC630" s="134"/>
      <c r="AD630" s="134"/>
      <c r="AE630" s="137"/>
      <c r="AF630" s="150"/>
      <c r="AG630" s="137"/>
      <c r="AH630" s="137"/>
      <c r="AI630" s="3"/>
      <c r="AJ630" s="138"/>
      <c r="AK630" s="2"/>
      <c r="AL630" s="139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131"/>
      <c r="AX630" s="15"/>
      <c r="AY630" s="99"/>
      <c r="AZ630" s="149"/>
      <c r="BA630" s="134"/>
      <c r="BB630" s="134"/>
      <c r="BC630" s="137"/>
      <c r="BD630" s="150"/>
      <c r="BE630" s="137"/>
      <c r="BF630" s="137"/>
      <c r="BG630" s="3"/>
      <c r="BH630" s="138"/>
      <c r="BI630" s="2"/>
      <c r="BJ630" s="139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131"/>
      <c r="BV630" s="15"/>
      <c r="BW630" s="99"/>
      <c r="BX630" s="149"/>
      <c r="BY630" s="134"/>
      <c r="BZ630" s="134"/>
      <c r="CA630" s="137"/>
      <c r="CB630" s="150"/>
      <c r="CC630" s="137"/>
      <c r="CD630" s="137"/>
      <c r="CE630" s="3"/>
      <c r="CF630" s="138"/>
      <c r="CG630" s="2"/>
      <c r="CH630" s="139"/>
      <c r="CI630" s="3"/>
      <c r="CJ630" s="3"/>
      <c r="CK630" s="3"/>
      <c r="CL630" s="3"/>
      <c r="CM630" s="3"/>
      <c r="CN630" s="3"/>
      <c r="CO630" s="3"/>
      <c r="CP630" s="3"/>
      <c r="CQ630" s="3"/>
      <c r="CR630" s="3"/>
      <c r="CS630" s="131"/>
      <c r="CT630" s="15"/>
      <c r="CU630" s="99"/>
      <c r="CV630" s="149"/>
      <c r="CW630" s="134"/>
      <c r="CX630" s="134"/>
      <c r="CY630" s="137"/>
      <c r="CZ630" s="150"/>
      <c r="DA630" s="137"/>
      <c r="DB630" s="137"/>
      <c r="DC630" s="3"/>
      <c r="DD630" s="138"/>
      <c r="DE630" s="2"/>
      <c r="DF630" s="139"/>
      <c r="DG630" s="3"/>
      <c r="DH630" s="3"/>
      <c r="DI630" s="3"/>
      <c r="DJ630" s="3"/>
      <c r="DK630" s="3"/>
      <c r="DL630" s="3"/>
      <c r="DM630" s="3"/>
      <c r="DN630" s="3"/>
      <c r="DO630" s="3"/>
      <c r="DP630" s="3"/>
      <c r="DQ630" s="131"/>
      <c r="DR630" s="15"/>
      <c r="DS630" s="99"/>
      <c r="DT630" s="149"/>
      <c r="DU630" s="134"/>
      <c r="DV630" s="134"/>
      <c r="DW630" s="137"/>
      <c r="DX630" s="150"/>
      <c r="DY630" s="137"/>
      <c r="DZ630" s="137"/>
      <c r="EA630" s="3"/>
      <c r="EB630" s="138"/>
      <c r="EC630" s="2"/>
      <c r="ED630" s="139"/>
      <c r="EE630" s="3"/>
      <c r="EF630" s="3"/>
      <c r="EG630" s="3"/>
      <c r="EH630" s="3"/>
      <c r="EI630" s="3"/>
      <c r="EJ630" s="3"/>
      <c r="EK630" s="3"/>
      <c r="EL630" s="3"/>
      <c r="EM630" s="3"/>
      <c r="EN630" s="3"/>
      <c r="EO630" s="131"/>
      <c r="EP630" s="15"/>
      <c r="EQ630" s="99"/>
      <c r="ER630" s="149"/>
      <c r="ES630" s="134"/>
      <c r="ET630" s="134"/>
      <c r="EU630" s="137"/>
      <c r="EV630" s="150"/>
      <c r="EW630" s="137"/>
      <c r="EX630" s="137"/>
      <c r="EY630" s="3"/>
      <c r="EZ630" s="138"/>
      <c r="FA630" s="2"/>
      <c r="FB630" s="139"/>
      <c r="FC630" s="3"/>
      <c r="FD630" s="3"/>
      <c r="FE630" s="3"/>
      <c r="FF630" s="3"/>
      <c r="FG630" s="3"/>
      <c r="FH630" s="3"/>
      <c r="FI630" s="3"/>
      <c r="FJ630" s="3"/>
      <c r="FK630" s="3"/>
      <c r="FL630" s="3"/>
      <c r="FM630" s="131"/>
      <c r="FN630" s="15"/>
      <c r="FO630" s="99"/>
      <c r="FP630" s="149"/>
      <c r="FQ630" s="134"/>
      <c r="FR630" s="134"/>
      <c r="FS630" s="137"/>
      <c r="FT630" s="150"/>
      <c r="FU630" s="137"/>
      <c r="FV630" s="137"/>
      <c r="FW630" s="3"/>
      <c r="FX630" s="138"/>
      <c r="FY630" s="2"/>
      <c r="FZ630" s="139"/>
      <c r="GA630" s="3"/>
      <c r="GB630" s="3"/>
      <c r="GC630" s="3"/>
      <c r="GD630" s="3"/>
      <c r="GE630" s="3"/>
      <c r="GF630" s="3"/>
      <c r="GG630" s="3"/>
      <c r="GH630" s="3"/>
      <c r="GI630" s="3"/>
      <c r="GJ630" s="3"/>
      <c r="GK630" s="131"/>
      <c r="GL630" s="15"/>
      <c r="GM630" s="99"/>
      <c r="GN630" s="149"/>
      <c r="GO630" s="134"/>
      <c r="GP630" s="134"/>
      <c r="GQ630" s="137"/>
      <c r="GR630" s="150"/>
      <c r="GS630" s="137"/>
      <c r="GT630" s="137"/>
      <c r="GU630" s="3"/>
      <c r="GV630" s="138"/>
      <c r="GW630" s="2"/>
      <c r="GX630" s="139"/>
      <c r="GY630" s="3"/>
      <c r="GZ630" s="3"/>
      <c r="HA630" s="3"/>
      <c r="HB630" s="3"/>
      <c r="HC630" s="3"/>
      <c r="HD630" s="3"/>
      <c r="HE630" s="3"/>
      <c r="HF630" s="3"/>
      <c r="HG630" s="3"/>
      <c r="HH630" s="3"/>
      <c r="HI630" s="131"/>
      <c r="HJ630" s="15"/>
      <c r="HK630" s="99"/>
      <c r="HL630" s="149"/>
      <c r="HM630" s="134"/>
      <c r="HN630" s="134"/>
      <c r="HO630" s="137"/>
      <c r="HP630" s="150"/>
      <c r="HQ630" s="137"/>
      <c r="HR630" s="137"/>
      <c r="HS630" s="3"/>
      <c r="HT630" s="138"/>
      <c r="HU630" s="2"/>
      <c r="HV630" s="139"/>
      <c r="HW630" s="3"/>
      <c r="HX630" s="3"/>
      <c r="HY630" s="3"/>
      <c r="HZ630" s="3"/>
      <c r="IA630" s="3"/>
      <c r="IB630" s="3"/>
      <c r="IC630" s="3"/>
      <c r="ID630" s="3"/>
      <c r="IE630" s="3"/>
      <c r="IF630" s="3"/>
      <c r="IG630" s="131"/>
      <c r="IH630" s="15"/>
      <c r="II630" s="99"/>
      <c r="IJ630" s="149"/>
      <c r="IK630" s="134"/>
      <c r="IL630" s="134"/>
      <c r="IM630" s="137"/>
      <c r="IN630" s="150"/>
      <c r="IO630" s="137"/>
      <c r="IP630" s="137"/>
      <c r="IQ630" s="3"/>
      <c r="IR630" s="138"/>
      <c r="IS630" s="2"/>
      <c r="IT630" s="139"/>
      <c r="IU630" s="3"/>
      <c r="IV630" s="3"/>
    </row>
    <row r="631" spans="1:256" s="125" customFormat="1" ht="13.5" customHeight="1">
      <c r="A631" s="86"/>
      <c r="B631" s="56"/>
      <c r="C631" s="18" t="s">
        <v>157</v>
      </c>
      <c r="D631" s="19" t="s">
        <v>323</v>
      </c>
      <c r="E631" s="20"/>
      <c r="F631" s="62" t="s">
        <v>836</v>
      </c>
      <c r="G631" s="63"/>
      <c r="H631" s="121"/>
      <c r="I631" s="24"/>
      <c r="J631" s="24">
        <f t="shared" si="58"/>
        <v>0</v>
      </c>
      <c r="K631" s="24">
        <f t="shared" si="54"/>
        <v>0</v>
      </c>
      <c r="L631" s="123"/>
      <c r="M631" s="24">
        <f t="shared" si="57"/>
        <v>0</v>
      </c>
      <c r="N631" s="124">
        <f t="shared" si="55"/>
        <v>0</v>
      </c>
      <c r="O631" s="28"/>
      <c r="P631" s="3"/>
      <c r="Q631" s="140"/>
      <c r="R631" s="3"/>
      <c r="S631" s="3"/>
      <c r="T631" s="3"/>
      <c r="U631" s="3"/>
      <c r="V631" s="3"/>
      <c r="W631" s="3"/>
      <c r="X631" s="3"/>
      <c r="Y631" s="131"/>
      <c r="Z631" s="15"/>
      <c r="AA631" s="99"/>
      <c r="AB631" s="149"/>
      <c r="AC631" s="134"/>
      <c r="AD631" s="134"/>
      <c r="AE631" s="137"/>
      <c r="AF631" s="150"/>
      <c r="AG631" s="137"/>
      <c r="AH631" s="137"/>
      <c r="AI631" s="3"/>
      <c r="AJ631" s="138"/>
      <c r="AK631" s="2"/>
      <c r="AL631" s="139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131"/>
      <c r="AX631" s="15"/>
      <c r="AY631" s="99"/>
      <c r="AZ631" s="149"/>
      <c r="BA631" s="134"/>
      <c r="BB631" s="134"/>
      <c r="BC631" s="137"/>
      <c r="BD631" s="150"/>
      <c r="BE631" s="137"/>
      <c r="BF631" s="137"/>
      <c r="BG631" s="3"/>
      <c r="BH631" s="138"/>
      <c r="BI631" s="2"/>
      <c r="BJ631" s="139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131"/>
      <c r="BV631" s="15"/>
      <c r="BW631" s="99"/>
      <c r="BX631" s="149"/>
      <c r="BY631" s="134"/>
      <c r="BZ631" s="134"/>
      <c r="CA631" s="137"/>
      <c r="CB631" s="150"/>
      <c r="CC631" s="137"/>
      <c r="CD631" s="137"/>
      <c r="CE631" s="3"/>
      <c r="CF631" s="138"/>
      <c r="CG631" s="2"/>
      <c r="CH631" s="139"/>
      <c r="CI631" s="3"/>
      <c r="CJ631" s="3"/>
      <c r="CK631" s="3"/>
      <c r="CL631" s="3"/>
      <c r="CM631" s="3"/>
      <c r="CN631" s="3"/>
      <c r="CO631" s="3"/>
      <c r="CP631" s="3"/>
      <c r="CQ631" s="3"/>
      <c r="CR631" s="3"/>
      <c r="CS631" s="131"/>
      <c r="CT631" s="15"/>
      <c r="CU631" s="99"/>
      <c r="CV631" s="149"/>
      <c r="CW631" s="134"/>
      <c r="CX631" s="134"/>
      <c r="CY631" s="137"/>
      <c r="CZ631" s="150"/>
      <c r="DA631" s="137"/>
      <c r="DB631" s="137"/>
      <c r="DC631" s="3"/>
      <c r="DD631" s="138"/>
      <c r="DE631" s="2"/>
      <c r="DF631" s="139"/>
      <c r="DG631" s="3"/>
      <c r="DH631" s="3"/>
      <c r="DI631" s="3"/>
      <c r="DJ631" s="3"/>
      <c r="DK631" s="3"/>
      <c r="DL631" s="3"/>
      <c r="DM631" s="3"/>
      <c r="DN631" s="3"/>
      <c r="DO631" s="3"/>
      <c r="DP631" s="3"/>
      <c r="DQ631" s="131"/>
      <c r="DR631" s="15"/>
      <c r="DS631" s="99"/>
      <c r="DT631" s="149"/>
      <c r="DU631" s="134"/>
      <c r="DV631" s="134"/>
      <c r="DW631" s="137"/>
      <c r="DX631" s="150"/>
      <c r="DY631" s="137"/>
      <c r="DZ631" s="137"/>
      <c r="EA631" s="3"/>
      <c r="EB631" s="138"/>
      <c r="EC631" s="2"/>
      <c r="ED631" s="139"/>
      <c r="EE631" s="3"/>
      <c r="EF631" s="3"/>
      <c r="EG631" s="3"/>
      <c r="EH631" s="3"/>
      <c r="EI631" s="3"/>
      <c r="EJ631" s="3"/>
      <c r="EK631" s="3"/>
      <c r="EL631" s="3"/>
      <c r="EM631" s="3"/>
      <c r="EN631" s="3"/>
      <c r="EO631" s="131"/>
      <c r="EP631" s="15"/>
      <c r="EQ631" s="99"/>
      <c r="ER631" s="149"/>
      <c r="ES631" s="134"/>
      <c r="ET631" s="134"/>
      <c r="EU631" s="137"/>
      <c r="EV631" s="150"/>
      <c r="EW631" s="137"/>
      <c r="EX631" s="137"/>
      <c r="EY631" s="3"/>
      <c r="EZ631" s="138"/>
      <c r="FA631" s="2"/>
      <c r="FB631" s="139"/>
      <c r="FC631" s="3"/>
      <c r="FD631" s="3"/>
      <c r="FE631" s="3"/>
      <c r="FF631" s="3"/>
      <c r="FG631" s="3"/>
      <c r="FH631" s="3"/>
      <c r="FI631" s="3"/>
      <c r="FJ631" s="3"/>
      <c r="FK631" s="3"/>
      <c r="FL631" s="3"/>
      <c r="FM631" s="131"/>
      <c r="FN631" s="15"/>
      <c r="FO631" s="99"/>
      <c r="FP631" s="149"/>
      <c r="FQ631" s="134"/>
      <c r="FR631" s="134"/>
      <c r="FS631" s="137"/>
      <c r="FT631" s="150"/>
      <c r="FU631" s="137"/>
      <c r="FV631" s="137"/>
      <c r="FW631" s="3"/>
      <c r="FX631" s="138"/>
      <c r="FY631" s="2"/>
      <c r="FZ631" s="139"/>
      <c r="GA631" s="3"/>
      <c r="GB631" s="3"/>
      <c r="GC631" s="3"/>
      <c r="GD631" s="3"/>
      <c r="GE631" s="3"/>
      <c r="GF631" s="3"/>
      <c r="GG631" s="3"/>
      <c r="GH631" s="3"/>
      <c r="GI631" s="3"/>
      <c r="GJ631" s="3"/>
      <c r="GK631" s="131"/>
      <c r="GL631" s="15"/>
      <c r="GM631" s="99"/>
      <c r="GN631" s="149"/>
      <c r="GO631" s="134"/>
      <c r="GP631" s="134"/>
      <c r="GQ631" s="137"/>
      <c r="GR631" s="150"/>
      <c r="GS631" s="137"/>
      <c r="GT631" s="137"/>
      <c r="GU631" s="3"/>
      <c r="GV631" s="138"/>
      <c r="GW631" s="2"/>
      <c r="GX631" s="139"/>
      <c r="GY631" s="3"/>
      <c r="GZ631" s="3"/>
      <c r="HA631" s="3"/>
      <c r="HB631" s="3"/>
      <c r="HC631" s="3"/>
      <c r="HD631" s="3"/>
      <c r="HE631" s="3"/>
      <c r="HF631" s="3"/>
      <c r="HG631" s="3"/>
      <c r="HH631" s="3"/>
      <c r="HI631" s="131"/>
      <c r="HJ631" s="15"/>
      <c r="HK631" s="99"/>
      <c r="HL631" s="149"/>
      <c r="HM631" s="134"/>
      <c r="HN631" s="134"/>
      <c r="HO631" s="137"/>
      <c r="HP631" s="150"/>
      <c r="HQ631" s="137"/>
      <c r="HR631" s="137"/>
      <c r="HS631" s="3"/>
      <c r="HT631" s="138"/>
      <c r="HU631" s="2"/>
      <c r="HV631" s="139"/>
      <c r="HW631" s="3"/>
      <c r="HX631" s="3"/>
      <c r="HY631" s="3"/>
      <c r="HZ631" s="3"/>
      <c r="IA631" s="3"/>
      <c r="IB631" s="3"/>
      <c r="IC631" s="3"/>
      <c r="ID631" s="3"/>
      <c r="IE631" s="3"/>
      <c r="IF631" s="3"/>
      <c r="IG631" s="131"/>
      <c r="IH631" s="15"/>
      <c r="II631" s="99"/>
      <c r="IJ631" s="149"/>
      <c r="IK631" s="134"/>
      <c r="IL631" s="134"/>
      <c r="IM631" s="137"/>
      <c r="IN631" s="150"/>
      <c r="IO631" s="137"/>
      <c r="IP631" s="137"/>
      <c r="IQ631" s="3"/>
      <c r="IR631" s="138"/>
      <c r="IS631" s="2"/>
      <c r="IT631" s="139"/>
      <c r="IU631" s="3"/>
      <c r="IV631" s="3"/>
    </row>
    <row r="632" spans="1:256" s="125" customFormat="1" ht="13.5" customHeight="1">
      <c r="A632" s="86"/>
      <c r="B632" s="17"/>
      <c r="C632" s="18" t="s">
        <v>157</v>
      </c>
      <c r="D632" s="19" t="s">
        <v>323</v>
      </c>
      <c r="E632" s="20"/>
      <c r="F632" s="62" t="s">
        <v>837</v>
      </c>
      <c r="G632" s="63"/>
      <c r="H632" s="121"/>
      <c r="I632" s="24"/>
      <c r="J632" s="24">
        <f t="shared" si="58"/>
        <v>0</v>
      </c>
      <c r="K632" s="24">
        <f t="shared" si="54"/>
        <v>0</v>
      </c>
      <c r="L632" s="123"/>
      <c r="M632" s="24">
        <f t="shared" si="57"/>
        <v>0</v>
      </c>
      <c r="N632" s="124">
        <f t="shared" si="55"/>
        <v>0</v>
      </c>
      <c r="O632" s="28"/>
      <c r="P632" s="3"/>
      <c r="Q632" s="140"/>
      <c r="R632" s="3"/>
      <c r="S632" s="3"/>
      <c r="T632" s="3"/>
      <c r="U632" s="3"/>
      <c r="V632" s="3"/>
      <c r="W632" s="3"/>
      <c r="X632" s="3"/>
      <c r="Y632" s="131"/>
      <c r="Z632" s="15"/>
      <c r="AA632" s="99"/>
      <c r="AB632" s="149"/>
      <c r="AC632" s="134"/>
      <c r="AD632" s="134"/>
      <c r="AE632" s="137"/>
      <c r="AF632" s="150"/>
      <c r="AG632" s="137"/>
      <c r="AH632" s="137"/>
      <c r="AI632" s="3"/>
      <c r="AJ632" s="138"/>
      <c r="AK632" s="2"/>
      <c r="AL632" s="139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131"/>
      <c r="AX632" s="15"/>
      <c r="AY632" s="99"/>
      <c r="AZ632" s="149"/>
      <c r="BA632" s="134"/>
      <c r="BB632" s="134"/>
      <c r="BC632" s="137"/>
      <c r="BD632" s="150"/>
      <c r="BE632" s="137"/>
      <c r="BF632" s="137"/>
      <c r="BG632" s="3"/>
      <c r="BH632" s="138"/>
      <c r="BI632" s="2"/>
      <c r="BJ632" s="139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131"/>
      <c r="BV632" s="15"/>
      <c r="BW632" s="99"/>
      <c r="BX632" s="149"/>
      <c r="BY632" s="134"/>
      <c r="BZ632" s="134"/>
      <c r="CA632" s="137"/>
      <c r="CB632" s="150"/>
      <c r="CC632" s="137"/>
      <c r="CD632" s="137"/>
      <c r="CE632" s="3"/>
      <c r="CF632" s="138"/>
      <c r="CG632" s="2"/>
      <c r="CH632" s="139"/>
      <c r="CI632" s="3"/>
      <c r="CJ632" s="3"/>
      <c r="CK632" s="3"/>
      <c r="CL632" s="3"/>
      <c r="CM632" s="3"/>
      <c r="CN632" s="3"/>
      <c r="CO632" s="3"/>
      <c r="CP632" s="3"/>
      <c r="CQ632" s="3"/>
      <c r="CR632" s="3"/>
      <c r="CS632" s="131"/>
      <c r="CT632" s="15"/>
      <c r="CU632" s="99"/>
      <c r="CV632" s="149"/>
      <c r="CW632" s="134"/>
      <c r="CX632" s="134"/>
      <c r="CY632" s="137"/>
      <c r="CZ632" s="150"/>
      <c r="DA632" s="137"/>
      <c r="DB632" s="137"/>
      <c r="DC632" s="3"/>
      <c r="DD632" s="138"/>
      <c r="DE632" s="2"/>
      <c r="DF632" s="139"/>
      <c r="DG632" s="3"/>
      <c r="DH632" s="3"/>
      <c r="DI632" s="3"/>
      <c r="DJ632" s="3"/>
      <c r="DK632" s="3"/>
      <c r="DL632" s="3"/>
      <c r="DM632" s="3"/>
      <c r="DN632" s="3"/>
      <c r="DO632" s="3"/>
      <c r="DP632" s="3"/>
      <c r="DQ632" s="131"/>
      <c r="DR632" s="15"/>
      <c r="DS632" s="99"/>
      <c r="DT632" s="149"/>
      <c r="DU632" s="134"/>
      <c r="DV632" s="134"/>
      <c r="DW632" s="137"/>
      <c r="DX632" s="150"/>
      <c r="DY632" s="137"/>
      <c r="DZ632" s="137"/>
      <c r="EA632" s="3"/>
      <c r="EB632" s="138"/>
      <c r="EC632" s="2"/>
      <c r="ED632" s="139"/>
      <c r="EE632" s="3"/>
      <c r="EF632" s="3"/>
      <c r="EG632" s="3"/>
      <c r="EH632" s="3"/>
      <c r="EI632" s="3"/>
      <c r="EJ632" s="3"/>
      <c r="EK632" s="3"/>
      <c r="EL632" s="3"/>
      <c r="EM632" s="3"/>
      <c r="EN632" s="3"/>
      <c r="EO632" s="131"/>
      <c r="EP632" s="15"/>
      <c r="EQ632" s="99"/>
      <c r="ER632" s="149"/>
      <c r="ES632" s="134"/>
      <c r="ET632" s="134"/>
      <c r="EU632" s="137"/>
      <c r="EV632" s="150"/>
      <c r="EW632" s="137"/>
      <c r="EX632" s="137"/>
      <c r="EY632" s="3"/>
      <c r="EZ632" s="138"/>
      <c r="FA632" s="2"/>
      <c r="FB632" s="139"/>
      <c r="FC632" s="3"/>
      <c r="FD632" s="3"/>
      <c r="FE632" s="3"/>
      <c r="FF632" s="3"/>
      <c r="FG632" s="3"/>
      <c r="FH632" s="3"/>
      <c r="FI632" s="3"/>
      <c r="FJ632" s="3"/>
      <c r="FK632" s="3"/>
      <c r="FL632" s="3"/>
      <c r="FM632" s="131"/>
      <c r="FN632" s="15"/>
      <c r="FO632" s="99"/>
      <c r="FP632" s="149"/>
      <c r="FQ632" s="134"/>
      <c r="FR632" s="134"/>
      <c r="FS632" s="137"/>
      <c r="FT632" s="150"/>
      <c r="FU632" s="137"/>
      <c r="FV632" s="137"/>
      <c r="FW632" s="3"/>
      <c r="FX632" s="138"/>
      <c r="FY632" s="2"/>
      <c r="FZ632" s="139"/>
      <c r="GA632" s="3"/>
      <c r="GB632" s="3"/>
      <c r="GC632" s="3"/>
      <c r="GD632" s="3"/>
      <c r="GE632" s="3"/>
      <c r="GF632" s="3"/>
      <c r="GG632" s="3"/>
      <c r="GH632" s="3"/>
      <c r="GI632" s="3"/>
      <c r="GJ632" s="3"/>
      <c r="GK632" s="131"/>
      <c r="GL632" s="15"/>
      <c r="GM632" s="99"/>
      <c r="GN632" s="149"/>
      <c r="GO632" s="134"/>
      <c r="GP632" s="134"/>
      <c r="GQ632" s="137"/>
      <c r="GR632" s="150"/>
      <c r="GS632" s="137"/>
      <c r="GT632" s="137"/>
      <c r="GU632" s="3"/>
      <c r="GV632" s="138"/>
      <c r="GW632" s="2"/>
      <c r="GX632" s="139"/>
      <c r="GY632" s="3"/>
      <c r="GZ632" s="3"/>
      <c r="HA632" s="3"/>
      <c r="HB632" s="3"/>
      <c r="HC632" s="3"/>
      <c r="HD632" s="3"/>
      <c r="HE632" s="3"/>
      <c r="HF632" s="3"/>
      <c r="HG632" s="3"/>
      <c r="HH632" s="3"/>
      <c r="HI632" s="131"/>
      <c r="HJ632" s="15"/>
      <c r="HK632" s="99"/>
      <c r="HL632" s="149"/>
      <c r="HM632" s="134"/>
      <c r="HN632" s="134"/>
      <c r="HO632" s="137"/>
      <c r="HP632" s="150"/>
      <c r="HQ632" s="137"/>
      <c r="HR632" s="137"/>
      <c r="HS632" s="3"/>
      <c r="HT632" s="138"/>
      <c r="HU632" s="2"/>
      <c r="HV632" s="139"/>
      <c r="HW632" s="3"/>
      <c r="HX632" s="3"/>
      <c r="HY632" s="3"/>
      <c r="HZ632" s="3"/>
      <c r="IA632" s="3"/>
      <c r="IB632" s="3"/>
      <c r="IC632" s="3"/>
      <c r="ID632" s="3"/>
      <c r="IE632" s="3"/>
      <c r="IF632" s="3"/>
      <c r="IG632" s="131"/>
      <c r="IH632" s="15"/>
      <c r="II632" s="99"/>
      <c r="IJ632" s="149"/>
      <c r="IK632" s="134"/>
      <c r="IL632" s="134"/>
      <c r="IM632" s="137"/>
      <c r="IN632" s="150"/>
      <c r="IO632" s="137"/>
      <c r="IP632" s="137"/>
      <c r="IQ632" s="3"/>
      <c r="IR632" s="138"/>
      <c r="IS632" s="2"/>
      <c r="IT632" s="139"/>
      <c r="IU632" s="3"/>
      <c r="IV632" s="3"/>
    </row>
    <row r="633" spans="1:256" s="125" customFormat="1" ht="13.5" customHeight="1">
      <c r="A633" s="146"/>
      <c r="B633" s="77"/>
      <c r="C633" s="18" t="s">
        <v>157</v>
      </c>
      <c r="D633" s="66" t="s">
        <v>323</v>
      </c>
      <c r="E633" s="67"/>
      <c r="F633" s="73" t="s">
        <v>838</v>
      </c>
      <c r="G633" s="74"/>
      <c r="H633" s="148"/>
      <c r="I633" s="35"/>
      <c r="J633" s="24">
        <f t="shared" si="56"/>
        <v>0</v>
      </c>
      <c r="K633" s="24">
        <f t="shared" si="54"/>
        <v>0</v>
      </c>
      <c r="L633" s="123"/>
      <c r="M633" s="24">
        <f t="shared" si="57"/>
        <v>0</v>
      </c>
      <c r="N633" s="124">
        <f t="shared" si="55"/>
        <v>0</v>
      </c>
      <c r="O633" s="28"/>
      <c r="P633" s="3"/>
      <c r="Q633" s="140"/>
      <c r="R633" s="3"/>
      <c r="S633" s="3"/>
      <c r="T633" s="3"/>
      <c r="U633" s="3"/>
      <c r="V633" s="3"/>
      <c r="W633" s="3"/>
      <c r="X633" s="3"/>
      <c r="Y633" s="131"/>
      <c r="Z633" s="15"/>
      <c r="AA633" s="99"/>
      <c r="AB633" s="149"/>
      <c r="AC633" s="134"/>
      <c r="AD633" s="134"/>
      <c r="AE633" s="137"/>
      <c r="AF633" s="150"/>
      <c r="AG633" s="137"/>
      <c r="AH633" s="137"/>
      <c r="AI633" s="3"/>
      <c r="AJ633" s="138"/>
      <c r="AK633" s="2"/>
      <c r="AL633" s="139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131"/>
      <c r="AX633" s="15"/>
      <c r="AY633" s="99"/>
      <c r="AZ633" s="149"/>
      <c r="BA633" s="134"/>
      <c r="BB633" s="134"/>
      <c r="BC633" s="137"/>
      <c r="BD633" s="150"/>
      <c r="BE633" s="137"/>
      <c r="BF633" s="137"/>
      <c r="BG633" s="3"/>
      <c r="BH633" s="138"/>
      <c r="BI633" s="2"/>
      <c r="BJ633" s="139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131"/>
      <c r="BV633" s="15"/>
      <c r="BW633" s="99"/>
      <c r="BX633" s="149"/>
      <c r="BY633" s="134"/>
      <c r="BZ633" s="134"/>
      <c r="CA633" s="137"/>
      <c r="CB633" s="150"/>
      <c r="CC633" s="137"/>
      <c r="CD633" s="137"/>
      <c r="CE633" s="3"/>
      <c r="CF633" s="138"/>
      <c r="CG633" s="2"/>
      <c r="CH633" s="139"/>
      <c r="CI633" s="3"/>
      <c r="CJ633" s="3"/>
      <c r="CK633" s="3"/>
      <c r="CL633" s="3"/>
      <c r="CM633" s="3"/>
      <c r="CN633" s="3"/>
      <c r="CO633" s="3"/>
      <c r="CP633" s="3"/>
      <c r="CQ633" s="3"/>
      <c r="CR633" s="3"/>
      <c r="CS633" s="131"/>
      <c r="CT633" s="15"/>
      <c r="CU633" s="99"/>
      <c r="CV633" s="149"/>
      <c r="CW633" s="134"/>
      <c r="CX633" s="134"/>
      <c r="CY633" s="137"/>
      <c r="CZ633" s="150"/>
      <c r="DA633" s="137"/>
      <c r="DB633" s="137"/>
      <c r="DC633" s="3"/>
      <c r="DD633" s="138"/>
      <c r="DE633" s="2"/>
      <c r="DF633" s="139"/>
      <c r="DG633" s="3"/>
      <c r="DH633" s="3"/>
      <c r="DI633" s="3"/>
      <c r="DJ633" s="3"/>
      <c r="DK633" s="3"/>
      <c r="DL633" s="3"/>
      <c r="DM633" s="3"/>
      <c r="DN633" s="3"/>
      <c r="DO633" s="3"/>
      <c r="DP633" s="3"/>
      <c r="DQ633" s="131"/>
      <c r="DR633" s="15"/>
      <c r="DS633" s="99"/>
      <c r="DT633" s="149"/>
      <c r="DU633" s="134"/>
      <c r="DV633" s="134"/>
      <c r="DW633" s="137"/>
      <c r="DX633" s="150"/>
      <c r="DY633" s="137"/>
      <c r="DZ633" s="137"/>
      <c r="EA633" s="3"/>
      <c r="EB633" s="138"/>
      <c r="EC633" s="2"/>
      <c r="ED633" s="139"/>
      <c r="EE633" s="3"/>
      <c r="EF633" s="3"/>
      <c r="EG633" s="3"/>
      <c r="EH633" s="3"/>
      <c r="EI633" s="3"/>
      <c r="EJ633" s="3"/>
      <c r="EK633" s="3"/>
      <c r="EL633" s="3"/>
      <c r="EM633" s="3"/>
      <c r="EN633" s="3"/>
      <c r="EO633" s="131"/>
      <c r="EP633" s="15"/>
      <c r="EQ633" s="99"/>
      <c r="ER633" s="149"/>
      <c r="ES633" s="134"/>
      <c r="ET633" s="134"/>
      <c r="EU633" s="137"/>
      <c r="EV633" s="150"/>
      <c r="EW633" s="137"/>
      <c r="EX633" s="137"/>
      <c r="EY633" s="3"/>
      <c r="EZ633" s="138"/>
      <c r="FA633" s="2"/>
      <c r="FB633" s="139"/>
      <c r="FC633" s="3"/>
      <c r="FD633" s="3"/>
      <c r="FE633" s="3"/>
      <c r="FF633" s="3"/>
      <c r="FG633" s="3"/>
      <c r="FH633" s="3"/>
      <c r="FI633" s="3"/>
      <c r="FJ633" s="3"/>
      <c r="FK633" s="3"/>
      <c r="FL633" s="3"/>
      <c r="FM633" s="131"/>
      <c r="FN633" s="15"/>
      <c r="FO633" s="99"/>
      <c r="FP633" s="149"/>
      <c r="FQ633" s="134"/>
      <c r="FR633" s="134"/>
      <c r="FS633" s="137"/>
      <c r="FT633" s="150"/>
      <c r="FU633" s="137"/>
      <c r="FV633" s="137"/>
      <c r="FW633" s="3"/>
      <c r="FX633" s="138"/>
      <c r="FY633" s="2"/>
      <c r="FZ633" s="139"/>
      <c r="GA633" s="3"/>
      <c r="GB633" s="3"/>
      <c r="GC633" s="3"/>
      <c r="GD633" s="3"/>
      <c r="GE633" s="3"/>
      <c r="GF633" s="3"/>
      <c r="GG633" s="3"/>
      <c r="GH633" s="3"/>
      <c r="GI633" s="3"/>
      <c r="GJ633" s="3"/>
      <c r="GK633" s="131"/>
      <c r="GL633" s="15"/>
      <c r="GM633" s="99"/>
      <c r="GN633" s="149"/>
      <c r="GO633" s="134"/>
      <c r="GP633" s="134"/>
      <c r="GQ633" s="137"/>
      <c r="GR633" s="150"/>
      <c r="GS633" s="137"/>
      <c r="GT633" s="137"/>
      <c r="GU633" s="3"/>
      <c r="GV633" s="138"/>
      <c r="GW633" s="2"/>
      <c r="GX633" s="139"/>
      <c r="GY633" s="3"/>
      <c r="GZ633" s="3"/>
      <c r="HA633" s="3"/>
      <c r="HB633" s="3"/>
      <c r="HC633" s="3"/>
      <c r="HD633" s="3"/>
      <c r="HE633" s="3"/>
      <c r="HF633" s="3"/>
      <c r="HG633" s="3"/>
      <c r="HH633" s="3"/>
      <c r="HI633" s="131"/>
      <c r="HJ633" s="15"/>
      <c r="HK633" s="99"/>
      <c r="HL633" s="149"/>
      <c r="HM633" s="134"/>
      <c r="HN633" s="134"/>
      <c r="HO633" s="137"/>
      <c r="HP633" s="150"/>
      <c r="HQ633" s="137"/>
      <c r="HR633" s="137"/>
      <c r="HS633" s="3"/>
      <c r="HT633" s="138"/>
      <c r="HU633" s="2"/>
      <c r="HV633" s="139"/>
      <c r="HW633" s="3"/>
      <c r="HX633" s="3"/>
      <c r="HY633" s="3"/>
      <c r="HZ633" s="3"/>
      <c r="IA633" s="3"/>
      <c r="IB633" s="3"/>
      <c r="IC633" s="3"/>
      <c r="ID633" s="3"/>
      <c r="IE633" s="3"/>
      <c r="IF633" s="3"/>
      <c r="IG633" s="131"/>
      <c r="IH633" s="15"/>
      <c r="II633" s="99"/>
      <c r="IJ633" s="149"/>
      <c r="IK633" s="134"/>
      <c r="IL633" s="134"/>
      <c r="IM633" s="137"/>
      <c r="IN633" s="150"/>
      <c r="IO633" s="137"/>
      <c r="IP633" s="137"/>
      <c r="IQ633" s="3"/>
      <c r="IR633" s="138"/>
      <c r="IS633" s="2"/>
      <c r="IT633" s="139"/>
      <c r="IU633" s="3"/>
      <c r="IV633" s="3"/>
    </row>
    <row r="634" spans="1:256" s="125" customFormat="1" ht="13.5" customHeight="1" thickBot="1">
      <c r="A634" s="88"/>
      <c r="B634" s="89"/>
      <c r="C634" s="90"/>
      <c r="D634" s="91"/>
      <c r="E634" s="214"/>
      <c r="F634" s="93" t="s">
        <v>10</v>
      </c>
      <c r="G634" s="94"/>
      <c r="H634" s="95"/>
      <c r="I634" s="96">
        <f t="shared" ref="I634:N634" si="59">SUM(I217:I633)</f>
        <v>225541619</v>
      </c>
      <c r="J634" s="96">
        <f t="shared" si="59"/>
        <v>623926188.61904812</v>
      </c>
      <c r="K634" s="96">
        <f t="shared" si="59"/>
        <v>849467807.61904943</v>
      </c>
      <c r="L634" s="96">
        <f t="shared" si="59"/>
        <v>248</v>
      </c>
      <c r="M634" s="96">
        <f t="shared" si="59"/>
        <v>530975330.4285717</v>
      </c>
      <c r="N634" s="97">
        <f t="shared" si="59"/>
        <v>318492477.19047606</v>
      </c>
      <c r="O634" s="108"/>
      <c r="P634" s="3"/>
      <c r="Q634" s="140"/>
      <c r="R634" s="3"/>
      <c r="S634" s="3"/>
      <c r="T634" s="3"/>
      <c r="U634" s="3"/>
      <c r="V634" s="3"/>
      <c r="W634" s="3"/>
      <c r="X634" s="3"/>
      <c r="Y634" s="131"/>
      <c r="Z634" s="15"/>
      <c r="AA634" s="99"/>
      <c r="AB634" s="149"/>
      <c r="AC634" s="134"/>
      <c r="AD634" s="134"/>
      <c r="AE634" s="137"/>
      <c r="AF634" s="150"/>
      <c r="AG634" s="137"/>
      <c r="AH634" s="137"/>
      <c r="AI634" s="3"/>
      <c r="AJ634" s="138"/>
      <c r="AK634" s="2"/>
      <c r="AL634" s="139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131"/>
      <c r="AX634" s="15"/>
      <c r="AY634" s="99"/>
      <c r="AZ634" s="149"/>
      <c r="BA634" s="134"/>
      <c r="BB634" s="134"/>
      <c r="BC634" s="137"/>
      <c r="BD634" s="150"/>
      <c r="BE634" s="137"/>
      <c r="BF634" s="137"/>
      <c r="BG634" s="3"/>
      <c r="BH634" s="138"/>
      <c r="BI634" s="2"/>
      <c r="BJ634" s="139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131"/>
      <c r="BV634" s="15"/>
      <c r="BW634" s="99"/>
      <c r="BX634" s="149"/>
      <c r="BY634" s="134"/>
      <c r="BZ634" s="134"/>
      <c r="CA634" s="137"/>
      <c r="CB634" s="150"/>
      <c r="CC634" s="137"/>
      <c r="CD634" s="137"/>
      <c r="CE634" s="3"/>
      <c r="CF634" s="138"/>
      <c r="CG634" s="2"/>
      <c r="CH634" s="139"/>
      <c r="CI634" s="3"/>
      <c r="CJ634" s="3"/>
      <c r="CK634" s="3"/>
      <c r="CL634" s="3"/>
      <c r="CM634" s="3"/>
      <c r="CN634" s="3"/>
      <c r="CO634" s="3"/>
      <c r="CP634" s="3"/>
      <c r="CQ634" s="3"/>
      <c r="CR634" s="3"/>
      <c r="CS634" s="131"/>
      <c r="CT634" s="15"/>
      <c r="CU634" s="99"/>
      <c r="CV634" s="149"/>
      <c r="CW634" s="134"/>
      <c r="CX634" s="134"/>
      <c r="CY634" s="137"/>
      <c r="CZ634" s="150"/>
      <c r="DA634" s="137"/>
      <c r="DB634" s="137"/>
      <c r="DC634" s="3"/>
      <c r="DD634" s="138"/>
      <c r="DE634" s="2"/>
      <c r="DF634" s="139"/>
      <c r="DG634" s="3"/>
      <c r="DH634" s="3"/>
      <c r="DI634" s="3"/>
      <c r="DJ634" s="3"/>
      <c r="DK634" s="3"/>
      <c r="DL634" s="3"/>
      <c r="DM634" s="3"/>
      <c r="DN634" s="3"/>
      <c r="DO634" s="3"/>
      <c r="DP634" s="3"/>
      <c r="DQ634" s="131"/>
      <c r="DR634" s="15"/>
      <c r="DS634" s="99"/>
      <c r="DT634" s="149"/>
      <c r="DU634" s="134"/>
      <c r="DV634" s="134"/>
      <c r="DW634" s="137"/>
      <c r="DX634" s="150"/>
      <c r="DY634" s="137"/>
      <c r="DZ634" s="137"/>
      <c r="EA634" s="3"/>
      <c r="EB634" s="138"/>
      <c r="EC634" s="2"/>
      <c r="ED634" s="139"/>
      <c r="EE634" s="3"/>
      <c r="EF634" s="3"/>
      <c r="EG634" s="3"/>
      <c r="EH634" s="3"/>
      <c r="EI634" s="3"/>
      <c r="EJ634" s="3"/>
      <c r="EK634" s="3"/>
      <c r="EL634" s="3"/>
      <c r="EM634" s="3"/>
      <c r="EN634" s="3"/>
      <c r="EO634" s="131"/>
      <c r="EP634" s="15"/>
      <c r="EQ634" s="99"/>
      <c r="ER634" s="149"/>
      <c r="ES634" s="134"/>
      <c r="ET634" s="134"/>
      <c r="EU634" s="137"/>
      <c r="EV634" s="150"/>
      <c r="EW634" s="137"/>
      <c r="EX634" s="137"/>
      <c r="EY634" s="3"/>
      <c r="EZ634" s="138"/>
      <c r="FA634" s="2"/>
      <c r="FB634" s="139"/>
      <c r="FC634" s="3"/>
      <c r="FD634" s="3"/>
      <c r="FE634" s="3"/>
      <c r="FF634" s="3"/>
      <c r="FG634" s="3"/>
      <c r="FH634" s="3"/>
      <c r="FI634" s="3"/>
      <c r="FJ634" s="3"/>
      <c r="FK634" s="3"/>
      <c r="FL634" s="3"/>
      <c r="FM634" s="131"/>
      <c r="FN634" s="15"/>
      <c r="FO634" s="99"/>
      <c r="FP634" s="149"/>
      <c r="FQ634" s="134"/>
      <c r="FR634" s="134"/>
      <c r="FS634" s="137"/>
      <c r="FT634" s="150"/>
      <c r="FU634" s="137"/>
      <c r="FV634" s="137"/>
      <c r="FW634" s="3"/>
      <c r="FX634" s="138"/>
      <c r="FY634" s="2"/>
      <c r="FZ634" s="139"/>
      <c r="GA634" s="3"/>
      <c r="GB634" s="3"/>
      <c r="GC634" s="3"/>
      <c r="GD634" s="3"/>
      <c r="GE634" s="3"/>
      <c r="GF634" s="3"/>
      <c r="GG634" s="3"/>
      <c r="GH634" s="3"/>
      <c r="GI634" s="3"/>
      <c r="GJ634" s="3"/>
      <c r="GK634" s="131"/>
      <c r="GL634" s="15"/>
      <c r="GM634" s="99"/>
      <c r="GN634" s="149"/>
      <c r="GO634" s="134"/>
      <c r="GP634" s="134"/>
      <c r="GQ634" s="137"/>
      <c r="GR634" s="150"/>
      <c r="GS634" s="137"/>
      <c r="GT634" s="137"/>
      <c r="GU634" s="3"/>
      <c r="GV634" s="138"/>
      <c r="GW634" s="2"/>
      <c r="GX634" s="139"/>
      <c r="GY634" s="3"/>
      <c r="GZ634" s="3"/>
      <c r="HA634" s="3"/>
      <c r="HB634" s="3"/>
      <c r="HC634" s="3"/>
      <c r="HD634" s="3"/>
      <c r="HE634" s="3"/>
      <c r="HF634" s="3"/>
      <c r="HG634" s="3"/>
      <c r="HH634" s="3"/>
      <c r="HI634" s="131"/>
      <c r="HJ634" s="15"/>
      <c r="HK634" s="99"/>
      <c r="HL634" s="149"/>
      <c r="HM634" s="134"/>
      <c r="HN634" s="134"/>
      <c r="HO634" s="137"/>
      <c r="HP634" s="150"/>
      <c r="HQ634" s="137"/>
      <c r="HR634" s="137"/>
      <c r="HS634" s="3"/>
      <c r="HT634" s="138"/>
      <c r="HU634" s="2"/>
      <c r="HV634" s="139"/>
      <c r="HW634" s="3"/>
      <c r="HX634" s="3"/>
      <c r="HY634" s="3"/>
      <c r="HZ634" s="3"/>
      <c r="IA634" s="3"/>
      <c r="IB634" s="3"/>
      <c r="IC634" s="3"/>
      <c r="ID634" s="3"/>
      <c r="IE634" s="3"/>
      <c r="IF634" s="3"/>
      <c r="IG634" s="131"/>
      <c r="IH634" s="15"/>
      <c r="II634" s="99"/>
      <c r="IJ634" s="149"/>
      <c r="IK634" s="134"/>
      <c r="IL634" s="134"/>
      <c r="IM634" s="137"/>
      <c r="IN634" s="150"/>
      <c r="IO634" s="137"/>
      <c r="IP634" s="137"/>
      <c r="IQ634" s="3"/>
      <c r="IR634" s="138"/>
      <c r="IS634" s="2"/>
      <c r="IT634" s="139"/>
      <c r="IU634" s="3"/>
      <c r="IV634" s="3"/>
    </row>
    <row r="635" spans="1:256" s="3" customFormat="1" ht="14.25" customHeight="1" thickTop="1" thickBot="1">
      <c r="A635" s="215"/>
      <c r="B635" s="216"/>
      <c r="C635" s="217"/>
      <c r="D635" s="218"/>
      <c r="E635" s="219"/>
      <c r="F635" s="220" t="s">
        <v>839</v>
      </c>
      <c r="G635" s="221"/>
      <c r="H635" s="222"/>
      <c r="I635" s="223">
        <f t="shared" ref="I635:N635" si="60">SUM(I634,I207,I111)</f>
        <v>305311855</v>
      </c>
      <c r="J635" s="223">
        <f t="shared" si="60"/>
        <v>698654761.09523857</v>
      </c>
      <c r="K635" s="223">
        <f t="shared" si="60"/>
        <v>1003966616.09524</v>
      </c>
      <c r="L635" s="223">
        <f t="shared" si="60"/>
        <v>343</v>
      </c>
      <c r="M635" s="223">
        <f t="shared" si="60"/>
        <v>608931794.19047642</v>
      </c>
      <c r="N635" s="224">
        <f t="shared" si="60"/>
        <v>395034821.90476179</v>
      </c>
      <c r="O635" s="154"/>
    </row>
    <row r="636" spans="1:256" s="3" customFormat="1" ht="15" customHeight="1" thickTop="1">
      <c r="A636" s="225"/>
      <c r="B636" s="226"/>
      <c r="C636" s="227"/>
      <c r="D636" s="228"/>
      <c r="E636" s="104"/>
      <c r="F636" s="229"/>
      <c r="G636" s="106"/>
      <c r="H636" s="107"/>
      <c r="I636" s="108"/>
      <c r="J636" s="108"/>
      <c r="K636" s="108"/>
      <c r="L636" s="108"/>
      <c r="M636" s="108"/>
      <c r="N636" s="108"/>
      <c r="O636" s="108"/>
    </row>
    <row r="637" spans="1:256" s="3" customFormat="1" ht="9.75" customHeight="1">
      <c r="A637" s="230"/>
      <c r="B637" s="101"/>
      <c r="C637" s="227"/>
      <c r="D637" s="228"/>
      <c r="E637" s="104"/>
      <c r="F637" s="231"/>
      <c r="G637" s="232"/>
      <c r="H637" s="159"/>
      <c r="I637" s="108"/>
      <c r="J637" s="108"/>
      <c r="K637" s="14"/>
      <c r="L637" s="108"/>
      <c r="M637" s="108"/>
      <c r="N637" s="108"/>
      <c r="O637" s="108"/>
    </row>
    <row r="638" spans="1:256" s="3" customFormat="1">
      <c r="A638" s="230"/>
      <c r="B638" s="101"/>
      <c r="C638" s="227"/>
      <c r="D638" s="228"/>
      <c r="E638" s="104"/>
      <c r="F638" s="233"/>
      <c r="G638" s="106"/>
      <c r="H638" s="159"/>
      <c r="I638" s="108"/>
      <c r="J638" s="108"/>
      <c r="K638" s="14"/>
      <c r="L638" s="108"/>
      <c r="M638" s="108"/>
      <c r="N638" s="108"/>
      <c r="O638" s="108"/>
    </row>
    <row r="639" spans="1:256" s="3" customFormat="1">
      <c r="A639" s="230"/>
      <c r="B639" s="101"/>
      <c r="C639" s="227"/>
      <c r="D639" s="228"/>
      <c r="E639" s="104"/>
      <c r="F639" s="233"/>
      <c r="G639" s="106"/>
      <c r="H639" s="159"/>
      <c r="I639" s="108"/>
      <c r="J639" s="108"/>
      <c r="K639" s="14"/>
      <c r="L639" s="234"/>
      <c r="M639" s="234"/>
      <c r="N639" s="234"/>
      <c r="O639" s="234"/>
    </row>
    <row r="640" spans="1:256" s="3" customFormat="1">
      <c r="A640" s="230"/>
      <c r="B640" s="101"/>
      <c r="C640" s="227"/>
      <c r="D640" s="228"/>
      <c r="E640" s="104"/>
      <c r="F640" s="233"/>
      <c r="G640" s="106"/>
      <c r="H640" s="159"/>
      <c r="I640" s="108"/>
      <c r="J640" s="108"/>
      <c r="K640" s="14"/>
      <c r="L640" s="108"/>
      <c r="M640" s="108"/>
      <c r="N640" s="108"/>
      <c r="O640" s="108"/>
    </row>
    <row r="641" spans="1:256" s="3" customFormat="1">
      <c r="A641" s="230"/>
      <c r="B641" s="101"/>
      <c r="C641" s="227"/>
      <c r="D641" s="228"/>
      <c r="E641" s="104"/>
      <c r="F641" s="233"/>
      <c r="G641" s="106"/>
      <c r="H641" s="159"/>
      <c r="I641" s="108"/>
      <c r="J641" s="108"/>
      <c r="K641" s="14"/>
      <c r="L641" s="108"/>
      <c r="M641" s="108"/>
      <c r="N641" s="108"/>
      <c r="O641" s="108"/>
    </row>
    <row r="642" spans="1:256" s="3" customFormat="1" ht="14.25" thickBot="1">
      <c r="A642" s="230"/>
      <c r="B642" s="101"/>
      <c r="C642" s="227"/>
      <c r="D642" s="228"/>
      <c r="E642" s="104"/>
      <c r="F642" s="233"/>
      <c r="G642" s="106"/>
      <c r="H642" s="159"/>
      <c r="I642" s="108"/>
      <c r="J642" s="108"/>
      <c r="K642" s="163"/>
      <c r="L642" s="98"/>
      <c r="M642" s="98"/>
      <c r="N642" s="98"/>
      <c r="O642" s="98"/>
    </row>
    <row r="643" spans="1:256" s="3" customFormat="1" ht="14.25" thickTop="1">
      <c r="A643" s="230"/>
      <c r="B643" s="101"/>
      <c r="C643" s="227"/>
      <c r="D643" s="228"/>
      <c r="E643" s="104"/>
      <c r="F643" s="235"/>
      <c r="G643" s="162"/>
      <c r="H643" s="107"/>
      <c r="I643" s="108"/>
      <c r="J643" s="108"/>
      <c r="K643" s="108"/>
      <c r="L643" s="108"/>
      <c r="M643" s="108"/>
      <c r="N643" s="108"/>
      <c r="O643" s="108"/>
    </row>
    <row r="644" spans="1:256" s="3" customFormat="1" ht="14.25" thickBot="1">
      <c r="A644" s="230"/>
      <c r="B644" s="101"/>
      <c r="C644" s="227"/>
      <c r="D644" s="228"/>
      <c r="E644" s="104"/>
      <c r="F644" s="233"/>
      <c r="G644" s="106"/>
      <c r="H644" s="107"/>
      <c r="I644" s="108"/>
      <c r="J644" s="108"/>
      <c r="K644" s="108"/>
      <c r="L644" s="108"/>
      <c r="M644" s="108"/>
      <c r="N644" s="108"/>
      <c r="O644" s="108"/>
    </row>
    <row r="645" spans="1:256" s="3" customFormat="1" ht="14.25" thickTop="1">
      <c r="A645" s="236" t="s">
        <v>155</v>
      </c>
      <c r="B645" s="5" t="s">
        <v>1</v>
      </c>
      <c r="C645" s="6" t="s">
        <v>2</v>
      </c>
      <c r="D645" s="7"/>
      <c r="E645" s="8" t="s">
        <v>3</v>
      </c>
      <c r="F645" s="119" t="s">
        <v>5</v>
      </c>
      <c r="G645" s="10"/>
      <c r="H645" s="11"/>
      <c r="I645" s="12" t="s">
        <v>8</v>
      </c>
      <c r="J645" s="12" t="s">
        <v>9</v>
      </c>
      <c r="K645" s="12" t="s">
        <v>10</v>
      </c>
      <c r="L645" s="12" t="s">
        <v>11</v>
      </c>
      <c r="M645" s="12" t="s">
        <v>840</v>
      </c>
      <c r="N645" s="13" t="s">
        <v>13</v>
      </c>
      <c r="O645" s="14"/>
    </row>
    <row r="646" spans="1:256" s="3" customFormat="1" ht="24" customHeight="1">
      <c r="A646" s="76">
        <v>1</v>
      </c>
      <c r="B646" s="237"/>
      <c r="C646" s="18"/>
      <c r="D646" s="19" t="s">
        <v>841</v>
      </c>
      <c r="E646" s="20">
        <v>1</v>
      </c>
      <c r="F646" s="82" t="s">
        <v>842</v>
      </c>
      <c r="G646" s="58"/>
      <c r="H646" s="121"/>
      <c r="I646" s="24">
        <v>1459238</v>
      </c>
      <c r="J646" s="24"/>
      <c r="K646" s="24">
        <f>I646+J646</f>
        <v>1459238</v>
      </c>
      <c r="L646" s="123"/>
      <c r="M646" s="24"/>
      <c r="N646" s="129">
        <f>K646-M646</f>
        <v>1459238</v>
      </c>
      <c r="O646" s="108"/>
    </row>
    <row r="647" spans="1:256" s="3" customFormat="1">
      <c r="A647" s="76">
        <v>2</v>
      </c>
      <c r="B647" s="237"/>
      <c r="C647" s="18"/>
      <c r="D647" s="19" t="s">
        <v>841</v>
      </c>
      <c r="E647" s="20">
        <v>1</v>
      </c>
      <c r="F647" s="82" t="s">
        <v>843</v>
      </c>
      <c r="G647" s="58"/>
      <c r="H647" s="121"/>
      <c r="I647" s="24">
        <v>1266571</v>
      </c>
      <c r="J647" s="24"/>
      <c r="K647" s="199">
        <f>I647+J647</f>
        <v>1266571</v>
      </c>
      <c r="L647" s="26"/>
      <c r="M647" s="24"/>
      <c r="N647" s="129">
        <f>K647-M647</f>
        <v>1266571</v>
      </c>
      <c r="O647" s="108"/>
      <c r="Q647" s="140"/>
      <c r="AA647" s="130"/>
      <c r="AB647" s="130"/>
      <c r="AC647" s="130"/>
      <c r="AD647" s="130"/>
      <c r="AE647" s="130"/>
      <c r="AF647" s="130"/>
      <c r="AG647" s="130"/>
      <c r="AH647" s="130"/>
      <c r="AL647" s="125"/>
      <c r="AM647" s="125"/>
      <c r="AN647" s="125"/>
      <c r="AO647" s="125"/>
      <c r="AP647" s="125"/>
      <c r="AQ647" s="125"/>
      <c r="AR647" s="125"/>
      <c r="AS647" s="125"/>
      <c r="AT647" s="125"/>
      <c r="AU647" s="125"/>
      <c r="AV647" s="125"/>
      <c r="AW647" s="125"/>
      <c r="AX647" s="125"/>
      <c r="AY647" s="167"/>
      <c r="AZ647" s="167"/>
      <c r="BA647" s="167"/>
      <c r="BB647" s="167"/>
      <c r="BC647" s="167"/>
      <c r="BD647" s="167"/>
      <c r="BE647" s="167"/>
      <c r="BF647" s="167"/>
      <c r="BG647" s="125"/>
      <c r="BH647" s="125"/>
      <c r="BI647" s="125"/>
      <c r="BJ647" s="125"/>
      <c r="BK647" s="125"/>
      <c r="BL647" s="125"/>
      <c r="BM647" s="125"/>
      <c r="BN647" s="125"/>
      <c r="BO647" s="125"/>
      <c r="BP647" s="125"/>
      <c r="BQ647" s="125"/>
      <c r="BR647" s="125"/>
      <c r="BS647" s="125"/>
      <c r="BT647" s="125"/>
      <c r="BU647" s="125"/>
      <c r="BV647" s="125"/>
      <c r="BW647" s="167"/>
      <c r="BX647" s="167"/>
      <c r="BY647" s="167"/>
      <c r="BZ647" s="167"/>
      <c r="CA647" s="167"/>
      <c r="CB647" s="167"/>
      <c r="CC647" s="167"/>
      <c r="CD647" s="167"/>
      <c r="CE647" s="125"/>
      <c r="CF647" s="125"/>
      <c r="CG647" s="125"/>
      <c r="CH647" s="125"/>
      <c r="CI647" s="125"/>
      <c r="CJ647" s="125"/>
      <c r="CK647" s="125"/>
      <c r="CL647" s="125"/>
      <c r="CM647" s="125"/>
      <c r="CN647" s="125"/>
      <c r="CO647" s="125"/>
      <c r="CP647" s="125"/>
      <c r="CQ647" s="125"/>
      <c r="CR647" s="125"/>
      <c r="CS647" s="125"/>
      <c r="CT647" s="125"/>
      <c r="CU647" s="167"/>
      <c r="CV647" s="167"/>
      <c r="CW647" s="167"/>
      <c r="CX647" s="167"/>
      <c r="CY647" s="167"/>
      <c r="CZ647" s="167"/>
      <c r="DA647" s="167"/>
      <c r="DB647" s="167"/>
      <c r="DC647" s="125"/>
      <c r="DD647" s="125"/>
      <c r="DE647" s="125"/>
      <c r="DF647" s="125"/>
      <c r="DG647" s="125"/>
      <c r="DH647" s="125"/>
      <c r="DI647" s="125"/>
      <c r="DJ647" s="125"/>
      <c r="DK647" s="125"/>
      <c r="DL647" s="125"/>
      <c r="DM647" s="125"/>
      <c r="DN647" s="125"/>
      <c r="DO647" s="125"/>
      <c r="DP647" s="125"/>
      <c r="DQ647" s="125"/>
      <c r="DR647" s="125"/>
      <c r="DS647" s="167"/>
      <c r="DT647" s="167"/>
      <c r="DU647" s="167"/>
      <c r="DV647" s="167"/>
      <c r="DW647" s="167"/>
      <c r="DX647" s="167"/>
      <c r="DY647" s="167"/>
      <c r="DZ647" s="167"/>
      <c r="EA647" s="125"/>
      <c r="EB647" s="125"/>
      <c r="EC647" s="125"/>
      <c r="ED647" s="125"/>
      <c r="EE647" s="125"/>
      <c r="EF647" s="125"/>
      <c r="EG647" s="125"/>
      <c r="EH647" s="125"/>
      <c r="EI647" s="125"/>
      <c r="EJ647" s="125"/>
      <c r="EK647" s="125"/>
      <c r="EL647" s="125"/>
      <c r="EM647" s="125"/>
      <c r="EN647" s="125"/>
      <c r="EO647" s="125"/>
      <c r="EP647" s="125"/>
      <c r="EQ647" s="167"/>
      <c r="ER647" s="167"/>
      <c r="ES647" s="167"/>
      <c r="ET647" s="167"/>
      <c r="EU647" s="167"/>
      <c r="EV647" s="167"/>
      <c r="EW647" s="167"/>
      <c r="EX647" s="167"/>
      <c r="EY647" s="125"/>
      <c r="EZ647" s="125"/>
      <c r="FA647" s="125"/>
      <c r="FB647" s="125"/>
      <c r="FC647" s="125"/>
      <c r="FD647" s="125"/>
      <c r="FE647" s="125"/>
      <c r="FF647" s="125"/>
      <c r="FG647" s="125"/>
      <c r="FH647" s="125"/>
      <c r="FI647" s="125"/>
      <c r="FJ647" s="125"/>
      <c r="FK647" s="125"/>
      <c r="FL647" s="125"/>
      <c r="FM647" s="125"/>
      <c r="FN647" s="125"/>
      <c r="FO647" s="167"/>
      <c r="FP647" s="167"/>
      <c r="FQ647" s="167"/>
      <c r="FR647" s="167"/>
      <c r="FS647" s="167"/>
      <c r="FT647" s="167"/>
      <c r="FU647" s="167"/>
      <c r="FV647" s="167"/>
      <c r="FW647" s="125"/>
      <c r="FX647" s="125"/>
      <c r="FY647" s="125"/>
      <c r="FZ647" s="125"/>
      <c r="GA647" s="125"/>
      <c r="GB647" s="125"/>
      <c r="GC647" s="125"/>
      <c r="GD647" s="125"/>
      <c r="GE647" s="125"/>
      <c r="GF647" s="125"/>
      <c r="GG647" s="125"/>
      <c r="GH647" s="125"/>
      <c r="GI647" s="125"/>
      <c r="GJ647" s="125"/>
      <c r="GK647" s="125"/>
      <c r="GL647" s="125"/>
      <c r="GM647" s="167"/>
      <c r="GN647" s="167"/>
      <c r="GO647" s="167"/>
      <c r="GP647" s="167"/>
      <c r="GQ647" s="167"/>
      <c r="GR647" s="167"/>
      <c r="GS647" s="167"/>
      <c r="GT647" s="167"/>
      <c r="GU647" s="125"/>
      <c r="GV647" s="125"/>
      <c r="GW647" s="125"/>
      <c r="GX647" s="125"/>
      <c r="GY647" s="125"/>
      <c r="GZ647" s="125"/>
      <c r="HA647" s="125"/>
      <c r="HB647" s="125"/>
      <c r="HC647" s="125"/>
      <c r="HD647" s="125"/>
      <c r="HE647" s="125"/>
      <c r="HF647" s="125"/>
      <c r="HG647" s="125"/>
      <c r="HH647" s="125"/>
      <c r="HI647" s="125"/>
      <c r="HJ647" s="125"/>
      <c r="HK647" s="167"/>
      <c r="HL647" s="167"/>
      <c r="HM647" s="167"/>
      <c r="HN647" s="167"/>
      <c r="HO647" s="167"/>
      <c r="HP647" s="167"/>
      <c r="HQ647" s="167"/>
      <c r="HR647" s="167"/>
      <c r="HS647" s="125"/>
      <c r="HT647" s="125"/>
      <c r="HU647" s="125"/>
      <c r="HV647" s="125"/>
      <c r="HW647" s="125"/>
      <c r="HX647" s="125"/>
      <c r="HY647" s="125"/>
      <c r="HZ647" s="125"/>
      <c r="IA647" s="125"/>
      <c r="IB647" s="125"/>
      <c r="IC647" s="125"/>
      <c r="ID647" s="125"/>
      <c r="IE647" s="125"/>
      <c r="IF647" s="125"/>
      <c r="IG647" s="125"/>
      <c r="IH647" s="125"/>
      <c r="II647" s="167"/>
      <c r="IJ647" s="167"/>
      <c r="IK647" s="167"/>
      <c r="IL647" s="167"/>
      <c r="IM647" s="167"/>
      <c r="IN647" s="167"/>
      <c r="IO647" s="167"/>
      <c r="IP647" s="167"/>
      <c r="IQ647" s="125"/>
      <c r="IR647" s="125"/>
      <c r="IS647" s="125"/>
      <c r="IT647" s="125"/>
      <c r="IU647" s="125"/>
      <c r="IV647" s="125"/>
    </row>
    <row r="648" spans="1:256" s="3" customFormat="1">
      <c r="A648" s="76">
        <v>3</v>
      </c>
      <c r="B648" s="237"/>
      <c r="C648" s="18"/>
      <c r="D648" s="19" t="s">
        <v>841</v>
      </c>
      <c r="E648" s="20">
        <v>1</v>
      </c>
      <c r="F648" s="24" t="s">
        <v>844</v>
      </c>
      <c r="G648" s="238"/>
      <c r="H648" s="121"/>
      <c r="I648" s="24">
        <v>1266571</v>
      </c>
      <c r="J648" s="24"/>
      <c r="K648" s="24">
        <v>1266571</v>
      </c>
      <c r="L648" s="24"/>
      <c r="M648" s="24"/>
      <c r="N648" s="129">
        <v>1266571</v>
      </c>
      <c r="O648" s="108"/>
      <c r="Y648" s="131"/>
      <c r="Z648" s="15"/>
      <c r="AA648" s="132"/>
      <c r="AB648" s="133"/>
      <c r="AC648" s="134"/>
      <c r="AD648" s="134"/>
      <c r="AE648" s="135"/>
      <c r="AF648" s="182"/>
      <c r="AG648" s="183"/>
      <c r="AH648" s="183"/>
      <c r="AI648" s="125"/>
      <c r="AJ648" s="184"/>
      <c r="AK648" s="185"/>
      <c r="AL648" s="186"/>
      <c r="AM648" s="125"/>
      <c r="AN648" s="125"/>
      <c r="AO648" s="125"/>
      <c r="AP648" s="125"/>
      <c r="AQ648" s="125"/>
      <c r="AR648" s="125"/>
      <c r="AS648" s="125"/>
      <c r="AT648" s="125"/>
      <c r="AU648" s="125"/>
      <c r="AV648" s="125"/>
      <c r="AW648" s="187"/>
      <c r="AX648" s="188"/>
      <c r="AY648" s="189"/>
      <c r="AZ648" s="190"/>
      <c r="BA648" s="191"/>
      <c r="BB648" s="191"/>
      <c r="BC648" s="192"/>
      <c r="BD648" s="182"/>
      <c r="BE648" s="183"/>
      <c r="BF648" s="183"/>
      <c r="BG648" s="125"/>
      <c r="BH648" s="184"/>
      <c r="BI648" s="185"/>
      <c r="BJ648" s="186"/>
      <c r="BK648" s="125"/>
      <c r="BL648" s="125"/>
      <c r="BM648" s="125"/>
      <c r="BN648" s="125"/>
      <c r="BO648" s="125"/>
      <c r="BP648" s="125"/>
      <c r="BQ648" s="125"/>
      <c r="BR648" s="125"/>
      <c r="BS648" s="125"/>
      <c r="BT648" s="125"/>
      <c r="BU648" s="187"/>
      <c r="BV648" s="188"/>
      <c r="BW648" s="189"/>
      <c r="BX648" s="190"/>
      <c r="BY648" s="191"/>
      <c r="BZ648" s="191"/>
      <c r="CA648" s="192"/>
      <c r="CB648" s="182"/>
      <c r="CC648" s="183"/>
      <c r="CD648" s="183"/>
      <c r="CE648" s="125"/>
      <c r="CF648" s="184"/>
      <c r="CG648" s="185"/>
      <c r="CH648" s="186"/>
      <c r="CI648" s="125"/>
      <c r="CJ648" s="125"/>
      <c r="CK648" s="125"/>
      <c r="CL648" s="125"/>
      <c r="CM648" s="125"/>
      <c r="CN648" s="125"/>
      <c r="CO648" s="125"/>
      <c r="CP648" s="125"/>
      <c r="CQ648" s="125"/>
      <c r="CR648" s="125"/>
      <c r="CS648" s="187"/>
      <c r="CT648" s="188"/>
      <c r="CU648" s="189"/>
      <c r="CV648" s="190"/>
      <c r="CW648" s="191"/>
      <c r="CX648" s="191"/>
      <c r="CY648" s="192"/>
      <c r="CZ648" s="182"/>
      <c r="DA648" s="183"/>
      <c r="DB648" s="183"/>
      <c r="DC648" s="125"/>
      <c r="DD648" s="184"/>
      <c r="DE648" s="185"/>
      <c r="DF648" s="186"/>
      <c r="DG648" s="125"/>
      <c r="DH648" s="125"/>
      <c r="DI648" s="125"/>
      <c r="DJ648" s="125"/>
      <c r="DK648" s="125"/>
      <c r="DL648" s="125"/>
      <c r="DM648" s="125"/>
      <c r="DN648" s="125"/>
      <c r="DO648" s="125"/>
      <c r="DP648" s="125"/>
      <c r="DQ648" s="187"/>
      <c r="DR648" s="188"/>
      <c r="DS648" s="189"/>
      <c r="DT648" s="190"/>
      <c r="DU648" s="191"/>
      <c r="DV648" s="191"/>
      <c r="DW648" s="192"/>
      <c r="DX648" s="182"/>
      <c r="DY648" s="183"/>
      <c r="DZ648" s="183"/>
      <c r="EA648" s="125"/>
      <c r="EB648" s="184"/>
      <c r="EC648" s="185"/>
      <c r="ED648" s="186"/>
      <c r="EE648" s="125"/>
      <c r="EF648" s="125"/>
      <c r="EG648" s="125"/>
      <c r="EH648" s="125"/>
      <c r="EI648" s="125"/>
      <c r="EJ648" s="125"/>
      <c r="EK648" s="125"/>
      <c r="EL648" s="125"/>
      <c r="EM648" s="125"/>
      <c r="EN648" s="125"/>
      <c r="EO648" s="187"/>
      <c r="EP648" s="188"/>
      <c r="EQ648" s="189"/>
      <c r="ER648" s="190"/>
      <c r="ES648" s="191"/>
      <c r="ET648" s="191"/>
      <c r="EU648" s="192"/>
      <c r="EV648" s="182"/>
      <c r="EW648" s="183"/>
      <c r="EX648" s="183"/>
      <c r="EY648" s="125"/>
      <c r="EZ648" s="184"/>
      <c r="FA648" s="185"/>
      <c r="FB648" s="186"/>
      <c r="FC648" s="125"/>
      <c r="FD648" s="125"/>
      <c r="FE648" s="125"/>
      <c r="FF648" s="125"/>
      <c r="FG648" s="125"/>
      <c r="FH648" s="125"/>
      <c r="FI648" s="125"/>
      <c r="FJ648" s="125"/>
      <c r="FK648" s="125"/>
      <c r="FL648" s="125"/>
      <c r="FM648" s="187"/>
      <c r="FN648" s="188"/>
      <c r="FO648" s="189"/>
      <c r="FP648" s="190"/>
      <c r="FQ648" s="191"/>
      <c r="FR648" s="191"/>
      <c r="FS648" s="192"/>
      <c r="FT648" s="182"/>
      <c r="FU648" s="183"/>
      <c r="FV648" s="183"/>
      <c r="FW648" s="125"/>
      <c r="FX648" s="184"/>
      <c r="FY648" s="185"/>
      <c r="FZ648" s="186"/>
      <c r="GA648" s="125"/>
      <c r="GB648" s="125"/>
      <c r="GC648" s="125"/>
      <c r="GD648" s="125"/>
      <c r="GE648" s="125"/>
      <c r="GF648" s="125"/>
      <c r="GG648" s="125"/>
      <c r="GH648" s="125"/>
      <c r="GI648" s="125"/>
      <c r="GJ648" s="125"/>
      <c r="GK648" s="187"/>
      <c r="GL648" s="188"/>
      <c r="GM648" s="189"/>
      <c r="GN648" s="190"/>
      <c r="GO648" s="191"/>
      <c r="GP648" s="191"/>
      <c r="GQ648" s="192"/>
      <c r="GR648" s="182"/>
      <c r="GS648" s="183"/>
      <c r="GT648" s="183"/>
      <c r="GU648" s="125"/>
      <c r="GV648" s="184"/>
      <c r="GW648" s="185"/>
      <c r="GX648" s="186"/>
      <c r="GY648" s="125"/>
      <c r="GZ648" s="125"/>
      <c r="HA648" s="125"/>
      <c r="HB648" s="125"/>
      <c r="HC648" s="125"/>
      <c r="HD648" s="125"/>
      <c r="HE648" s="125"/>
      <c r="HF648" s="125"/>
      <c r="HG648" s="125"/>
      <c r="HH648" s="125"/>
      <c r="HI648" s="187"/>
      <c r="HJ648" s="188"/>
      <c r="HK648" s="189"/>
      <c r="HL648" s="190"/>
      <c r="HM648" s="191"/>
      <c r="HN648" s="191"/>
      <c r="HO648" s="192"/>
      <c r="HP648" s="182"/>
      <c r="HQ648" s="183"/>
      <c r="HR648" s="183"/>
      <c r="HS648" s="125"/>
      <c r="HT648" s="184"/>
      <c r="HU648" s="185"/>
      <c r="HV648" s="186"/>
      <c r="HW648" s="125"/>
      <c r="HX648" s="125"/>
      <c r="HY648" s="125"/>
      <c r="HZ648" s="125"/>
      <c r="IA648" s="125"/>
      <c r="IB648" s="125"/>
      <c r="IC648" s="125"/>
      <c r="ID648" s="125"/>
      <c r="IE648" s="125"/>
      <c r="IF648" s="125"/>
      <c r="IG648" s="187"/>
      <c r="IH648" s="188"/>
      <c r="II648" s="189"/>
      <c r="IJ648" s="190"/>
      <c r="IK648" s="191"/>
      <c r="IL648" s="191"/>
      <c r="IM648" s="192"/>
      <c r="IN648" s="182"/>
      <c r="IO648" s="183"/>
      <c r="IP648" s="183"/>
      <c r="IQ648" s="125"/>
      <c r="IR648" s="184"/>
      <c r="IS648" s="185"/>
      <c r="IT648" s="186"/>
      <c r="IU648" s="125"/>
      <c r="IV648" s="125"/>
    </row>
    <row r="649" spans="1:256" s="125" customFormat="1">
      <c r="A649" s="76">
        <v>4</v>
      </c>
      <c r="B649" s="237"/>
      <c r="C649" s="18"/>
      <c r="D649" s="19" t="s">
        <v>841</v>
      </c>
      <c r="E649" s="20">
        <v>1</v>
      </c>
      <c r="F649" s="82" t="s">
        <v>845</v>
      </c>
      <c r="G649" s="58"/>
      <c r="H649" s="121"/>
      <c r="I649" s="24">
        <v>1266571</v>
      </c>
      <c r="J649" s="24"/>
      <c r="K649" s="199">
        <f>I649+J649</f>
        <v>1266571</v>
      </c>
      <c r="L649" s="26"/>
      <c r="M649" s="24"/>
      <c r="N649" s="129">
        <f>K649-M649</f>
        <v>1266571</v>
      </c>
      <c r="O649" s="108"/>
      <c r="P649" s="3"/>
      <c r="Q649" s="140"/>
      <c r="R649" s="3"/>
      <c r="S649" s="3"/>
      <c r="T649" s="3"/>
      <c r="U649" s="3"/>
      <c r="V649" s="3"/>
      <c r="W649" s="3"/>
      <c r="X649" s="3"/>
      <c r="Y649" s="3"/>
      <c r="Z649" s="3"/>
      <c r="AA649" s="130"/>
      <c r="AB649" s="130"/>
      <c r="AC649" s="130"/>
      <c r="AD649" s="130"/>
      <c r="AE649" s="130"/>
      <c r="AF649" s="130"/>
      <c r="AG649" s="130"/>
      <c r="AH649" s="130"/>
      <c r="AI649" s="3"/>
      <c r="AJ649" s="3"/>
      <c r="AK649" s="3"/>
      <c r="AY649" s="167"/>
      <c r="AZ649" s="167"/>
      <c r="BA649" s="167"/>
      <c r="BB649" s="167"/>
      <c r="BC649" s="167"/>
      <c r="BD649" s="167"/>
      <c r="BE649" s="167"/>
      <c r="BF649" s="167"/>
      <c r="BW649" s="167"/>
      <c r="BX649" s="167"/>
      <c r="BY649" s="167"/>
      <c r="BZ649" s="167"/>
      <c r="CA649" s="167"/>
      <c r="CB649" s="167"/>
      <c r="CC649" s="167"/>
      <c r="CD649" s="167"/>
      <c r="CU649" s="167"/>
      <c r="CV649" s="167"/>
      <c r="CW649" s="167"/>
      <c r="CX649" s="167"/>
      <c r="CY649" s="167"/>
      <c r="CZ649" s="167"/>
      <c r="DA649" s="167"/>
      <c r="DB649" s="167"/>
      <c r="DS649" s="167"/>
      <c r="DT649" s="167"/>
      <c r="DU649" s="167"/>
      <c r="DV649" s="167"/>
      <c r="DW649" s="167"/>
      <c r="DX649" s="167"/>
      <c r="DY649" s="167"/>
      <c r="DZ649" s="167"/>
      <c r="EQ649" s="167"/>
      <c r="ER649" s="167"/>
      <c r="ES649" s="167"/>
      <c r="ET649" s="167"/>
      <c r="EU649" s="167"/>
      <c r="EV649" s="167"/>
      <c r="EW649" s="167"/>
      <c r="EX649" s="167"/>
      <c r="FO649" s="167"/>
      <c r="FP649" s="167"/>
      <c r="FQ649" s="167"/>
      <c r="FR649" s="167"/>
      <c r="FS649" s="167"/>
      <c r="FT649" s="167"/>
      <c r="FU649" s="167"/>
      <c r="FV649" s="167"/>
      <c r="GM649" s="167"/>
      <c r="GN649" s="167"/>
      <c r="GO649" s="167"/>
      <c r="GP649" s="167"/>
      <c r="GQ649" s="167"/>
      <c r="GR649" s="167"/>
      <c r="GS649" s="167"/>
      <c r="GT649" s="167"/>
      <c r="HK649" s="167"/>
      <c r="HL649" s="167"/>
      <c r="HM649" s="167"/>
      <c r="HN649" s="167"/>
      <c r="HO649" s="167"/>
      <c r="HP649" s="167"/>
      <c r="HQ649" s="167"/>
      <c r="HR649" s="167"/>
      <c r="II649" s="167"/>
      <c r="IJ649" s="167"/>
      <c r="IK649" s="167"/>
      <c r="IL649" s="167"/>
      <c r="IM649" s="167"/>
      <c r="IN649" s="167"/>
      <c r="IO649" s="167"/>
      <c r="IP649" s="167"/>
    </row>
    <row r="650" spans="1:256" s="3" customFormat="1">
      <c r="A650" s="76">
        <v>5</v>
      </c>
      <c r="B650" s="237"/>
      <c r="C650" s="18"/>
      <c r="D650" s="19" t="s">
        <v>841</v>
      </c>
      <c r="E650" s="20">
        <v>1</v>
      </c>
      <c r="F650" s="57" t="s">
        <v>846</v>
      </c>
      <c r="G650" s="58"/>
      <c r="H650" s="121"/>
      <c r="I650" s="24">
        <v>1266571</v>
      </c>
      <c r="J650" s="24"/>
      <c r="K650" s="24">
        <f>I650+J650</f>
        <v>1266571</v>
      </c>
      <c r="L650" s="123"/>
      <c r="M650" s="24"/>
      <c r="N650" s="129">
        <f>K650-M650</f>
        <v>1266571</v>
      </c>
      <c r="O650" s="108"/>
      <c r="Q650" s="140"/>
      <c r="AA650" s="130"/>
      <c r="AB650" s="130"/>
      <c r="AC650" s="130"/>
      <c r="AD650" s="130"/>
      <c r="AE650" s="130"/>
      <c r="AF650" s="167"/>
      <c r="AG650" s="167"/>
      <c r="AH650" s="167"/>
      <c r="AI650" s="125"/>
      <c r="AJ650" s="125"/>
      <c r="AK650" s="125"/>
      <c r="AL650" s="125"/>
      <c r="AM650" s="125"/>
      <c r="AN650" s="125"/>
      <c r="AO650" s="125"/>
      <c r="AP650" s="125"/>
      <c r="AQ650" s="125"/>
      <c r="AR650" s="125"/>
      <c r="AS650" s="125"/>
      <c r="AT650" s="125"/>
      <c r="AU650" s="125"/>
      <c r="AV650" s="125"/>
      <c r="AW650" s="125"/>
      <c r="AX650" s="125"/>
      <c r="AY650" s="167"/>
      <c r="AZ650" s="167"/>
      <c r="BA650" s="167"/>
      <c r="BB650" s="167"/>
      <c r="BC650" s="167"/>
      <c r="BD650" s="167"/>
      <c r="BE650" s="167"/>
      <c r="BF650" s="167"/>
      <c r="BG650" s="125"/>
      <c r="BH650" s="125"/>
      <c r="BI650" s="125"/>
      <c r="BJ650" s="125"/>
      <c r="BK650" s="125"/>
      <c r="BL650" s="125"/>
      <c r="BM650" s="125"/>
      <c r="BN650" s="125"/>
      <c r="BO650" s="125"/>
      <c r="BP650" s="125"/>
      <c r="BQ650" s="125"/>
      <c r="BR650" s="125"/>
      <c r="BS650" s="125"/>
      <c r="BT650" s="125"/>
      <c r="BU650" s="125"/>
      <c r="BV650" s="125"/>
      <c r="BW650" s="167"/>
      <c r="BX650" s="167"/>
      <c r="BY650" s="167"/>
      <c r="BZ650" s="167"/>
      <c r="CA650" s="167"/>
      <c r="CB650" s="167"/>
      <c r="CC650" s="167"/>
      <c r="CD650" s="167"/>
      <c r="CE650" s="125"/>
      <c r="CF650" s="125"/>
      <c r="CG650" s="125"/>
      <c r="CH650" s="125"/>
      <c r="CI650" s="125"/>
      <c r="CJ650" s="125"/>
      <c r="CK650" s="125"/>
      <c r="CL650" s="125"/>
      <c r="CM650" s="125"/>
      <c r="CN650" s="125"/>
      <c r="CO650" s="125"/>
      <c r="CP650" s="125"/>
      <c r="CQ650" s="125"/>
      <c r="CR650" s="125"/>
      <c r="CS650" s="125"/>
      <c r="CT650" s="125"/>
      <c r="CU650" s="167"/>
      <c r="CV650" s="167"/>
      <c r="CW650" s="167"/>
      <c r="CX650" s="167"/>
      <c r="CY650" s="167"/>
      <c r="CZ650" s="167"/>
      <c r="DA650" s="167"/>
      <c r="DB650" s="167"/>
      <c r="DC650" s="125"/>
      <c r="DD650" s="125"/>
      <c r="DE650" s="125"/>
      <c r="DF650" s="125"/>
      <c r="DG650" s="125"/>
      <c r="DH650" s="125"/>
      <c r="DI650" s="125"/>
      <c r="DJ650" s="125"/>
      <c r="DK650" s="125"/>
      <c r="DL650" s="125"/>
      <c r="DM650" s="125"/>
      <c r="DN650" s="125"/>
      <c r="DO650" s="125"/>
      <c r="DP650" s="125"/>
      <c r="DQ650" s="125"/>
      <c r="DR650" s="125"/>
      <c r="DS650" s="167"/>
      <c r="DT650" s="167"/>
      <c r="DU650" s="167"/>
      <c r="DV650" s="167"/>
      <c r="DW650" s="167"/>
      <c r="DX650" s="167"/>
      <c r="DY650" s="167"/>
      <c r="DZ650" s="167"/>
      <c r="EA650" s="125"/>
      <c r="EB650" s="125"/>
      <c r="EC650" s="125"/>
      <c r="ED650" s="125"/>
      <c r="EE650" s="125"/>
      <c r="EF650" s="125"/>
      <c r="EG650" s="125"/>
      <c r="EH650" s="125"/>
      <c r="EI650" s="125"/>
      <c r="EJ650" s="125"/>
      <c r="EK650" s="125"/>
      <c r="EL650" s="125"/>
      <c r="EM650" s="125"/>
      <c r="EN650" s="125"/>
      <c r="EO650" s="125"/>
      <c r="EP650" s="125"/>
      <c r="EQ650" s="167"/>
      <c r="ER650" s="167"/>
      <c r="ES650" s="167"/>
      <c r="ET650" s="167"/>
      <c r="EU650" s="167"/>
      <c r="EV650" s="167"/>
      <c r="EW650" s="167"/>
      <c r="EX650" s="167"/>
      <c r="EY650" s="125"/>
      <c r="EZ650" s="125"/>
      <c r="FA650" s="125"/>
      <c r="FB650" s="125"/>
      <c r="FC650" s="125"/>
      <c r="FD650" s="125"/>
      <c r="FE650" s="125"/>
      <c r="FF650" s="125"/>
      <c r="FG650" s="125"/>
      <c r="FH650" s="125"/>
      <c r="FI650" s="125"/>
      <c r="FJ650" s="125"/>
      <c r="FK650" s="125"/>
      <c r="FL650" s="125"/>
      <c r="FM650" s="125"/>
      <c r="FN650" s="125"/>
      <c r="FO650" s="167"/>
      <c r="FP650" s="167"/>
      <c r="FQ650" s="167"/>
      <c r="FR650" s="167"/>
      <c r="FS650" s="167"/>
      <c r="FT650" s="167"/>
      <c r="FU650" s="167"/>
      <c r="FV650" s="167"/>
      <c r="FW650" s="125"/>
      <c r="FX650" s="125"/>
      <c r="FY650" s="125"/>
      <c r="FZ650" s="125"/>
      <c r="GA650" s="125"/>
      <c r="GB650" s="125"/>
      <c r="GC650" s="125"/>
      <c r="GD650" s="125"/>
      <c r="GE650" s="125"/>
      <c r="GF650" s="125"/>
      <c r="GG650" s="125"/>
      <c r="GH650" s="125"/>
      <c r="GI650" s="125"/>
      <c r="GJ650" s="125"/>
      <c r="GK650" s="125"/>
      <c r="GL650" s="125"/>
      <c r="GM650" s="167"/>
      <c r="GN650" s="167"/>
      <c r="GO650" s="167"/>
      <c r="GP650" s="167"/>
      <c r="GQ650" s="167"/>
      <c r="GR650" s="167"/>
      <c r="GS650" s="167"/>
      <c r="GT650" s="167"/>
      <c r="GU650" s="125"/>
      <c r="GV650" s="125"/>
      <c r="GW650" s="125"/>
      <c r="GX650" s="125"/>
      <c r="GY650" s="125"/>
      <c r="GZ650" s="125"/>
      <c r="HA650" s="125"/>
      <c r="HB650" s="125"/>
      <c r="HC650" s="125"/>
      <c r="HD650" s="125"/>
      <c r="HE650" s="125"/>
      <c r="HF650" s="125"/>
      <c r="HG650" s="125"/>
      <c r="HH650" s="125"/>
      <c r="HI650" s="125"/>
      <c r="HJ650" s="125"/>
      <c r="HK650" s="167"/>
      <c r="HL650" s="167"/>
      <c r="HM650" s="167"/>
      <c r="HN650" s="167"/>
      <c r="HO650" s="167"/>
      <c r="HP650" s="167"/>
      <c r="HQ650" s="167"/>
      <c r="HR650" s="167"/>
      <c r="HS650" s="125"/>
      <c r="HT650" s="125"/>
      <c r="HU650" s="125"/>
      <c r="HV650" s="125"/>
      <c r="HW650" s="125"/>
      <c r="HX650" s="125"/>
      <c r="HY650" s="125"/>
      <c r="HZ650" s="125"/>
      <c r="IA650" s="125"/>
      <c r="IB650" s="125"/>
      <c r="IC650" s="125"/>
      <c r="ID650" s="125"/>
      <c r="IE650" s="125"/>
      <c r="IF650" s="125"/>
      <c r="IG650" s="125"/>
      <c r="IH650" s="125"/>
      <c r="II650" s="167"/>
      <c r="IJ650" s="167"/>
      <c r="IK650" s="167"/>
      <c r="IL650" s="167"/>
      <c r="IM650" s="167"/>
      <c r="IN650" s="167"/>
      <c r="IO650" s="167"/>
      <c r="IP650" s="167"/>
      <c r="IQ650" s="125"/>
      <c r="IR650" s="125"/>
      <c r="IS650" s="125"/>
      <c r="IT650" s="125"/>
      <c r="IU650" s="125"/>
      <c r="IV650" s="125"/>
    </row>
    <row r="651" spans="1:256" s="125" customFormat="1">
      <c r="A651" s="76">
        <v>6</v>
      </c>
      <c r="B651" s="237"/>
      <c r="C651" s="18"/>
      <c r="D651" s="19" t="s">
        <v>841</v>
      </c>
      <c r="E651" s="20">
        <v>1</v>
      </c>
      <c r="F651" s="82" t="s">
        <v>847</v>
      </c>
      <c r="G651" s="58"/>
      <c r="H651" s="121"/>
      <c r="I651" s="24">
        <v>1266571</v>
      </c>
      <c r="J651" s="24"/>
      <c r="K651" s="24">
        <f>I651+J651</f>
        <v>1266571</v>
      </c>
      <c r="L651" s="123"/>
      <c r="M651" s="24"/>
      <c r="N651" s="129">
        <f>K651-M651</f>
        <v>1266571</v>
      </c>
      <c r="O651" s="108"/>
      <c r="P651" s="3"/>
      <c r="Q651" s="140"/>
      <c r="R651" s="3"/>
      <c r="S651" s="3"/>
      <c r="T651" s="3"/>
      <c r="U651" s="3"/>
      <c r="V651" s="3"/>
      <c r="W651" s="3"/>
      <c r="X651" s="3"/>
      <c r="Y651" s="3"/>
      <c r="Z651" s="3"/>
      <c r="AA651" s="130"/>
      <c r="AB651" s="130"/>
      <c r="AC651" s="130"/>
      <c r="AD651" s="130"/>
      <c r="AE651" s="130"/>
      <c r="AF651" s="130"/>
      <c r="AG651" s="130"/>
      <c r="AH651" s="130"/>
      <c r="AI651" s="3"/>
      <c r="AJ651" s="3"/>
      <c r="AK651" s="3"/>
      <c r="AY651" s="167"/>
      <c r="AZ651" s="167"/>
      <c r="BA651" s="167"/>
      <c r="BB651" s="167"/>
      <c r="BC651" s="167"/>
      <c r="BD651" s="167"/>
      <c r="BE651" s="167"/>
      <c r="BF651" s="167"/>
      <c r="BW651" s="167"/>
      <c r="BX651" s="167"/>
      <c r="BY651" s="167"/>
      <c r="BZ651" s="167"/>
      <c r="CA651" s="167"/>
      <c r="CB651" s="167"/>
      <c r="CC651" s="167"/>
      <c r="CD651" s="167"/>
      <c r="CU651" s="167"/>
      <c r="CV651" s="167"/>
      <c r="CW651" s="167"/>
      <c r="CX651" s="167"/>
      <c r="CY651" s="167"/>
      <c r="CZ651" s="167"/>
      <c r="DA651" s="167"/>
      <c r="DB651" s="167"/>
      <c r="DS651" s="167"/>
      <c r="DT651" s="167"/>
      <c r="DU651" s="167"/>
      <c r="DV651" s="167"/>
      <c r="DW651" s="167"/>
      <c r="DX651" s="167"/>
      <c r="DY651" s="167"/>
      <c r="DZ651" s="167"/>
      <c r="EQ651" s="167"/>
      <c r="ER651" s="167"/>
      <c r="ES651" s="167"/>
      <c r="ET651" s="167"/>
      <c r="EU651" s="167"/>
      <c r="EV651" s="167"/>
      <c r="EW651" s="167"/>
      <c r="EX651" s="167"/>
      <c r="FO651" s="167"/>
      <c r="FP651" s="167"/>
      <c r="FQ651" s="167"/>
      <c r="FR651" s="167"/>
      <c r="FS651" s="167"/>
      <c r="FT651" s="167"/>
      <c r="FU651" s="167"/>
      <c r="FV651" s="167"/>
      <c r="GM651" s="167"/>
      <c r="GN651" s="167"/>
      <c r="GO651" s="167"/>
      <c r="GP651" s="167"/>
      <c r="GQ651" s="167"/>
      <c r="GR651" s="167"/>
      <c r="GS651" s="167"/>
      <c r="GT651" s="167"/>
      <c r="HK651" s="167"/>
      <c r="HL651" s="167"/>
      <c r="HM651" s="167"/>
      <c r="HN651" s="167"/>
      <c r="HO651" s="167"/>
      <c r="HP651" s="167"/>
      <c r="HQ651" s="167"/>
      <c r="HR651" s="167"/>
      <c r="II651" s="167"/>
      <c r="IJ651" s="167"/>
      <c r="IK651" s="167"/>
      <c r="IL651" s="167"/>
      <c r="IM651" s="167"/>
      <c r="IN651" s="167"/>
      <c r="IO651" s="167"/>
      <c r="IP651" s="167"/>
    </row>
    <row r="652" spans="1:256" s="125" customFormat="1">
      <c r="A652" s="76">
        <v>7</v>
      </c>
      <c r="B652" s="237"/>
      <c r="C652" s="18"/>
      <c r="D652" s="19" t="s">
        <v>841</v>
      </c>
      <c r="E652" s="20">
        <v>1</v>
      </c>
      <c r="F652" s="24" t="s">
        <v>848</v>
      </c>
      <c r="G652" s="238"/>
      <c r="H652" s="121"/>
      <c r="I652" s="24">
        <v>1266571</v>
      </c>
      <c r="J652" s="24"/>
      <c r="K652" s="24">
        <v>1266571</v>
      </c>
      <c r="L652" s="24"/>
      <c r="M652" s="24"/>
      <c r="N652" s="129">
        <v>1266571</v>
      </c>
      <c r="O652" s="108"/>
      <c r="P652" s="3"/>
      <c r="Q652" s="140"/>
      <c r="R652" s="3"/>
      <c r="S652" s="3"/>
      <c r="T652" s="3"/>
      <c r="U652" s="3"/>
      <c r="V652" s="3"/>
      <c r="W652" s="3"/>
      <c r="X652" s="3"/>
      <c r="Y652" s="3"/>
      <c r="Z652" s="3"/>
      <c r="AA652" s="141"/>
      <c r="AB652" s="142"/>
      <c r="AC652" s="142"/>
      <c r="AD652" s="142"/>
      <c r="AE652" s="142"/>
      <c r="AF652" s="142"/>
      <c r="AG652" s="142"/>
      <c r="AH652" s="143"/>
      <c r="AI652" s="3"/>
      <c r="AJ652" s="3"/>
      <c r="AK652" s="3"/>
      <c r="AY652" s="179"/>
      <c r="AZ652" s="177"/>
      <c r="BA652" s="177"/>
      <c r="BB652" s="177"/>
      <c r="BC652" s="177"/>
      <c r="BD652" s="177"/>
      <c r="BE652" s="177"/>
      <c r="BF652" s="178"/>
      <c r="BW652" s="179"/>
      <c r="BX652" s="177"/>
      <c r="BY652" s="177"/>
      <c r="BZ652" s="177"/>
      <c r="CA652" s="177"/>
      <c r="CB652" s="177"/>
      <c r="CC652" s="177"/>
      <c r="CD652" s="178"/>
      <c r="CU652" s="179"/>
      <c r="CV652" s="177"/>
      <c r="CW652" s="177"/>
      <c r="CX652" s="177"/>
      <c r="CY652" s="177"/>
      <c r="CZ652" s="177"/>
      <c r="DA652" s="177"/>
      <c r="DB652" s="178"/>
      <c r="DS652" s="179"/>
      <c r="DT652" s="177"/>
      <c r="DU652" s="177"/>
      <c r="DV652" s="177"/>
      <c r="DW652" s="177"/>
      <c r="DX652" s="177"/>
      <c r="DY652" s="177"/>
      <c r="DZ652" s="178"/>
      <c r="EQ652" s="179"/>
      <c r="ER652" s="177"/>
      <c r="ES652" s="177"/>
      <c r="ET652" s="177"/>
      <c r="EU652" s="177"/>
      <c r="EV652" s="177"/>
      <c r="EW652" s="177"/>
      <c r="EX652" s="178"/>
      <c r="FO652" s="179"/>
      <c r="FP652" s="177"/>
      <c r="FQ652" s="177"/>
      <c r="FR652" s="177"/>
      <c r="FS652" s="177"/>
      <c r="FT652" s="177"/>
      <c r="FU652" s="177"/>
      <c r="FV652" s="178"/>
      <c r="GM652" s="179"/>
      <c r="GN652" s="177"/>
      <c r="GO652" s="177"/>
      <c r="GP652" s="177"/>
      <c r="GQ652" s="177"/>
      <c r="GR652" s="177"/>
      <c r="GS652" s="177"/>
      <c r="GT652" s="178"/>
      <c r="HK652" s="179"/>
      <c r="HL652" s="177"/>
      <c r="HM652" s="177"/>
      <c r="HN652" s="177"/>
      <c r="HO652" s="177"/>
      <c r="HP652" s="177"/>
      <c r="HQ652" s="177"/>
      <c r="HR652" s="178"/>
      <c r="II652" s="179"/>
      <c r="IJ652" s="177"/>
      <c r="IK652" s="177"/>
      <c r="IL652" s="177"/>
      <c r="IM652" s="177"/>
      <c r="IN652" s="177"/>
      <c r="IO652" s="177"/>
      <c r="IP652" s="178"/>
    </row>
    <row r="653" spans="1:256" s="125" customFormat="1">
      <c r="A653" s="76">
        <v>8</v>
      </c>
      <c r="B653" s="237"/>
      <c r="C653" s="18"/>
      <c r="D653" s="19" t="s">
        <v>841</v>
      </c>
      <c r="E653" s="20">
        <v>3</v>
      </c>
      <c r="F653" s="82" t="s">
        <v>849</v>
      </c>
      <c r="G653" s="58"/>
      <c r="H653" s="121"/>
      <c r="I653" s="24">
        <v>1375428</v>
      </c>
      <c r="J653" s="24"/>
      <c r="K653" s="24">
        <f>I653+J653</f>
        <v>1375428</v>
      </c>
      <c r="L653" s="123"/>
      <c r="M653" s="24"/>
      <c r="N653" s="129">
        <f>K653-M653</f>
        <v>1375428</v>
      </c>
      <c r="O653" s="239"/>
      <c r="P653" s="3"/>
      <c r="Q653" s="3"/>
      <c r="R653" s="3"/>
      <c r="S653" s="3"/>
      <c r="T653" s="3"/>
      <c r="U653" s="3"/>
      <c r="V653" s="3"/>
      <c r="W653" s="3"/>
      <c r="X653" s="3"/>
      <c r="Y653" s="131"/>
      <c r="Z653" s="15"/>
      <c r="AA653" s="132"/>
      <c r="AB653" s="133"/>
      <c r="AC653" s="134"/>
      <c r="AD653" s="134"/>
      <c r="AE653" s="135"/>
      <c r="AF653" s="182"/>
      <c r="AG653" s="183"/>
      <c r="AH653" s="183"/>
      <c r="AJ653" s="184"/>
      <c r="AK653" s="185"/>
      <c r="AL653" s="186"/>
      <c r="AW653" s="187"/>
      <c r="AX653" s="188"/>
      <c r="AY653" s="189"/>
      <c r="AZ653" s="190"/>
      <c r="BA653" s="191"/>
      <c r="BB653" s="191"/>
      <c r="BC653" s="192"/>
      <c r="BD653" s="182"/>
      <c r="BE653" s="183"/>
      <c r="BF653" s="183"/>
      <c r="BH653" s="184"/>
      <c r="BI653" s="185"/>
      <c r="BJ653" s="186"/>
      <c r="BU653" s="187"/>
      <c r="BV653" s="188"/>
      <c r="BW653" s="189"/>
      <c r="BX653" s="190"/>
      <c r="BY653" s="191"/>
      <c r="BZ653" s="191"/>
      <c r="CA653" s="192"/>
      <c r="CB653" s="182"/>
      <c r="CC653" s="183"/>
      <c r="CD653" s="183"/>
      <c r="CF653" s="184"/>
      <c r="CG653" s="185"/>
      <c r="CH653" s="186"/>
      <c r="CS653" s="187"/>
      <c r="CT653" s="188"/>
      <c r="CU653" s="189"/>
      <c r="CV653" s="190"/>
      <c r="CW653" s="191"/>
      <c r="CX653" s="191"/>
      <c r="CY653" s="192"/>
      <c r="CZ653" s="182"/>
      <c r="DA653" s="183"/>
      <c r="DB653" s="183"/>
      <c r="DD653" s="184"/>
      <c r="DE653" s="185"/>
      <c r="DF653" s="186"/>
      <c r="DQ653" s="187"/>
      <c r="DR653" s="188"/>
      <c r="DS653" s="189"/>
      <c r="DT653" s="190"/>
      <c r="DU653" s="191"/>
      <c r="DV653" s="191"/>
      <c r="DW653" s="192"/>
      <c r="DX653" s="182"/>
      <c r="DY653" s="183"/>
      <c r="DZ653" s="183"/>
      <c r="EB653" s="184"/>
      <c r="EC653" s="185"/>
      <c r="ED653" s="186"/>
      <c r="EO653" s="187"/>
      <c r="EP653" s="188"/>
      <c r="EQ653" s="189"/>
      <c r="ER653" s="190"/>
      <c r="ES653" s="191"/>
      <c r="ET653" s="191"/>
      <c r="EU653" s="192"/>
      <c r="EV653" s="182"/>
      <c r="EW653" s="183"/>
      <c r="EX653" s="183"/>
      <c r="EZ653" s="184"/>
      <c r="FA653" s="185"/>
      <c r="FB653" s="186"/>
      <c r="FM653" s="187"/>
      <c r="FN653" s="188"/>
      <c r="FO653" s="189"/>
      <c r="FP653" s="190"/>
      <c r="FQ653" s="191"/>
      <c r="FR653" s="191"/>
      <c r="FS653" s="192"/>
      <c r="FT653" s="182"/>
      <c r="FU653" s="183"/>
      <c r="FV653" s="183"/>
      <c r="FX653" s="184"/>
      <c r="FY653" s="185"/>
      <c r="FZ653" s="186"/>
      <c r="GK653" s="187"/>
      <c r="GL653" s="188"/>
      <c r="GM653" s="189"/>
      <c r="GN653" s="190"/>
      <c r="GO653" s="191"/>
      <c r="GP653" s="191"/>
      <c r="GQ653" s="192"/>
      <c r="GR653" s="182"/>
      <c r="GS653" s="183"/>
      <c r="GT653" s="183"/>
      <c r="GV653" s="184"/>
      <c r="GW653" s="185"/>
      <c r="GX653" s="186"/>
      <c r="HI653" s="187"/>
      <c r="HJ653" s="188"/>
      <c r="HK653" s="189"/>
      <c r="HL653" s="190"/>
      <c r="HM653" s="191"/>
      <c r="HN653" s="191"/>
      <c r="HO653" s="192"/>
      <c r="HP653" s="182"/>
      <c r="HQ653" s="183"/>
      <c r="HR653" s="183"/>
      <c r="HT653" s="184"/>
      <c r="HU653" s="185"/>
      <c r="HV653" s="186"/>
      <c r="IG653" s="187"/>
      <c r="IH653" s="188"/>
      <c r="II653" s="189"/>
      <c r="IJ653" s="190"/>
      <c r="IK653" s="191"/>
      <c r="IL653" s="191"/>
      <c r="IM653" s="192"/>
      <c r="IN653" s="182"/>
      <c r="IO653" s="183"/>
      <c r="IP653" s="183"/>
      <c r="IR653" s="184"/>
      <c r="IS653" s="185"/>
      <c r="IT653" s="186"/>
    </row>
    <row r="654" spans="1:256" s="125" customFormat="1">
      <c r="A654" s="76">
        <v>9</v>
      </c>
      <c r="B654" s="237"/>
      <c r="C654" s="18"/>
      <c r="D654" s="19" t="s">
        <v>841</v>
      </c>
      <c r="E654" s="20">
        <v>3</v>
      </c>
      <c r="F654" s="24" t="s">
        <v>850</v>
      </c>
      <c r="G654" s="238"/>
      <c r="H654" s="121"/>
      <c r="I654" s="24">
        <v>1533333</v>
      </c>
      <c r="J654" s="199"/>
      <c r="K654" s="24">
        <v>1533333</v>
      </c>
      <c r="L654" s="24"/>
      <c r="M654" s="24"/>
      <c r="N654" s="129">
        <v>1533333</v>
      </c>
      <c r="O654" s="108"/>
      <c r="P654" s="3"/>
      <c r="Q654" s="3"/>
      <c r="R654" s="3"/>
      <c r="S654" s="3"/>
      <c r="T654" s="3"/>
      <c r="U654" s="3"/>
      <c r="V654" s="3"/>
      <c r="W654" s="3"/>
      <c r="X654" s="3"/>
      <c r="Y654" s="131"/>
      <c r="Z654" s="15"/>
      <c r="AA654" s="132"/>
      <c r="AB654" s="133"/>
      <c r="AC654" s="134"/>
      <c r="AD654" s="134"/>
      <c r="AE654" s="135"/>
      <c r="AF654" s="182"/>
      <c r="AG654" s="183"/>
      <c r="AH654" s="183"/>
      <c r="AJ654" s="184"/>
      <c r="AK654" s="185"/>
      <c r="AL654" s="186"/>
      <c r="AW654" s="187"/>
      <c r="AX654" s="188"/>
      <c r="AY654" s="189"/>
      <c r="AZ654" s="190"/>
      <c r="BA654" s="191"/>
      <c r="BB654" s="191"/>
      <c r="BC654" s="192"/>
      <c r="BD654" s="182"/>
      <c r="BE654" s="183"/>
      <c r="BF654" s="183"/>
      <c r="BH654" s="184"/>
      <c r="BI654" s="185"/>
      <c r="BJ654" s="186"/>
      <c r="BU654" s="187"/>
      <c r="BV654" s="188"/>
      <c r="BW654" s="189"/>
      <c r="BX654" s="190"/>
      <c r="BY654" s="191"/>
      <c r="BZ654" s="191"/>
      <c r="CA654" s="192"/>
      <c r="CB654" s="182"/>
      <c r="CC654" s="183"/>
      <c r="CD654" s="183"/>
      <c r="CF654" s="184"/>
      <c r="CG654" s="185"/>
      <c r="CH654" s="186"/>
      <c r="CS654" s="187"/>
      <c r="CT654" s="188"/>
      <c r="CU654" s="189"/>
      <c r="CV654" s="190"/>
      <c r="CW654" s="191"/>
      <c r="CX654" s="191"/>
      <c r="CY654" s="192"/>
      <c r="CZ654" s="182"/>
      <c r="DA654" s="183"/>
      <c r="DB654" s="183"/>
      <c r="DD654" s="184"/>
      <c r="DE654" s="185"/>
      <c r="DF654" s="186"/>
      <c r="DQ654" s="187"/>
      <c r="DR654" s="188"/>
      <c r="DS654" s="189"/>
      <c r="DT654" s="190"/>
      <c r="DU654" s="191"/>
      <c r="DV654" s="191"/>
      <c r="DW654" s="192"/>
      <c r="DX654" s="182"/>
      <c r="DY654" s="183"/>
      <c r="DZ654" s="183"/>
      <c r="EB654" s="184"/>
      <c r="EC654" s="185"/>
      <c r="ED654" s="186"/>
      <c r="EO654" s="187"/>
      <c r="EP654" s="188"/>
      <c r="EQ654" s="189"/>
      <c r="ER654" s="190"/>
      <c r="ES654" s="191"/>
      <c r="ET654" s="191"/>
      <c r="EU654" s="192"/>
      <c r="EV654" s="182"/>
      <c r="EW654" s="183"/>
      <c r="EX654" s="183"/>
      <c r="EZ654" s="184"/>
      <c r="FA654" s="185"/>
      <c r="FB654" s="186"/>
      <c r="FM654" s="187"/>
      <c r="FN654" s="188"/>
      <c r="FO654" s="189"/>
      <c r="FP654" s="190"/>
      <c r="FQ654" s="191"/>
      <c r="FR654" s="191"/>
      <c r="FS654" s="192"/>
      <c r="FT654" s="182"/>
      <c r="FU654" s="183"/>
      <c r="FV654" s="183"/>
      <c r="FX654" s="184"/>
      <c r="FY654" s="185"/>
      <c r="FZ654" s="186"/>
      <c r="GK654" s="187"/>
      <c r="GL654" s="188"/>
      <c r="GM654" s="189"/>
      <c r="GN654" s="190"/>
      <c r="GO654" s="191"/>
      <c r="GP654" s="191"/>
      <c r="GQ654" s="192"/>
      <c r="GR654" s="182"/>
      <c r="GS654" s="183"/>
      <c r="GT654" s="183"/>
      <c r="GV654" s="184"/>
      <c r="GW654" s="185"/>
      <c r="GX654" s="186"/>
      <c r="HI654" s="187"/>
      <c r="HJ654" s="188"/>
      <c r="HK654" s="189"/>
      <c r="HL654" s="190"/>
      <c r="HM654" s="191"/>
      <c r="HN654" s="191"/>
      <c r="HO654" s="192"/>
      <c r="HP654" s="182"/>
      <c r="HQ654" s="183"/>
      <c r="HR654" s="183"/>
      <c r="HT654" s="184"/>
      <c r="HU654" s="185"/>
      <c r="HV654" s="186"/>
      <c r="IG654" s="187"/>
      <c r="IH654" s="188"/>
      <c r="II654" s="189"/>
      <c r="IJ654" s="190"/>
      <c r="IK654" s="191"/>
      <c r="IL654" s="191"/>
      <c r="IM654" s="192"/>
      <c r="IN654" s="182"/>
      <c r="IO654" s="183"/>
      <c r="IP654" s="183"/>
      <c r="IR654" s="184"/>
      <c r="IS654" s="185"/>
      <c r="IT654" s="186"/>
    </row>
    <row r="655" spans="1:256" s="125" customFormat="1">
      <c r="A655" s="76">
        <v>10</v>
      </c>
      <c r="B655" s="237"/>
      <c r="C655" s="18"/>
      <c r="D655" s="19" t="s">
        <v>841</v>
      </c>
      <c r="E655" s="20">
        <v>3</v>
      </c>
      <c r="F655" s="24" t="s">
        <v>851</v>
      </c>
      <c r="G655" s="238"/>
      <c r="H655" s="121"/>
      <c r="I655" s="24"/>
      <c r="J655" s="24">
        <v>1723810</v>
      </c>
      <c r="K655" s="24">
        <v>1723810</v>
      </c>
      <c r="L655" s="24"/>
      <c r="M655" s="24"/>
      <c r="N655" s="129">
        <v>1723810</v>
      </c>
      <c r="O655" s="108"/>
      <c r="P655" s="3"/>
      <c r="Q655" s="140"/>
      <c r="R655" s="3"/>
      <c r="S655" s="3"/>
      <c r="T655" s="3"/>
      <c r="U655" s="3"/>
      <c r="V655" s="3"/>
      <c r="W655" s="3"/>
      <c r="X655" s="3"/>
      <c r="Y655" s="3"/>
      <c r="Z655" s="3"/>
      <c r="AA655" s="141"/>
      <c r="AB655" s="142"/>
      <c r="AC655" s="142"/>
      <c r="AD655" s="142"/>
      <c r="AE655" s="142"/>
      <c r="AF655" s="142"/>
      <c r="AG655" s="142"/>
      <c r="AH655" s="14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141"/>
      <c r="AZ655" s="142"/>
      <c r="BA655" s="142"/>
      <c r="BB655" s="142"/>
      <c r="BC655" s="142"/>
      <c r="BD655" s="142"/>
      <c r="BE655" s="142"/>
      <c r="BF655" s="14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141"/>
      <c r="BX655" s="142"/>
      <c r="BY655" s="142"/>
      <c r="BZ655" s="142"/>
      <c r="CA655" s="142"/>
      <c r="CB655" s="142"/>
      <c r="CC655" s="142"/>
      <c r="CD655" s="143"/>
      <c r="CE655" s="3"/>
      <c r="CF655" s="3"/>
      <c r="CG655" s="3"/>
      <c r="CH655" s="3"/>
      <c r="CI655" s="3"/>
      <c r="CJ655" s="3"/>
      <c r="CK655" s="3"/>
      <c r="CL655" s="3"/>
      <c r="CM655" s="3"/>
      <c r="CN655" s="3"/>
      <c r="CO655" s="3"/>
      <c r="CP655" s="3"/>
      <c r="CQ655" s="3"/>
      <c r="CR655" s="3"/>
      <c r="CS655" s="3"/>
      <c r="CT655" s="3"/>
      <c r="CU655" s="141"/>
      <c r="CV655" s="142"/>
      <c r="CW655" s="142"/>
      <c r="CX655" s="142"/>
      <c r="CY655" s="142"/>
      <c r="CZ655" s="142"/>
      <c r="DA655" s="142"/>
      <c r="DB655" s="143"/>
      <c r="DC655" s="3"/>
      <c r="DD655" s="3"/>
      <c r="DE655" s="3"/>
      <c r="DF655" s="3"/>
      <c r="DG655" s="3"/>
      <c r="DH655" s="3"/>
      <c r="DI655" s="3"/>
      <c r="DJ655" s="3"/>
      <c r="DK655" s="3"/>
      <c r="DL655" s="3"/>
      <c r="DM655" s="3"/>
      <c r="DN655" s="3"/>
      <c r="DO655" s="3"/>
      <c r="DP655" s="3"/>
      <c r="DQ655" s="3"/>
      <c r="DR655" s="3"/>
      <c r="DS655" s="141"/>
      <c r="DT655" s="142"/>
      <c r="DU655" s="142"/>
      <c r="DV655" s="142"/>
      <c r="DW655" s="142"/>
      <c r="DX655" s="142"/>
      <c r="DY655" s="142"/>
      <c r="DZ655" s="143"/>
      <c r="EA655" s="3"/>
      <c r="EB655" s="3"/>
      <c r="EC655" s="3"/>
      <c r="ED655" s="3"/>
      <c r="EE655" s="3"/>
      <c r="EF655" s="3"/>
      <c r="EG655" s="3"/>
      <c r="EH655" s="3"/>
      <c r="EI655" s="3"/>
      <c r="EJ655" s="3"/>
      <c r="EK655" s="3"/>
      <c r="EL655" s="3"/>
      <c r="EM655" s="3"/>
      <c r="EN655" s="3"/>
      <c r="EO655" s="3"/>
      <c r="EP655" s="3"/>
      <c r="EQ655" s="141"/>
      <c r="ER655" s="142"/>
      <c r="ES655" s="142"/>
      <c r="ET655" s="142"/>
      <c r="EU655" s="142"/>
      <c r="EV655" s="142"/>
      <c r="EW655" s="142"/>
      <c r="EX655" s="143"/>
      <c r="EY655" s="3"/>
      <c r="EZ655" s="3"/>
      <c r="FA655" s="3"/>
      <c r="FB655" s="3"/>
      <c r="FC655" s="3"/>
      <c r="FD655" s="3"/>
      <c r="FE655" s="3"/>
      <c r="FF655" s="3"/>
      <c r="FG655" s="3"/>
      <c r="FH655" s="3"/>
      <c r="FI655" s="3"/>
      <c r="FJ655" s="3"/>
      <c r="FK655" s="3"/>
      <c r="FL655" s="3"/>
      <c r="FM655" s="3"/>
      <c r="FN655" s="3"/>
      <c r="FO655" s="141"/>
      <c r="FP655" s="142"/>
      <c r="FQ655" s="142"/>
      <c r="FR655" s="142"/>
      <c r="FS655" s="142"/>
      <c r="FT655" s="142"/>
      <c r="FU655" s="142"/>
      <c r="FV655" s="143"/>
      <c r="FW655" s="3"/>
      <c r="FX655" s="3"/>
      <c r="FY655" s="3"/>
      <c r="FZ655" s="3"/>
      <c r="GA655" s="3"/>
      <c r="GB655" s="3"/>
      <c r="GC655" s="3"/>
      <c r="GD655" s="3"/>
      <c r="GE655" s="3"/>
      <c r="GF655" s="3"/>
      <c r="GG655" s="3"/>
      <c r="GH655" s="3"/>
      <c r="GI655" s="3"/>
      <c r="GJ655" s="3"/>
      <c r="GK655" s="3"/>
      <c r="GL655" s="3"/>
      <c r="GM655" s="141"/>
      <c r="GN655" s="142"/>
      <c r="GO655" s="142"/>
      <c r="GP655" s="142"/>
      <c r="GQ655" s="142"/>
      <c r="GR655" s="142"/>
      <c r="GS655" s="142"/>
      <c r="GT655" s="143"/>
      <c r="GU655" s="3"/>
      <c r="GV655" s="3"/>
      <c r="GW655" s="3"/>
      <c r="GX655" s="3"/>
      <c r="GY655" s="3"/>
      <c r="GZ655" s="3"/>
      <c r="HA655" s="3"/>
      <c r="HB655" s="3"/>
      <c r="HC655" s="3"/>
      <c r="HD655" s="3"/>
      <c r="HE655" s="3"/>
      <c r="HF655" s="3"/>
      <c r="HG655" s="3"/>
      <c r="HH655" s="3"/>
      <c r="HI655" s="3"/>
      <c r="HJ655" s="3"/>
      <c r="HK655" s="141"/>
      <c r="HL655" s="142"/>
      <c r="HM655" s="142"/>
      <c r="HN655" s="142"/>
      <c r="HO655" s="142"/>
      <c r="HP655" s="142"/>
      <c r="HQ655" s="142"/>
      <c r="HR655" s="143"/>
      <c r="HS655" s="3"/>
      <c r="HT655" s="3"/>
      <c r="HU655" s="3"/>
      <c r="HV655" s="3"/>
      <c r="HW655" s="3"/>
      <c r="HX655" s="3"/>
      <c r="HY655" s="3"/>
      <c r="HZ655" s="3"/>
      <c r="IA655" s="3"/>
      <c r="IB655" s="3"/>
      <c r="IC655" s="3"/>
      <c r="ID655" s="3"/>
      <c r="IE655" s="3"/>
      <c r="IF655" s="3"/>
      <c r="IG655" s="3"/>
      <c r="IH655" s="3"/>
      <c r="II655" s="141"/>
      <c r="IJ655" s="142"/>
      <c r="IK655" s="142"/>
      <c r="IL655" s="142"/>
      <c r="IM655" s="142"/>
      <c r="IN655" s="142"/>
      <c r="IO655" s="142"/>
      <c r="IP655" s="143"/>
      <c r="IQ655" s="3"/>
      <c r="IR655" s="3"/>
      <c r="IS655" s="3"/>
      <c r="IT655" s="3"/>
      <c r="IU655" s="3"/>
      <c r="IV655" s="3"/>
    </row>
    <row r="656" spans="1:256" s="125" customFormat="1">
      <c r="A656" s="76">
        <v>11</v>
      </c>
      <c r="B656" s="237"/>
      <c r="C656" s="18"/>
      <c r="D656" s="19" t="s">
        <v>841</v>
      </c>
      <c r="E656" s="20">
        <v>4</v>
      </c>
      <c r="F656" s="57" t="s">
        <v>852</v>
      </c>
      <c r="G656" s="58"/>
      <c r="H656" s="121"/>
      <c r="I656" s="24">
        <v>1966286</v>
      </c>
      <c r="J656" s="24"/>
      <c r="K656" s="24">
        <f>I656+J656</f>
        <v>1966286</v>
      </c>
      <c r="L656" s="123"/>
      <c r="M656" s="24"/>
      <c r="N656" s="129">
        <f>K656-M656</f>
        <v>1966286</v>
      </c>
      <c r="O656" s="108"/>
      <c r="P656" s="3"/>
      <c r="Q656" s="3"/>
      <c r="R656" s="3"/>
      <c r="S656" s="3"/>
      <c r="T656" s="3"/>
      <c r="U656" s="3"/>
      <c r="V656" s="3"/>
      <c r="W656" s="3"/>
      <c r="X656" s="3"/>
      <c r="Y656" s="131"/>
      <c r="Z656" s="15"/>
      <c r="AA656" s="132"/>
      <c r="AB656" s="133"/>
      <c r="AC656" s="134"/>
      <c r="AD656" s="134"/>
      <c r="AE656" s="135"/>
      <c r="AF656" s="182"/>
      <c r="AG656" s="183"/>
      <c r="AH656" s="183"/>
      <c r="AJ656" s="184"/>
      <c r="AK656" s="185"/>
      <c r="AL656" s="186"/>
      <c r="AW656" s="187"/>
      <c r="AX656" s="188"/>
      <c r="AY656" s="189"/>
      <c r="AZ656" s="190"/>
      <c r="BA656" s="191"/>
      <c r="BB656" s="191"/>
      <c r="BC656" s="192"/>
      <c r="BD656" s="182"/>
      <c r="BE656" s="183"/>
      <c r="BF656" s="183"/>
      <c r="BH656" s="184"/>
      <c r="BI656" s="185"/>
      <c r="BJ656" s="186"/>
      <c r="BU656" s="187"/>
      <c r="BV656" s="188"/>
      <c r="BW656" s="189"/>
      <c r="BX656" s="190"/>
      <c r="BY656" s="191"/>
      <c r="BZ656" s="191"/>
      <c r="CA656" s="192"/>
      <c r="CB656" s="182"/>
      <c r="CC656" s="183"/>
      <c r="CD656" s="183"/>
      <c r="CF656" s="184"/>
      <c r="CG656" s="185"/>
      <c r="CH656" s="186"/>
      <c r="CS656" s="187"/>
      <c r="CT656" s="188"/>
      <c r="CU656" s="189"/>
      <c r="CV656" s="190"/>
      <c r="CW656" s="191"/>
      <c r="CX656" s="191"/>
      <c r="CY656" s="192"/>
      <c r="CZ656" s="182"/>
      <c r="DA656" s="183"/>
      <c r="DB656" s="183"/>
      <c r="DD656" s="184"/>
      <c r="DE656" s="185"/>
      <c r="DF656" s="186"/>
      <c r="DQ656" s="187"/>
      <c r="DR656" s="188"/>
      <c r="DS656" s="189"/>
      <c r="DT656" s="190"/>
      <c r="DU656" s="191"/>
      <c r="DV656" s="191"/>
      <c r="DW656" s="192"/>
      <c r="DX656" s="182"/>
      <c r="DY656" s="183"/>
      <c r="DZ656" s="183"/>
      <c r="EB656" s="184"/>
      <c r="EC656" s="185"/>
      <c r="ED656" s="186"/>
      <c r="EO656" s="187"/>
      <c r="EP656" s="188"/>
      <c r="EQ656" s="189"/>
      <c r="ER656" s="190"/>
      <c r="ES656" s="191"/>
      <c r="ET656" s="191"/>
      <c r="EU656" s="192"/>
      <c r="EV656" s="182"/>
      <c r="EW656" s="183"/>
      <c r="EX656" s="183"/>
      <c r="EZ656" s="184"/>
      <c r="FA656" s="185"/>
      <c r="FB656" s="186"/>
      <c r="FM656" s="187"/>
      <c r="FN656" s="188"/>
      <c r="FO656" s="189"/>
      <c r="FP656" s="190"/>
      <c r="FQ656" s="191"/>
      <c r="FR656" s="191"/>
      <c r="FS656" s="192"/>
      <c r="FT656" s="182"/>
      <c r="FU656" s="183"/>
      <c r="FV656" s="183"/>
      <c r="FX656" s="184"/>
      <c r="FY656" s="185"/>
      <c r="FZ656" s="186"/>
      <c r="GK656" s="187"/>
      <c r="GL656" s="188"/>
      <c r="GM656" s="189"/>
      <c r="GN656" s="190"/>
      <c r="GO656" s="191"/>
      <c r="GP656" s="191"/>
      <c r="GQ656" s="192"/>
      <c r="GR656" s="182"/>
      <c r="GS656" s="183"/>
      <c r="GT656" s="183"/>
      <c r="GV656" s="184"/>
      <c r="GW656" s="185"/>
      <c r="GX656" s="186"/>
      <c r="HI656" s="187"/>
      <c r="HJ656" s="188"/>
      <c r="HK656" s="189"/>
      <c r="HL656" s="190"/>
      <c r="HM656" s="191"/>
      <c r="HN656" s="191"/>
      <c r="HO656" s="192"/>
      <c r="HP656" s="182"/>
      <c r="HQ656" s="183"/>
      <c r="HR656" s="183"/>
      <c r="HT656" s="184"/>
      <c r="HU656" s="185"/>
      <c r="HV656" s="186"/>
      <c r="IG656" s="187"/>
      <c r="IH656" s="188"/>
      <c r="II656" s="189"/>
      <c r="IJ656" s="190"/>
      <c r="IK656" s="191"/>
      <c r="IL656" s="191"/>
      <c r="IM656" s="192"/>
      <c r="IN656" s="182"/>
      <c r="IO656" s="183"/>
      <c r="IP656" s="183"/>
      <c r="IR656" s="184"/>
      <c r="IS656" s="185"/>
      <c r="IT656" s="186"/>
    </row>
    <row r="657" spans="1:256" s="125" customFormat="1">
      <c r="A657" s="76">
        <v>12</v>
      </c>
      <c r="B657" s="237"/>
      <c r="C657" s="18"/>
      <c r="D657" s="19" t="s">
        <v>841</v>
      </c>
      <c r="E657" s="20">
        <v>4</v>
      </c>
      <c r="F657" s="24" t="s">
        <v>853</v>
      </c>
      <c r="G657" s="238"/>
      <c r="H657" s="121"/>
      <c r="I657" s="24">
        <v>2542000</v>
      </c>
      <c r="J657" s="199"/>
      <c r="K657" s="24">
        <v>2542000</v>
      </c>
      <c r="L657" s="24"/>
      <c r="M657" s="24"/>
      <c r="N657" s="129">
        <v>2542000</v>
      </c>
      <c r="O657" s="108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130"/>
      <c r="AB657" s="130"/>
      <c r="AC657" s="130"/>
      <c r="AD657" s="130"/>
      <c r="AE657" s="130"/>
      <c r="AF657" s="167"/>
      <c r="AG657" s="167"/>
      <c r="AH657" s="167"/>
      <c r="AY657" s="167"/>
      <c r="AZ657" s="167"/>
      <c r="BA657" s="167"/>
      <c r="BB657" s="167"/>
      <c r="BC657" s="167"/>
      <c r="BD657" s="167"/>
      <c r="BE657" s="167"/>
      <c r="BF657" s="167"/>
      <c r="BW657" s="167"/>
      <c r="BX657" s="167"/>
      <c r="BY657" s="167"/>
      <c r="BZ657" s="167"/>
      <c r="CA657" s="167"/>
      <c r="CB657" s="167"/>
      <c r="CC657" s="167"/>
      <c r="CD657" s="167"/>
      <c r="CU657" s="167"/>
      <c r="CV657" s="167"/>
      <c r="CW657" s="167"/>
      <c r="CX657" s="167"/>
      <c r="CY657" s="167"/>
      <c r="CZ657" s="167"/>
      <c r="DA657" s="167"/>
      <c r="DB657" s="167"/>
      <c r="DS657" s="167"/>
      <c r="DT657" s="167"/>
      <c r="DU657" s="167"/>
      <c r="DV657" s="167"/>
      <c r="DW657" s="167"/>
      <c r="DX657" s="167"/>
      <c r="DY657" s="167"/>
      <c r="DZ657" s="167"/>
      <c r="EQ657" s="167"/>
      <c r="ER657" s="167"/>
      <c r="ES657" s="167"/>
      <c r="ET657" s="167"/>
      <c r="EU657" s="167"/>
      <c r="EV657" s="167"/>
      <c r="EW657" s="167"/>
      <c r="EX657" s="167"/>
      <c r="FO657" s="167"/>
      <c r="FP657" s="167"/>
      <c r="FQ657" s="167"/>
      <c r="FR657" s="167"/>
      <c r="FS657" s="167"/>
      <c r="FT657" s="167"/>
      <c r="FU657" s="167"/>
      <c r="FV657" s="167"/>
      <c r="GM657" s="167"/>
      <c r="GN657" s="167"/>
      <c r="GO657" s="167"/>
      <c r="GP657" s="167"/>
      <c r="GQ657" s="167"/>
      <c r="GR657" s="167"/>
      <c r="GS657" s="167"/>
      <c r="GT657" s="167"/>
      <c r="HK657" s="167"/>
      <c r="HL657" s="167"/>
      <c r="HM657" s="167"/>
      <c r="HN657" s="167"/>
      <c r="HO657" s="167"/>
      <c r="HP657" s="167"/>
      <c r="HQ657" s="167"/>
      <c r="HR657" s="167"/>
      <c r="II657" s="167"/>
      <c r="IJ657" s="167"/>
      <c r="IK657" s="167"/>
      <c r="IL657" s="167"/>
      <c r="IM657" s="167"/>
      <c r="IN657" s="167"/>
      <c r="IO657" s="167"/>
      <c r="IP657" s="167"/>
    </row>
    <row r="658" spans="1:256" s="3" customFormat="1">
      <c r="A658" s="76">
        <v>13</v>
      </c>
      <c r="B658" s="237"/>
      <c r="C658" s="18"/>
      <c r="D658" s="19" t="s">
        <v>841</v>
      </c>
      <c r="E658" s="20">
        <v>5</v>
      </c>
      <c r="F658" s="24" t="s">
        <v>854</v>
      </c>
      <c r="G658" s="238"/>
      <c r="H658" s="121"/>
      <c r="I658" s="24">
        <v>2976667</v>
      </c>
      <c r="J658" s="199"/>
      <c r="K658" s="24">
        <v>2976667</v>
      </c>
      <c r="L658" s="24"/>
      <c r="M658" s="24"/>
      <c r="N658" s="129">
        <v>2976667</v>
      </c>
      <c r="O658" s="108"/>
      <c r="Y658" s="131"/>
      <c r="Z658" s="15"/>
      <c r="AA658" s="132"/>
      <c r="AB658" s="133"/>
      <c r="AC658" s="134"/>
      <c r="AD658" s="134"/>
      <c r="AE658" s="135"/>
      <c r="AF658" s="182"/>
      <c r="AG658" s="183"/>
      <c r="AH658" s="183"/>
      <c r="AI658" s="125"/>
      <c r="AJ658" s="184"/>
      <c r="AK658" s="185"/>
      <c r="AL658" s="186"/>
      <c r="AM658" s="125"/>
      <c r="AN658" s="125"/>
      <c r="AO658" s="125"/>
      <c r="AP658" s="125"/>
      <c r="AQ658" s="125"/>
      <c r="AR658" s="125"/>
      <c r="AS658" s="125"/>
      <c r="AT658" s="125"/>
      <c r="AU658" s="125"/>
      <c r="AV658" s="125"/>
      <c r="AW658" s="187"/>
      <c r="AX658" s="188"/>
      <c r="AY658" s="189"/>
      <c r="AZ658" s="190"/>
      <c r="BA658" s="191"/>
      <c r="BB658" s="191"/>
      <c r="BC658" s="192"/>
      <c r="BD658" s="182"/>
      <c r="BE658" s="183"/>
      <c r="BF658" s="183"/>
      <c r="BG658" s="125"/>
      <c r="BH658" s="184"/>
      <c r="BI658" s="185"/>
      <c r="BJ658" s="186"/>
      <c r="BK658" s="125"/>
      <c r="BL658" s="125"/>
      <c r="BM658" s="125"/>
      <c r="BN658" s="125"/>
      <c r="BO658" s="125"/>
      <c r="BP658" s="125"/>
      <c r="BQ658" s="125"/>
      <c r="BR658" s="125"/>
      <c r="BS658" s="125"/>
      <c r="BT658" s="125"/>
      <c r="BU658" s="187"/>
      <c r="BV658" s="188"/>
      <c r="BW658" s="189"/>
      <c r="BX658" s="190"/>
      <c r="BY658" s="191"/>
      <c r="BZ658" s="191"/>
      <c r="CA658" s="192"/>
      <c r="CB658" s="182"/>
      <c r="CC658" s="183"/>
      <c r="CD658" s="183"/>
      <c r="CE658" s="125"/>
      <c r="CF658" s="184"/>
      <c r="CG658" s="185"/>
      <c r="CH658" s="186"/>
      <c r="CI658" s="125"/>
      <c r="CJ658" s="125"/>
      <c r="CK658" s="125"/>
      <c r="CL658" s="125"/>
      <c r="CM658" s="125"/>
      <c r="CN658" s="125"/>
      <c r="CO658" s="125"/>
      <c r="CP658" s="125"/>
      <c r="CQ658" s="125"/>
      <c r="CR658" s="125"/>
      <c r="CS658" s="187"/>
      <c r="CT658" s="188"/>
      <c r="CU658" s="189"/>
      <c r="CV658" s="190"/>
      <c r="CW658" s="191"/>
      <c r="CX658" s="191"/>
      <c r="CY658" s="192"/>
      <c r="CZ658" s="182"/>
      <c r="DA658" s="183"/>
      <c r="DB658" s="183"/>
      <c r="DC658" s="125"/>
      <c r="DD658" s="184"/>
      <c r="DE658" s="185"/>
      <c r="DF658" s="186"/>
      <c r="DG658" s="125"/>
      <c r="DH658" s="125"/>
      <c r="DI658" s="125"/>
      <c r="DJ658" s="125"/>
      <c r="DK658" s="125"/>
      <c r="DL658" s="125"/>
      <c r="DM658" s="125"/>
      <c r="DN658" s="125"/>
      <c r="DO658" s="125"/>
      <c r="DP658" s="125"/>
      <c r="DQ658" s="187"/>
      <c r="DR658" s="188"/>
      <c r="DS658" s="189"/>
      <c r="DT658" s="190"/>
      <c r="DU658" s="191"/>
      <c r="DV658" s="191"/>
      <c r="DW658" s="192"/>
      <c r="DX658" s="182"/>
      <c r="DY658" s="183"/>
      <c r="DZ658" s="183"/>
      <c r="EA658" s="125"/>
      <c r="EB658" s="184"/>
      <c r="EC658" s="185"/>
      <c r="ED658" s="186"/>
      <c r="EE658" s="125"/>
      <c r="EF658" s="125"/>
      <c r="EG658" s="125"/>
      <c r="EH658" s="125"/>
      <c r="EI658" s="125"/>
      <c r="EJ658" s="125"/>
      <c r="EK658" s="125"/>
      <c r="EL658" s="125"/>
      <c r="EM658" s="125"/>
      <c r="EN658" s="125"/>
      <c r="EO658" s="187"/>
      <c r="EP658" s="188"/>
      <c r="EQ658" s="189"/>
      <c r="ER658" s="190"/>
      <c r="ES658" s="191"/>
      <c r="ET658" s="191"/>
      <c r="EU658" s="192"/>
      <c r="EV658" s="182"/>
      <c r="EW658" s="183"/>
      <c r="EX658" s="183"/>
      <c r="EY658" s="125"/>
      <c r="EZ658" s="184"/>
      <c r="FA658" s="185"/>
      <c r="FB658" s="186"/>
      <c r="FC658" s="125"/>
      <c r="FD658" s="125"/>
      <c r="FE658" s="125"/>
      <c r="FF658" s="125"/>
      <c r="FG658" s="125"/>
      <c r="FH658" s="125"/>
      <c r="FI658" s="125"/>
      <c r="FJ658" s="125"/>
      <c r="FK658" s="125"/>
      <c r="FL658" s="125"/>
      <c r="FM658" s="187"/>
      <c r="FN658" s="188"/>
      <c r="FO658" s="189"/>
      <c r="FP658" s="190"/>
      <c r="FQ658" s="191"/>
      <c r="FR658" s="191"/>
      <c r="FS658" s="192"/>
      <c r="FT658" s="182"/>
      <c r="FU658" s="183"/>
      <c r="FV658" s="183"/>
      <c r="FW658" s="125"/>
      <c r="FX658" s="184"/>
      <c r="FY658" s="185"/>
      <c r="FZ658" s="186"/>
      <c r="GA658" s="125"/>
      <c r="GB658" s="125"/>
      <c r="GC658" s="125"/>
      <c r="GD658" s="125"/>
      <c r="GE658" s="125"/>
      <c r="GF658" s="125"/>
      <c r="GG658" s="125"/>
      <c r="GH658" s="125"/>
      <c r="GI658" s="125"/>
      <c r="GJ658" s="125"/>
      <c r="GK658" s="187"/>
      <c r="GL658" s="188"/>
      <c r="GM658" s="189"/>
      <c r="GN658" s="190"/>
      <c r="GO658" s="191"/>
      <c r="GP658" s="191"/>
      <c r="GQ658" s="192"/>
      <c r="GR658" s="182"/>
      <c r="GS658" s="183"/>
      <c r="GT658" s="183"/>
      <c r="GU658" s="125"/>
      <c r="GV658" s="184"/>
      <c r="GW658" s="185"/>
      <c r="GX658" s="186"/>
      <c r="GY658" s="125"/>
      <c r="GZ658" s="125"/>
      <c r="HA658" s="125"/>
      <c r="HB658" s="125"/>
      <c r="HC658" s="125"/>
      <c r="HD658" s="125"/>
      <c r="HE658" s="125"/>
      <c r="HF658" s="125"/>
      <c r="HG658" s="125"/>
      <c r="HH658" s="125"/>
      <c r="HI658" s="187"/>
      <c r="HJ658" s="188"/>
      <c r="HK658" s="189"/>
      <c r="HL658" s="190"/>
      <c r="HM658" s="191"/>
      <c r="HN658" s="191"/>
      <c r="HO658" s="192"/>
      <c r="HP658" s="182"/>
      <c r="HQ658" s="183"/>
      <c r="HR658" s="183"/>
      <c r="HS658" s="125"/>
      <c r="HT658" s="184"/>
      <c r="HU658" s="185"/>
      <c r="HV658" s="186"/>
      <c r="HW658" s="125"/>
      <c r="HX658" s="125"/>
      <c r="HY658" s="125"/>
      <c r="HZ658" s="125"/>
      <c r="IA658" s="125"/>
      <c r="IB658" s="125"/>
      <c r="IC658" s="125"/>
      <c r="ID658" s="125"/>
      <c r="IE658" s="125"/>
      <c r="IF658" s="125"/>
      <c r="IG658" s="187"/>
      <c r="IH658" s="188"/>
      <c r="II658" s="189"/>
      <c r="IJ658" s="190"/>
      <c r="IK658" s="191"/>
      <c r="IL658" s="191"/>
      <c r="IM658" s="192"/>
      <c r="IN658" s="182"/>
      <c r="IO658" s="183"/>
      <c r="IP658" s="183"/>
      <c r="IQ658" s="125"/>
      <c r="IR658" s="184"/>
      <c r="IS658" s="185"/>
      <c r="IT658" s="186"/>
      <c r="IU658" s="125"/>
      <c r="IV658" s="125"/>
    </row>
    <row r="659" spans="1:256" s="125" customFormat="1">
      <c r="A659" s="76">
        <v>14</v>
      </c>
      <c r="B659" s="237"/>
      <c r="C659" s="18"/>
      <c r="D659" s="19" t="s">
        <v>841</v>
      </c>
      <c r="E659" s="20">
        <v>5</v>
      </c>
      <c r="F659" s="24" t="s">
        <v>855</v>
      </c>
      <c r="G659" s="238"/>
      <c r="H659" s="121"/>
      <c r="I659" s="24"/>
      <c r="J659" s="24">
        <v>2822857</v>
      </c>
      <c r="K659" s="24">
        <v>2822857</v>
      </c>
      <c r="L659" s="24"/>
      <c r="M659" s="24"/>
      <c r="N659" s="129">
        <v>2822857</v>
      </c>
      <c r="O659" s="108"/>
      <c r="P659" s="3"/>
      <c r="Q659" s="140"/>
      <c r="R659" s="3"/>
      <c r="S659" s="3"/>
      <c r="T659" s="3"/>
      <c r="U659" s="3"/>
      <c r="V659" s="3"/>
      <c r="W659" s="3"/>
      <c r="X659" s="3"/>
      <c r="Y659" s="3"/>
      <c r="Z659" s="3"/>
      <c r="AA659" s="130"/>
      <c r="AB659" s="130"/>
      <c r="AC659" s="130"/>
      <c r="AD659" s="130"/>
      <c r="AE659" s="130"/>
      <c r="AF659" s="167"/>
      <c r="AG659" s="167"/>
      <c r="AH659" s="167"/>
      <c r="AY659" s="167"/>
      <c r="AZ659" s="167"/>
      <c r="BA659" s="167"/>
      <c r="BB659" s="167"/>
      <c r="BC659" s="167"/>
      <c r="BD659" s="167"/>
      <c r="BE659" s="167"/>
      <c r="BF659" s="167"/>
      <c r="BW659" s="167"/>
      <c r="BX659" s="167"/>
      <c r="BY659" s="167"/>
      <c r="BZ659" s="167"/>
      <c r="CA659" s="167"/>
      <c r="CB659" s="167"/>
      <c r="CC659" s="167"/>
      <c r="CD659" s="167"/>
      <c r="CU659" s="167"/>
      <c r="CV659" s="167"/>
      <c r="CW659" s="167"/>
      <c r="CX659" s="167"/>
      <c r="CY659" s="167"/>
      <c r="CZ659" s="167"/>
      <c r="DA659" s="167"/>
      <c r="DB659" s="167"/>
      <c r="DS659" s="167"/>
      <c r="DT659" s="167"/>
      <c r="DU659" s="167"/>
      <c r="DV659" s="167"/>
      <c r="DW659" s="167"/>
      <c r="DX659" s="167"/>
      <c r="DY659" s="167"/>
      <c r="DZ659" s="167"/>
      <c r="EQ659" s="167"/>
      <c r="ER659" s="167"/>
      <c r="ES659" s="167"/>
      <c r="ET659" s="167"/>
      <c r="EU659" s="167"/>
      <c r="EV659" s="167"/>
      <c r="EW659" s="167"/>
      <c r="EX659" s="167"/>
      <c r="FO659" s="167"/>
      <c r="FP659" s="167"/>
      <c r="FQ659" s="167"/>
      <c r="FR659" s="167"/>
      <c r="FS659" s="167"/>
      <c r="FT659" s="167"/>
      <c r="FU659" s="167"/>
      <c r="FV659" s="167"/>
      <c r="GM659" s="167"/>
      <c r="GN659" s="167"/>
      <c r="GO659" s="167"/>
      <c r="GP659" s="167"/>
      <c r="GQ659" s="167"/>
      <c r="GR659" s="167"/>
      <c r="GS659" s="167"/>
      <c r="GT659" s="167"/>
      <c r="HK659" s="167"/>
      <c r="HL659" s="167"/>
      <c r="HM659" s="167"/>
      <c r="HN659" s="167"/>
      <c r="HO659" s="167"/>
      <c r="HP659" s="167"/>
      <c r="HQ659" s="167"/>
      <c r="HR659" s="167"/>
      <c r="II659" s="167"/>
      <c r="IJ659" s="167"/>
      <c r="IK659" s="167"/>
      <c r="IL659" s="167"/>
      <c r="IM659" s="167"/>
      <c r="IN659" s="167"/>
      <c r="IO659" s="167"/>
      <c r="IP659" s="167"/>
    </row>
    <row r="660" spans="1:256" s="125" customFormat="1">
      <c r="A660" s="240">
        <v>15</v>
      </c>
      <c r="B660" s="241"/>
      <c r="C660" s="242"/>
      <c r="D660" s="243" t="s">
        <v>841</v>
      </c>
      <c r="E660" s="244">
        <v>5</v>
      </c>
      <c r="F660" s="245" t="s">
        <v>856</v>
      </c>
      <c r="G660" s="246"/>
      <c r="H660" s="247"/>
      <c r="I660" s="248">
        <v>2343333</v>
      </c>
      <c r="J660" s="248"/>
      <c r="K660" s="248">
        <f t="shared" ref="K660:K671" si="61">I660+J660</f>
        <v>2343333</v>
      </c>
      <c r="L660" s="249">
        <v>1</v>
      </c>
      <c r="M660" s="248"/>
      <c r="N660" s="250">
        <f t="shared" ref="N660:N671" si="62">K660-M660</f>
        <v>2343333</v>
      </c>
      <c r="O660" s="108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130"/>
      <c r="AB660" s="130"/>
      <c r="AC660" s="130"/>
      <c r="AD660" s="130"/>
      <c r="AE660" s="130"/>
      <c r="AF660" s="167"/>
      <c r="AG660" s="167"/>
      <c r="AH660" s="167"/>
      <c r="AY660" s="167"/>
      <c r="AZ660" s="167"/>
      <c r="BA660" s="167"/>
      <c r="BB660" s="167"/>
      <c r="BC660" s="167"/>
      <c r="BD660" s="167"/>
      <c r="BE660" s="167"/>
      <c r="BF660" s="167"/>
      <c r="BW660" s="167"/>
      <c r="BX660" s="167"/>
      <c r="BY660" s="167"/>
      <c r="BZ660" s="167"/>
      <c r="CA660" s="167"/>
      <c r="CB660" s="167"/>
      <c r="CC660" s="167"/>
      <c r="CD660" s="167"/>
      <c r="CU660" s="167"/>
      <c r="CV660" s="167"/>
      <c r="CW660" s="167"/>
      <c r="CX660" s="167"/>
      <c r="CY660" s="167"/>
      <c r="CZ660" s="167"/>
      <c r="DA660" s="167"/>
      <c r="DB660" s="167"/>
      <c r="DS660" s="167"/>
      <c r="DT660" s="167"/>
      <c r="DU660" s="167"/>
      <c r="DV660" s="167"/>
      <c r="DW660" s="167"/>
      <c r="DX660" s="167"/>
      <c r="DY660" s="167"/>
      <c r="DZ660" s="167"/>
      <c r="EQ660" s="167"/>
      <c r="ER660" s="167"/>
      <c r="ES660" s="167"/>
      <c r="ET660" s="167"/>
      <c r="EU660" s="167"/>
      <c r="EV660" s="167"/>
      <c r="EW660" s="167"/>
      <c r="EX660" s="167"/>
      <c r="FO660" s="167"/>
      <c r="FP660" s="167"/>
      <c r="FQ660" s="167"/>
      <c r="FR660" s="167"/>
      <c r="FS660" s="167"/>
      <c r="FT660" s="167"/>
      <c r="FU660" s="167"/>
      <c r="FV660" s="167"/>
      <c r="GM660" s="167"/>
      <c r="GN660" s="167"/>
      <c r="GO660" s="167"/>
      <c r="GP660" s="167"/>
      <c r="GQ660" s="167"/>
      <c r="GR660" s="167"/>
      <c r="GS660" s="167"/>
      <c r="GT660" s="167"/>
      <c r="HK660" s="167"/>
      <c r="HL660" s="167"/>
      <c r="HM660" s="167"/>
      <c r="HN660" s="167"/>
      <c r="HO660" s="167"/>
      <c r="HP660" s="167"/>
      <c r="HQ660" s="167"/>
      <c r="HR660" s="167"/>
      <c r="II660" s="167"/>
      <c r="IJ660" s="167"/>
      <c r="IK660" s="167"/>
      <c r="IL660" s="167"/>
      <c r="IM660" s="167"/>
      <c r="IN660" s="167"/>
      <c r="IO660" s="167"/>
      <c r="IP660" s="167"/>
    </row>
    <row r="661" spans="1:256" s="3" customFormat="1">
      <c r="A661" s="76">
        <v>16</v>
      </c>
      <c r="B661" s="237"/>
      <c r="C661" s="251"/>
      <c r="D661" s="252" t="s">
        <v>841</v>
      </c>
      <c r="E661" s="253">
        <v>5</v>
      </c>
      <c r="F661" s="254" t="s">
        <v>857</v>
      </c>
      <c r="G661" s="255"/>
      <c r="H661" s="256"/>
      <c r="I661" s="257">
        <v>2343333</v>
      </c>
      <c r="J661" s="257"/>
      <c r="K661" s="257">
        <f t="shared" si="61"/>
        <v>2343333</v>
      </c>
      <c r="L661" s="258"/>
      <c r="M661" s="257"/>
      <c r="N661" s="259">
        <f t="shared" si="62"/>
        <v>2343333</v>
      </c>
      <c r="O661" s="108"/>
      <c r="Q661" s="140"/>
      <c r="AA661" s="130"/>
      <c r="AB661" s="130"/>
      <c r="AC661" s="130"/>
      <c r="AD661" s="130"/>
      <c r="AE661" s="130"/>
      <c r="AF661" s="130"/>
      <c r="AG661" s="130"/>
      <c r="AH661" s="130"/>
      <c r="AL661" s="125"/>
      <c r="AM661" s="125"/>
      <c r="AN661" s="125"/>
      <c r="AO661" s="125"/>
      <c r="AP661" s="125"/>
      <c r="AQ661" s="125"/>
      <c r="AR661" s="125"/>
      <c r="AS661" s="125"/>
      <c r="AT661" s="125"/>
      <c r="AU661" s="125"/>
      <c r="AV661" s="125"/>
      <c r="AW661" s="125"/>
      <c r="AX661" s="125"/>
      <c r="AY661" s="167"/>
      <c r="AZ661" s="167"/>
      <c r="BA661" s="167"/>
      <c r="BB661" s="167"/>
      <c r="BC661" s="167"/>
      <c r="BD661" s="167"/>
      <c r="BE661" s="167"/>
      <c r="BF661" s="167"/>
      <c r="BG661" s="125"/>
      <c r="BH661" s="125"/>
      <c r="BI661" s="125"/>
      <c r="BJ661" s="125"/>
      <c r="BK661" s="125"/>
      <c r="BL661" s="125"/>
      <c r="BM661" s="125"/>
      <c r="BN661" s="125"/>
      <c r="BO661" s="125"/>
      <c r="BP661" s="125"/>
      <c r="BQ661" s="125"/>
      <c r="BR661" s="125"/>
      <c r="BS661" s="125"/>
      <c r="BT661" s="125"/>
      <c r="BU661" s="125"/>
      <c r="BV661" s="125"/>
      <c r="BW661" s="167"/>
      <c r="BX661" s="167"/>
      <c r="BY661" s="167"/>
      <c r="BZ661" s="167"/>
      <c r="CA661" s="167"/>
      <c r="CB661" s="167"/>
      <c r="CC661" s="167"/>
      <c r="CD661" s="167"/>
      <c r="CE661" s="125"/>
      <c r="CF661" s="125"/>
      <c r="CG661" s="125"/>
      <c r="CH661" s="125"/>
      <c r="CI661" s="125"/>
      <c r="CJ661" s="125"/>
      <c r="CK661" s="125"/>
      <c r="CL661" s="125"/>
      <c r="CM661" s="125"/>
      <c r="CN661" s="125"/>
      <c r="CO661" s="125"/>
      <c r="CP661" s="125"/>
      <c r="CQ661" s="125"/>
      <c r="CR661" s="125"/>
      <c r="CS661" s="125"/>
      <c r="CT661" s="125"/>
      <c r="CU661" s="167"/>
      <c r="CV661" s="167"/>
      <c r="CW661" s="167"/>
      <c r="CX661" s="167"/>
      <c r="CY661" s="167"/>
      <c r="CZ661" s="167"/>
      <c r="DA661" s="167"/>
      <c r="DB661" s="167"/>
      <c r="DC661" s="125"/>
      <c r="DD661" s="125"/>
      <c r="DE661" s="125"/>
      <c r="DF661" s="125"/>
      <c r="DG661" s="125"/>
      <c r="DH661" s="125"/>
      <c r="DI661" s="125"/>
      <c r="DJ661" s="125"/>
      <c r="DK661" s="125"/>
      <c r="DL661" s="125"/>
      <c r="DM661" s="125"/>
      <c r="DN661" s="125"/>
      <c r="DO661" s="125"/>
      <c r="DP661" s="125"/>
      <c r="DQ661" s="125"/>
      <c r="DR661" s="125"/>
      <c r="DS661" s="167"/>
      <c r="DT661" s="167"/>
      <c r="DU661" s="167"/>
      <c r="DV661" s="167"/>
      <c r="DW661" s="167"/>
      <c r="DX661" s="167"/>
      <c r="DY661" s="167"/>
      <c r="DZ661" s="167"/>
      <c r="EA661" s="125"/>
      <c r="EB661" s="125"/>
      <c r="EC661" s="125"/>
      <c r="ED661" s="125"/>
      <c r="EE661" s="125"/>
      <c r="EF661" s="125"/>
      <c r="EG661" s="125"/>
      <c r="EH661" s="125"/>
      <c r="EI661" s="125"/>
      <c r="EJ661" s="125"/>
      <c r="EK661" s="125"/>
      <c r="EL661" s="125"/>
      <c r="EM661" s="125"/>
      <c r="EN661" s="125"/>
      <c r="EO661" s="125"/>
      <c r="EP661" s="125"/>
      <c r="EQ661" s="167"/>
      <c r="ER661" s="167"/>
      <c r="ES661" s="167"/>
      <c r="ET661" s="167"/>
      <c r="EU661" s="167"/>
      <c r="EV661" s="167"/>
      <c r="EW661" s="167"/>
      <c r="EX661" s="167"/>
      <c r="EY661" s="125"/>
      <c r="EZ661" s="125"/>
      <c r="FA661" s="125"/>
      <c r="FB661" s="125"/>
      <c r="FC661" s="125"/>
      <c r="FD661" s="125"/>
      <c r="FE661" s="125"/>
      <c r="FF661" s="125"/>
      <c r="FG661" s="125"/>
      <c r="FH661" s="125"/>
      <c r="FI661" s="125"/>
      <c r="FJ661" s="125"/>
      <c r="FK661" s="125"/>
      <c r="FL661" s="125"/>
      <c r="FM661" s="125"/>
      <c r="FN661" s="125"/>
      <c r="FO661" s="167"/>
      <c r="FP661" s="167"/>
      <c r="FQ661" s="167"/>
      <c r="FR661" s="167"/>
      <c r="FS661" s="167"/>
      <c r="FT661" s="167"/>
      <c r="FU661" s="167"/>
      <c r="FV661" s="167"/>
      <c r="FW661" s="125"/>
      <c r="FX661" s="125"/>
      <c r="FY661" s="125"/>
      <c r="FZ661" s="125"/>
      <c r="GA661" s="125"/>
      <c r="GB661" s="125"/>
      <c r="GC661" s="125"/>
      <c r="GD661" s="125"/>
      <c r="GE661" s="125"/>
      <c r="GF661" s="125"/>
      <c r="GG661" s="125"/>
      <c r="GH661" s="125"/>
      <c r="GI661" s="125"/>
      <c r="GJ661" s="125"/>
      <c r="GK661" s="125"/>
      <c r="GL661" s="125"/>
      <c r="GM661" s="167"/>
      <c r="GN661" s="167"/>
      <c r="GO661" s="167"/>
      <c r="GP661" s="167"/>
      <c r="GQ661" s="167"/>
      <c r="GR661" s="167"/>
      <c r="GS661" s="167"/>
      <c r="GT661" s="167"/>
      <c r="GU661" s="125"/>
      <c r="GV661" s="125"/>
      <c r="GW661" s="125"/>
      <c r="GX661" s="125"/>
      <c r="GY661" s="125"/>
      <c r="GZ661" s="125"/>
      <c r="HA661" s="125"/>
      <c r="HB661" s="125"/>
      <c r="HC661" s="125"/>
      <c r="HD661" s="125"/>
      <c r="HE661" s="125"/>
      <c r="HF661" s="125"/>
      <c r="HG661" s="125"/>
      <c r="HH661" s="125"/>
      <c r="HI661" s="125"/>
      <c r="HJ661" s="125"/>
      <c r="HK661" s="167"/>
      <c r="HL661" s="167"/>
      <c r="HM661" s="167"/>
      <c r="HN661" s="167"/>
      <c r="HO661" s="167"/>
      <c r="HP661" s="167"/>
      <c r="HQ661" s="167"/>
      <c r="HR661" s="167"/>
      <c r="HS661" s="125"/>
      <c r="HT661" s="125"/>
      <c r="HU661" s="125"/>
      <c r="HV661" s="125"/>
      <c r="HW661" s="125"/>
      <c r="HX661" s="125"/>
      <c r="HY661" s="125"/>
      <c r="HZ661" s="125"/>
      <c r="IA661" s="125"/>
      <c r="IB661" s="125"/>
      <c r="IC661" s="125"/>
      <c r="ID661" s="125"/>
      <c r="IE661" s="125"/>
      <c r="IF661" s="125"/>
      <c r="IG661" s="125"/>
      <c r="IH661" s="125"/>
      <c r="II661" s="167"/>
      <c r="IJ661" s="167"/>
      <c r="IK661" s="167"/>
      <c r="IL661" s="167"/>
      <c r="IM661" s="167"/>
      <c r="IN661" s="167"/>
      <c r="IO661" s="167"/>
      <c r="IP661" s="167"/>
      <c r="IQ661" s="125"/>
      <c r="IR661" s="125"/>
      <c r="IS661" s="125"/>
      <c r="IT661" s="125"/>
      <c r="IU661" s="125"/>
      <c r="IV661" s="125"/>
    </row>
    <row r="662" spans="1:256" s="125" customFormat="1">
      <c r="A662" s="76">
        <v>17</v>
      </c>
      <c r="B662" s="237"/>
      <c r="C662" s="18"/>
      <c r="D662" s="19" t="s">
        <v>841</v>
      </c>
      <c r="E662" s="20">
        <v>5</v>
      </c>
      <c r="F662" s="57" t="s">
        <v>858</v>
      </c>
      <c r="G662" s="58"/>
      <c r="H662" s="121"/>
      <c r="I662" s="24">
        <v>2343333</v>
      </c>
      <c r="J662" s="24"/>
      <c r="K662" s="199">
        <f t="shared" si="61"/>
        <v>2343333</v>
      </c>
      <c r="L662" s="26"/>
      <c r="M662" s="24"/>
      <c r="N662" s="129">
        <f t="shared" si="62"/>
        <v>2343333</v>
      </c>
      <c r="O662" s="108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130"/>
      <c r="AB662" s="130"/>
      <c r="AC662" s="130"/>
      <c r="AD662" s="130"/>
      <c r="AE662" s="130"/>
      <c r="AF662" s="130"/>
      <c r="AG662" s="130"/>
      <c r="AH662" s="130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130"/>
      <c r="AZ662" s="130"/>
      <c r="BA662" s="130"/>
      <c r="BB662" s="130"/>
      <c r="BC662" s="130"/>
      <c r="BD662" s="130"/>
      <c r="BE662" s="130"/>
      <c r="BF662" s="130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130"/>
      <c r="BX662" s="130"/>
      <c r="BY662" s="130"/>
      <c r="BZ662" s="130"/>
      <c r="CA662" s="130"/>
      <c r="CB662" s="130"/>
      <c r="CC662" s="130"/>
      <c r="CD662" s="130"/>
      <c r="CE662" s="3"/>
      <c r="CF662" s="3"/>
      <c r="CG662" s="3"/>
      <c r="CH662" s="3"/>
      <c r="CI662" s="3"/>
      <c r="CJ662" s="3"/>
      <c r="CK662" s="3"/>
      <c r="CL662" s="3"/>
      <c r="CM662" s="3"/>
      <c r="CN662" s="3"/>
      <c r="CO662" s="3"/>
      <c r="CP662" s="3"/>
      <c r="CQ662" s="3"/>
      <c r="CR662" s="3"/>
      <c r="CS662" s="3"/>
      <c r="CT662" s="3"/>
      <c r="CU662" s="130"/>
      <c r="CV662" s="130"/>
      <c r="CW662" s="130"/>
      <c r="CX662" s="130"/>
      <c r="CY662" s="130"/>
      <c r="CZ662" s="130"/>
      <c r="DA662" s="130"/>
      <c r="DB662" s="130"/>
      <c r="DC662" s="3"/>
      <c r="DD662" s="3"/>
      <c r="DE662" s="3"/>
      <c r="DF662" s="3"/>
      <c r="DG662" s="3"/>
      <c r="DH662" s="3"/>
      <c r="DI662" s="3"/>
      <c r="DJ662" s="3"/>
      <c r="DK662" s="3"/>
      <c r="DL662" s="3"/>
      <c r="DM662" s="3"/>
      <c r="DN662" s="3"/>
      <c r="DO662" s="3"/>
      <c r="DP662" s="3"/>
      <c r="DQ662" s="3"/>
      <c r="DR662" s="3"/>
      <c r="DS662" s="130"/>
      <c r="DT662" s="130"/>
      <c r="DU662" s="130"/>
      <c r="DV662" s="130"/>
      <c r="DW662" s="130"/>
      <c r="DX662" s="130"/>
      <c r="DY662" s="130"/>
      <c r="DZ662" s="130"/>
      <c r="EA662" s="3"/>
      <c r="EB662" s="3"/>
      <c r="EC662" s="3"/>
      <c r="ED662" s="3"/>
      <c r="EE662" s="3"/>
      <c r="EF662" s="3"/>
      <c r="EG662" s="3"/>
      <c r="EH662" s="3"/>
      <c r="EI662" s="3"/>
      <c r="EJ662" s="3"/>
      <c r="EK662" s="3"/>
      <c r="EL662" s="3"/>
      <c r="EM662" s="3"/>
      <c r="EN662" s="3"/>
      <c r="EO662" s="3"/>
      <c r="EP662" s="3"/>
      <c r="EQ662" s="130"/>
      <c r="ER662" s="130"/>
      <c r="ES662" s="130"/>
      <c r="ET662" s="130"/>
      <c r="EU662" s="130"/>
      <c r="EV662" s="130"/>
      <c r="EW662" s="130"/>
      <c r="EX662" s="130"/>
      <c r="EY662" s="3"/>
      <c r="EZ662" s="3"/>
      <c r="FA662" s="3"/>
      <c r="FB662" s="3"/>
      <c r="FC662" s="3"/>
      <c r="FD662" s="3"/>
      <c r="FE662" s="3"/>
      <c r="FF662" s="3"/>
      <c r="FG662" s="3"/>
      <c r="FH662" s="3"/>
      <c r="FI662" s="3"/>
      <c r="FJ662" s="3"/>
      <c r="FK662" s="3"/>
      <c r="FL662" s="3"/>
      <c r="FM662" s="3"/>
      <c r="FN662" s="3"/>
      <c r="FO662" s="130"/>
      <c r="FP662" s="130"/>
      <c r="FQ662" s="130"/>
      <c r="FR662" s="130"/>
      <c r="FS662" s="130"/>
      <c r="FT662" s="130"/>
      <c r="FU662" s="130"/>
      <c r="FV662" s="130"/>
      <c r="FW662" s="3"/>
      <c r="FX662" s="3"/>
      <c r="FY662" s="3"/>
      <c r="FZ662" s="3"/>
      <c r="GA662" s="3"/>
      <c r="GB662" s="3"/>
      <c r="GC662" s="3"/>
      <c r="GD662" s="3"/>
      <c r="GE662" s="3"/>
      <c r="GF662" s="3"/>
      <c r="GG662" s="3"/>
      <c r="GH662" s="3"/>
      <c r="GI662" s="3"/>
      <c r="GJ662" s="3"/>
      <c r="GK662" s="3"/>
      <c r="GL662" s="3"/>
      <c r="GM662" s="130"/>
      <c r="GN662" s="130"/>
      <c r="GO662" s="130"/>
      <c r="GP662" s="130"/>
      <c r="GQ662" s="130"/>
      <c r="GR662" s="130"/>
      <c r="GS662" s="130"/>
      <c r="GT662" s="130"/>
      <c r="GU662" s="3"/>
      <c r="GV662" s="3"/>
      <c r="GW662" s="3"/>
      <c r="GX662" s="3"/>
      <c r="GY662" s="3"/>
      <c r="GZ662" s="3"/>
      <c r="HA662" s="3"/>
      <c r="HB662" s="3"/>
      <c r="HC662" s="3"/>
      <c r="HD662" s="3"/>
      <c r="HE662" s="3"/>
      <c r="HF662" s="3"/>
      <c r="HG662" s="3"/>
      <c r="HH662" s="3"/>
      <c r="HI662" s="3"/>
      <c r="HJ662" s="3"/>
      <c r="HK662" s="130"/>
      <c r="HL662" s="130"/>
      <c r="HM662" s="130"/>
      <c r="HN662" s="130"/>
      <c r="HO662" s="130"/>
      <c r="HP662" s="130"/>
      <c r="HQ662" s="130"/>
      <c r="HR662" s="130"/>
      <c r="HS662" s="3"/>
      <c r="HT662" s="3"/>
      <c r="HU662" s="3"/>
      <c r="HV662" s="3"/>
      <c r="HW662" s="3"/>
      <c r="HX662" s="3"/>
      <c r="HY662" s="3"/>
      <c r="HZ662" s="3"/>
      <c r="IA662" s="3"/>
      <c r="IB662" s="3"/>
      <c r="IC662" s="3"/>
      <c r="ID662" s="3"/>
      <c r="IE662" s="3"/>
      <c r="IF662" s="3"/>
      <c r="IG662" s="3"/>
      <c r="IH662" s="3"/>
      <c r="II662" s="130"/>
      <c r="IJ662" s="130"/>
      <c r="IK662" s="130"/>
      <c r="IL662" s="130"/>
      <c r="IM662" s="130"/>
      <c r="IN662" s="130"/>
      <c r="IO662" s="130"/>
      <c r="IP662" s="130"/>
      <c r="IQ662" s="3"/>
      <c r="IR662" s="3"/>
      <c r="IS662" s="3"/>
      <c r="IT662" s="3"/>
      <c r="IU662" s="3"/>
      <c r="IV662" s="3"/>
    </row>
    <row r="663" spans="1:256" s="3" customFormat="1">
      <c r="A663" s="76">
        <v>18</v>
      </c>
      <c r="B663" s="237"/>
      <c r="C663" s="18"/>
      <c r="D663" s="19" t="s">
        <v>841</v>
      </c>
      <c r="E663" s="20">
        <v>5</v>
      </c>
      <c r="F663" s="57" t="s">
        <v>859</v>
      </c>
      <c r="G663" s="58"/>
      <c r="H663" s="121"/>
      <c r="I663" s="24">
        <v>2343333</v>
      </c>
      <c r="J663" s="24"/>
      <c r="K663" s="199">
        <f t="shared" si="61"/>
        <v>2343333</v>
      </c>
      <c r="L663" s="26"/>
      <c r="M663" s="24"/>
      <c r="N663" s="129">
        <f t="shared" si="62"/>
        <v>2343333</v>
      </c>
      <c r="O663" s="108"/>
      <c r="AA663" s="130"/>
      <c r="AB663" s="130"/>
      <c r="AC663" s="130"/>
      <c r="AD663" s="130"/>
      <c r="AE663" s="130"/>
      <c r="AF663" s="167"/>
      <c r="AG663" s="167"/>
      <c r="AH663" s="167"/>
      <c r="AI663" s="125"/>
      <c r="AJ663" s="125"/>
      <c r="AK663" s="125"/>
      <c r="AL663" s="125"/>
      <c r="AM663" s="125"/>
      <c r="AN663" s="125"/>
      <c r="AO663" s="125"/>
      <c r="AP663" s="125"/>
      <c r="AQ663" s="125"/>
      <c r="AR663" s="125"/>
      <c r="AS663" s="125"/>
      <c r="AT663" s="125"/>
      <c r="AU663" s="125"/>
      <c r="AV663" s="125"/>
      <c r="AW663" s="125"/>
      <c r="AX663" s="125"/>
      <c r="AY663" s="167"/>
      <c r="AZ663" s="167"/>
      <c r="BA663" s="167"/>
      <c r="BB663" s="167"/>
      <c r="BC663" s="167"/>
      <c r="BD663" s="167"/>
      <c r="BE663" s="167"/>
      <c r="BF663" s="167"/>
      <c r="BG663" s="125"/>
      <c r="BH663" s="125"/>
      <c r="BI663" s="125"/>
      <c r="BJ663" s="125"/>
      <c r="BK663" s="125"/>
      <c r="BL663" s="125"/>
      <c r="BM663" s="125"/>
      <c r="BN663" s="125"/>
      <c r="BO663" s="125"/>
      <c r="BP663" s="125"/>
      <c r="BQ663" s="125"/>
      <c r="BR663" s="125"/>
      <c r="BS663" s="125"/>
      <c r="BT663" s="125"/>
      <c r="BU663" s="125"/>
      <c r="BV663" s="125"/>
      <c r="BW663" s="167"/>
      <c r="BX663" s="167"/>
      <c r="BY663" s="167"/>
      <c r="BZ663" s="167"/>
      <c r="CA663" s="167"/>
      <c r="CB663" s="167"/>
      <c r="CC663" s="167"/>
      <c r="CD663" s="167"/>
      <c r="CE663" s="125"/>
      <c r="CF663" s="125"/>
      <c r="CG663" s="125"/>
      <c r="CH663" s="125"/>
      <c r="CI663" s="125"/>
      <c r="CJ663" s="125"/>
      <c r="CK663" s="125"/>
      <c r="CL663" s="125"/>
      <c r="CM663" s="125"/>
      <c r="CN663" s="125"/>
      <c r="CO663" s="125"/>
      <c r="CP663" s="125"/>
      <c r="CQ663" s="125"/>
      <c r="CR663" s="125"/>
      <c r="CS663" s="125"/>
      <c r="CT663" s="125"/>
      <c r="CU663" s="167"/>
      <c r="CV663" s="167"/>
      <c r="CW663" s="167"/>
      <c r="CX663" s="167"/>
      <c r="CY663" s="167"/>
      <c r="CZ663" s="167"/>
      <c r="DA663" s="167"/>
      <c r="DB663" s="167"/>
      <c r="DC663" s="125"/>
      <c r="DD663" s="125"/>
      <c r="DE663" s="125"/>
      <c r="DF663" s="125"/>
      <c r="DG663" s="125"/>
      <c r="DH663" s="125"/>
      <c r="DI663" s="125"/>
      <c r="DJ663" s="125"/>
      <c r="DK663" s="125"/>
      <c r="DL663" s="125"/>
      <c r="DM663" s="125"/>
      <c r="DN663" s="125"/>
      <c r="DO663" s="125"/>
      <c r="DP663" s="125"/>
      <c r="DQ663" s="125"/>
      <c r="DR663" s="125"/>
      <c r="DS663" s="167"/>
      <c r="DT663" s="167"/>
      <c r="DU663" s="167"/>
      <c r="DV663" s="167"/>
      <c r="DW663" s="167"/>
      <c r="DX663" s="167"/>
      <c r="DY663" s="167"/>
      <c r="DZ663" s="167"/>
      <c r="EA663" s="125"/>
      <c r="EB663" s="125"/>
      <c r="EC663" s="125"/>
      <c r="ED663" s="125"/>
      <c r="EE663" s="125"/>
      <c r="EF663" s="125"/>
      <c r="EG663" s="125"/>
      <c r="EH663" s="125"/>
      <c r="EI663" s="125"/>
      <c r="EJ663" s="125"/>
      <c r="EK663" s="125"/>
      <c r="EL663" s="125"/>
      <c r="EM663" s="125"/>
      <c r="EN663" s="125"/>
      <c r="EO663" s="125"/>
      <c r="EP663" s="125"/>
      <c r="EQ663" s="167"/>
      <c r="ER663" s="167"/>
      <c r="ES663" s="167"/>
      <c r="ET663" s="167"/>
      <c r="EU663" s="167"/>
      <c r="EV663" s="167"/>
      <c r="EW663" s="167"/>
      <c r="EX663" s="167"/>
      <c r="EY663" s="125"/>
      <c r="EZ663" s="125"/>
      <c r="FA663" s="125"/>
      <c r="FB663" s="125"/>
      <c r="FC663" s="125"/>
      <c r="FD663" s="125"/>
      <c r="FE663" s="125"/>
      <c r="FF663" s="125"/>
      <c r="FG663" s="125"/>
      <c r="FH663" s="125"/>
      <c r="FI663" s="125"/>
      <c r="FJ663" s="125"/>
      <c r="FK663" s="125"/>
      <c r="FL663" s="125"/>
      <c r="FM663" s="125"/>
      <c r="FN663" s="125"/>
      <c r="FO663" s="167"/>
      <c r="FP663" s="167"/>
      <c r="FQ663" s="167"/>
      <c r="FR663" s="167"/>
      <c r="FS663" s="167"/>
      <c r="FT663" s="167"/>
      <c r="FU663" s="167"/>
      <c r="FV663" s="167"/>
      <c r="FW663" s="125"/>
      <c r="FX663" s="125"/>
      <c r="FY663" s="125"/>
      <c r="FZ663" s="125"/>
      <c r="GA663" s="125"/>
      <c r="GB663" s="125"/>
      <c r="GC663" s="125"/>
      <c r="GD663" s="125"/>
      <c r="GE663" s="125"/>
      <c r="GF663" s="125"/>
      <c r="GG663" s="125"/>
      <c r="GH663" s="125"/>
      <c r="GI663" s="125"/>
      <c r="GJ663" s="125"/>
      <c r="GK663" s="125"/>
      <c r="GL663" s="125"/>
      <c r="GM663" s="167"/>
      <c r="GN663" s="167"/>
      <c r="GO663" s="167"/>
      <c r="GP663" s="167"/>
      <c r="GQ663" s="167"/>
      <c r="GR663" s="167"/>
      <c r="GS663" s="167"/>
      <c r="GT663" s="167"/>
      <c r="GU663" s="125"/>
      <c r="GV663" s="125"/>
      <c r="GW663" s="125"/>
      <c r="GX663" s="125"/>
      <c r="GY663" s="125"/>
      <c r="GZ663" s="125"/>
      <c r="HA663" s="125"/>
      <c r="HB663" s="125"/>
      <c r="HC663" s="125"/>
      <c r="HD663" s="125"/>
      <c r="HE663" s="125"/>
      <c r="HF663" s="125"/>
      <c r="HG663" s="125"/>
      <c r="HH663" s="125"/>
      <c r="HI663" s="125"/>
      <c r="HJ663" s="125"/>
      <c r="HK663" s="167"/>
      <c r="HL663" s="167"/>
      <c r="HM663" s="167"/>
      <c r="HN663" s="167"/>
      <c r="HO663" s="167"/>
      <c r="HP663" s="167"/>
      <c r="HQ663" s="167"/>
      <c r="HR663" s="167"/>
      <c r="HS663" s="125"/>
      <c r="HT663" s="125"/>
      <c r="HU663" s="125"/>
      <c r="HV663" s="125"/>
      <c r="HW663" s="125"/>
      <c r="HX663" s="125"/>
      <c r="HY663" s="125"/>
      <c r="HZ663" s="125"/>
      <c r="IA663" s="125"/>
      <c r="IB663" s="125"/>
      <c r="IC663" s="125"/>
      <c r="ID663" s="125"/>
      <c r="IE663" s="125"/>
      <c r="IF663" s="125"/>
      <c r="IG663" s="125"/>
      <c r="IH663" s="125"/>
      <c r="II663" s="167"/>
      <c r="IJ663" s="167"/>
      <c r="IK663" s="167"/>
      <c r="IL663" s="167"/>
      <c r="IM663" s="167"/>
      <c r="IN663" s="167"/>
      <c r="IO663" s="167"/>
      <c r="IP663" s="167"/>
      <c r="IQ663" s="125"/>
      <c r="IR663" s="125"/>
      <c r="IS663" s="125"/>
      <c r="IT663" s="125"/>
      <c r="IU663" s="125"/>
      <c r="IV663" s="125"/>
    </row>
    <row r="664" spans="1:256" s="125" customFormat="1">
      <c r="A664" s="240">
        <v>19</v>
      </c>
      <c r="B664" s="241"/>
      <c r="C664" s="242"/>
      <c r="D664" s="243" t="s">
        <v>841</v>
      </c>
      <c r="E664" s="244">
        <v>5</v>
      </c>
      <c r="F664" s="260" t="s">
        <v>860</v>
      </c>
      <c r="G664" s="261"/>
      <c r="H664" s="247"/>
      <c r="I664" s="248">
        <v>2190476</v>
      </c>
      <c r="J664" s="248"/>
      <c r="K664" s="262">
        <f t="shared" si="61"/>
        <v>2190476</v>
      </c>
      <c r="L664" s="263">
        <v>1</v>
      </c>
      <c r="M664" s="248"/>
      <c r="N664" s="250">
        <f t="shared" si="62"/>
        <v>2190476</v>
      </c>
      <c r="O664" s="108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130"/>
      <c r="AB664" s="130"/>
      <c r="AC664" s="130"/>
      <c r="AD664" s="130"/>
      <c r="AE664" s="130"/>
      <c r="AF664" s="130"/>
      <c r="AG664" s="130"/>
      <c r="AH664" s="130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130"/>
      <c r="AZ664" s="130"/>
      <c r="BA664" s="130"/>
      <c r="BB664" s="130"/>
      <c r="BC664" s="130"/>
      <c r="BD664" s="130"/>
      <c r="BE664" s="130"/>
      <c r="BF664" s="130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130"/>
      <c r="BX664" s="130"/>
      <c r="BY664" s="130"/>
      <c r="BZ664" s="130"/>
      <c r="CA664" s="130"/>
      <c r="CB664" s="130"/>
      <c r="CC664" s="130"/>
      <c r="CD664" s="130"/>
      <c r="CE664" s="3"/>
      <c r="CF664" s="3"/>
      <c r="CG664" s="3"/>
      <c r="CH664" s="3"/>
      <c r="CI664" s="3"/>
      <c r="CJ664" s="3"/>
      <c r="CK664" s="3"/>
      <c r="CL664" s="3"/>
      <c r="CM664" s="3"/>
      <c r="CN664" s="3"/>
      <c r="CO664" s="3"/>
      <c r="CP664" s="3"/>
      <c r="CQ664" s="3"/>
      <c r="CR664" s="3"/>
      <c r="CS664" s="3"/>
      <c r="CT664" s="3"/>
      <c r="CU664" s="130"/>
      <c r="CV664" s="130"/>
      <c r="CW664" s="130"/>
      <c r="CX664" s="130"/>
      <c r="CY664" s="130"/>
      <c r="CZ664" s="130"/>
      <c r="DA664" s="130"/>
      <c r="DB664" s="130"/>
      <c r="DC664" s="3"/>
      <c r="DD664" s="3"/>
      <c r="DE664" s="3"/>
      <c r="DF664" s="3"/>
      <c r="DG664" s="3"/>
      <c r="DH664" s="3"/>
      <c r="DI664" s="3"/>
      <c r="DJ664" s="3"/>
      <c r="DK664" s="3"/>
      <c r="DL664" s="3"/>
      <c r="DM664" s="3"/>
      <c r="DN664" s="3"/>
      <c r="DO664" s="3"/>
      <c r="DP664" s="3"/>
      <c r="DQ664" s="3"/>
      <c r="DR664" s="3"/>
      <c r="DS664" s="130"/>
      <c r="DT664" s="130"/>
      <c r="DU664" s="130"/>
      <c r="DV664" s="130"/>
      <c r="DW664" s="130"/>
      <c r="DX664" s="130"/>
      <c r="DY664" s="130"/>
      <c r="DZ664" s="130"/>
      <c r="EA664" s="3"/>
      <c r="EB664" s="3"/>
      <c r="EC664" s="3"/>
      <c r="ED664" s="3"/>
      <c r="EE664" s="3"/>
      <c r="EF664" s="3"/>
      <c r="EG664" s="3"/>
      <c r="EH664" s="3"/>
      <c r="EI664" s="3"/>
      <c r="EJ664" s="3"/>
      <c r="EK664" s="3"/>
      <c r="EL664" s="3"/>
      <c r="EM664" s="3"/>
      <c r="EN664" s="3"/>
      <c r="EO664" s="3"/>
      <c r="EP664" s="3"/>
      <c r="EQ664" s="130"/>
      <c r="ER664" s="130"/>
      <c r="ES664" s="130"/>
      <c r="ET664" s="130"/>
      <c r="EU664" s="130"/>
      <c r="EV664" s="130"/>
      <c r="EW664" s="130"/>
      <c r="EX664" s="130"/>
      <c r="EY664" s="3"/>
      <c r="EZ664" s="3"/>
      <c r="FA664" s="3"/>
      <c r="FB664" s="3"/>
      <c r="FC664" s="3"/>
      <c r="FD664" s="3"/>
      <c r="FE664" s="3"/>
      <c r="FF664" s="3"/>
      <c r="FG664" s="3"/>
      <c r="FH664" s="3"/>
      <c r="FI664" s="3"/>
      <c r="FJ664" s="3"/>
      <c r="FK664" s="3"/>
      <c r="FL664" s="3"/>
      <c r="FM664" s="3"/>
      <c r="FN664" s="3"/>
      <c r="FO664" s="130"/>
      <c r="FP664" s="130"/>
      <c r="FQ664" s="130"/>
      <c r="FR664" s="130"/>
      <c r="FS664" s="130"/>
      <c r="FT664" s="130"/>
      <c r="FU664" s="130"/>
      <c r="FV664" s="130"/>
      <c r="FW664" s="3"/>
      <c r="FX664" s="3"/>
      <c r="FY664" s="3"/>
      <c r="FZ664" s="3"/>
      <c r="GA664" s="3"/>
      <c r="GB664" s="3"/>
      <c r="GC664" s="3"/>
      <c r="GD664" s="3"/>
      <c r="GE664" s="3"/>
      <c r="GF664" s="3"/>
      <c r="GG664" s="3"/>
      <c r="GH664" s="3"/>
      <c r="GI664" s="3"/>
      <c r="GJ664" s="3"/>
      <c r="GK664" s="3"/>
      <c r="GL664" s="3"/>
      <c r="GM664" s="130"/>
      <c r="GN664" s="130"/>
      <c r="GO664" s="130"/>
      <c r="GP664" s="130"/>
      <c r="GQ664" s="130"/>
      <c r="GR664" s="130"/>
      <c r="GS664" s="130"/>
      <c r="GT664" s="130"/>
      <c r="GU664" s="3"/>
      <c r="GV664" s="3"/>
      <c r="GW664" s="3"/>
      <c r="GX664" s="3"/>
      <c r="GY664" s="3"/>
      <c r="GZ664" s="3"/>
      <c r="HA664" s="3"/>
      <c r="HB664" s="3"/>
      <c r="HC664" s="3"/>
      <c r="HD664" s="3"/>
      <c r="HE664" s="3"/>
      <c r="HF664" s="3"/>
      <c r="HG664" s="3"/>
      <c r="HH664" s="3"/>
      <c r="HI664" s="3"/>
      <c r="HJ664" s="3"/>
      <c r="HK664" s="130"/>
      <c r="HL664" s="130"/>
      <c r="HM664" s="130"/>
      <c r="HN664" s="130"/>
      <c r="HO664" s="130"/>
      <c r="HP664" s="130"/>
      <c r="HQ664" s="130"/>
      <c r="HR664" s="130"/>
      <c r="HS664" s="3"/>
      <c r="HT664" s="3"/>
      <c r="HU664" s="3"/>
      <c r="HV664" s="3"/>
      <c r="HW664" s="3"/>
      <c r="HX664" s="3"/>
      <c r="HY664" s="3"/>
      <c r="HZ664" s="3"/>
      <c r="IA664" s="3"/>
      <c r="IB664" s="3"/>
      <c r="IC664" s="3"/>
      <c r="ID664" s="3"/>
      <c r="IE664" s="3"/>
      <c r="IF664" s="3"/>
      <c r="IG664" s="3"/>
      <c r="IH664" s="3"/>
      <c r="II664" s="130"/>
      <c r="IJ664" s="130"/>
      <c r="IK664" s="130"/>
      <c r="IL664" s="130"/>
      <c r="IM664" s="130"/>
      <c r="IN664" s="130"/>
      <c r="IO664" s="130"/>
      <c r="IP664" s="130"/>
      <c r="IQ664" s="3"/>
      <c r="IR664" s="3"/>
      <c r="IS664" s="3"/>
      <c r="IT664" s="3"/>
      <c r="IU664" s="3"/>
      <c r="IV664" s="3"/>
    </row>
    <row r="665" spans="1:256" s="125" customFormat="1">
      <c r="A665" s="76">
        <v>20</v>
      </c>
      <c r="B665" s="237"/>
      <c r="C665" s="18"/>
      <c r="D665" s="19" t="s">
        <v>841</v>
      </c>
      <c r="E665" s="20">
        <v>5</v>
      </c>
      <c r="F665" s="57" t="s">
        <v>861</v>
      </c>
      <c r="G665" s="58"/>
      <c r="H665" s="121"/>
      <c r="I665" s="24">
        <v>1884952</v>
      </c>
      <c r="J665" s="24"/>
      <c r="K665" s="24">
        <f t="shared" si="61"/>
        <v>1884952</v>
      </c>
      <c r="L665" s="123"/>
      <c r="M665" s="24"/>
      <c r="N665" s="129">
        <f t="shared" si="62"/>
        <v>1884952</v>
      </c>
      <c r="O665" s="108"/>
      <c r="P665" s="3"/>
      <c r="Q665" s="140"/>
      <c r="R665" s="3"/>
      <c r="S665" s="3"/>
      <c r="T665" s="3"/>
      <c r="U665" s="3"/>
      <c r="V665" s="3"/>
      <c r="W665" s="3"/>
      <c r="X665" s="3"/>
      <c r="Y665" s="3"/>
      <c r="Z665" s="3"/>
      <c r="AA665" s="130"/>
      <c r="AB665" s="130"/>
      <c r="AC665" s="130"/>
      <c r="AD665" s="130"/>
      <c r="AE665" s="130"/>
      <c r="AF665" s="130"/>
      <c r="AG665" s="130"/>
      <c r="AH665" s="130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130"/>
      <c r="AZ665" s="130"/>
      <c r="BA665" s="130"/>
      <c r="BB665" s="130"/>
      <c r="BC665" s="130"/>
      <c r="BD665" s="130"/>
      <c r="BE665" s="130"/>
      <c r="BF665" s="130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130"/>
      <c r="BX665" s="130"/>
      <c r="BY665" s="130"/>
      <c r="BZ665" s="130"/>
      <c r="CA665" s="130"/>
      <c r="CB665" s="130"/>
      <c r="CC665" s="130"/>
      <c r="CD665" s="130"/>
      <c r="CE665" s="3"/>
      <c r="CF665" s="3"/>
      <c r="CG665" s="3"/>
      <c r="CH665" s="3"/>
      <c r="CI665" s="3"/>
      <c r="CJ665" s="3"/>
      <c r="CK665" s="3"/>
      <c r="CL665" s="3"/>
      <c r="CM665" s="3"/>
      <c r="CN665" s="3"/>
      <c r="CO665" s="3"/>
      <c r="CP665" s="3"/>
      <c r="CQ665" s="3"/>
      <c r="CR665" s="3"/>
      <c r="CS665" s="3"/>
      <c r="CT665" s="3"/>
      <c r="CU665" s="130"/>
      <c r="CV665" s="130"/>
      <c r="CW665" s="130"/>
      <c r="CX665" s="130"/>
      <c r="CY665" s="130"/>
      <c r="CZ665" s="130"/>
      <c r="DA665" s="130"/>
      <c r="DB665" s="130"/>
      <c r="DC665" s="3"/>
      <c r="DD665" s="3"/>
      <c r="DE665" s="3"/>
      <c r="DF665" s="3"/>
      <c r="DG665" s="3"/>
      <c r="DH665" s="3"/>
      <c r="DI665" s="3"/>
      <c r="DJ665" s="3"/>
      <c r="DK665" s="3"/>
      <c r="DL665" s="3"/>
      <c r="DM665" s="3"/>
      <c r="DN665" s="3"/>
      <c r="DO665" s="3"/>
      <c r="DP665" s="3"/>
      <c r="DQ665" s="3"/>
      <c r="DR665" s="3"/>
      <c r="DS665" s="130"/>
      <c r="DT665" s="130"/>
      <c r="DU665" s="130"/>
      <c r="DV665" s="130"/>
      <c r="DW665" s="130"/>
      <c r="DX665" s="130"/>
      <c r="DY665" s="130"/>
      <c r="DZ665" s="130"/>
      <c r="EA665" s="3"/>
      <c r="EB665" s="3"/>
      <c r="EC665" s="3"/>
      <c r="ED665" s="3"/>
      <c r="EE665" s="3"/>
      <c r="EF665" s="3"/>
      <c r="EG665" s="3"/>
      <c r="EH665" s="3"/>
      <c r="EI665" s="3"/>
      <c r="EJ665" s="3"/>
      <c r="EK665" s="3"/>
      <c r="EL665" s="3"/>
      <c r="EM665" s="3"/>
      <c r="EN665" s="3"/>
      <c r="EO665" s="3"/>
      <c r="EP665" s="3"/>
      <c r="EQ665" s="130"/>
      <c r="ER665" s="130"/>
      <c r="ES665" s="130"/>
      <c r="ET665" s="130"/>
      <c r="EU665" s="130"/>
      <c r="EV665" s="130"/>
      <c r="EW665" s="130"/>
      <c r="EX665" s="130"/>
      <c r="EY665" s="3"/>
      <c r="EZ665" s="3"/>
      <c r="FA665" s="3"/>
      <c r="FB665" s="3"/>
      <c r="FC665" s="3"/>
      <c r="FD665" s="3"/>
      <c r="FE665" s="3"/>
      <c r="FF665" s="3"/>
      <c r="FG665" s="3"/>
      <c r="FH665" s="3"/>
      <c r="FI665" s="3"/>
      <c r="FJ665" s="3"/>
      <c r="FK665" s="3"/>
      <c r="FL665" s="3"/>
      <c r="FM665" s="3"/>
      <c r="FN665" s="3"/>
      <c r="FO665" s="130"/>
      <c r="FP665" s="130"/>
      <c r="FQ665" s="130"/>
      <c r="FR665" s="130"/>
      <c r="FS665" s="130"/>
      <c r="FT665" s="130"/>
      <c r="FU665" s="130"/>
      <c r="FV665" s="130"/>
      <c r="FW665" s="3"/>
      <c r="FX665" s="3"/>
      <c r="FY665" s="3"/>
      <c r="FZ665" s="3"/>
      <c r="GA665" s="3"/>
      <c r="GB665" s="3"/>
      <c r="GC665" s="3"/>
      <c r="GD665" s="3"/>
      <c r="GE665" s="3"/>
      <c r="GF665" s="3"/>
      <c r="GG665" s="3"/>
      <c r="GH665" s="3"/>
      <c r="GI665" s="3"/>
      <c r="GJ665" s="3"/>
      <c r="GK665" s="3"/>
      <c r="GL665" s="3"/>
      <c r="GM665" s="130"/>
      <c r="GN665" s="130"/>
      <c r="GO665" s="130"/>
      <c r="GP665" s="130"/>
      <c r="GQ665" s="130"/>
      <c r="GR665" s="130"/>
      <c r="GS665" s="130"/>
      <c r="GT665" s="130"/>
      <c r="GU665" s="3"/>
      <c r="GV665" s="3"/>
      <c r="GW665" s="3"/>
      <c r="GX665" s="3"/>
      <c r="GY665" s="3"/>
      <c r="GZ665" s="3"/>
      <c r="HA665" s="3"/>
      <c r="HB665" s="3"/>
      <c r="HC665" s="3"/>
      <c r="HD665" s="3"/>
      <c r="HE665" s="3"/>
      <c r="HF665" s="3"/>
      <c r="HG665" s="3"/>
      <c r="HH665" s="3"/>
      <c r="HI665" s="3"/>
      <c r="HJ665" s="3"/>
      <c r="HK665" s="130"/>
      <c r="HL665" s="130"/>
      <c r="HM665" s="130"/>
      <c r="HN665" s="130"/>
      <c r="HO665" s="130"/>
      <c r="HP665" s="130"/>
      <c r="HQ665" s="130"/>
      <c r="HR665" s="130"/>
      <c r="HS665" s="3"/>
      <c r="HT665" s="3"/>
      <c r="HU665" s="3"/>
      <c r="HV665" s="3"/>
      <c r="HW665" s="3"/>
      <c r="HX665" s="3"/>
      <c r="HY665" s="3"/>
      <c r="HZ665" s="3"/>
      <c r="IA665" s="3"/>
      <c r="IB665" s="3"/>
      <c r="IC665" s="3"/>
      <c r="ID665" s="3"/>
      <c r="IE665" s="3"/>
      <c r="IF665" s="3"/>
      <c r="IG665" s="3"/>
      <c r="IH665" s="3"/>
      <c r="II665" s="130"/>
      <c r="IJ665" s="130"/>
      <c r="IK665" s="130"/>
      <c r="IL665" s="130"/>
      <c r="IM665" s="130"/>
      <c r="IN665" s="130"/>
      <c r="IO665" s="130"/>
      <c r="IP665" s="130"/>
      <c r="IQ665" s="3"/>
      <c r="IR665" s="3"/>
      <c r="IS665" s="3"/>
      <c r="IT665" s="3"/>
      <c r="IU665" s="3"/>
      <c r="IV665" s="3"/>
    </row>
    <row r="666" spans="1:256" s="125" customFormat="1">
      <c r="A666" s="76">
        <v>21</v>
      </c>
      <c r="B666" s="237"/>
      <c r="C666" s="18"/>
      <c r="D666" s="19" t="s">
        <v>841</v>
      </c>
      <c r="E666" s="20">
        <v>5</v>
      </c>
      <c r="F666" s="57" t="s">
        <v>862</v>
      </c>
      <c r="G666" s="58"/>
      <c r="H666" s="121"/>
      <c r="I666" s="24">
        <v>1884952</v>
      </c>
      <c r="J666" s="24"/>
      <c r="K666" s="24">
        <f t="shared" si="61"/>
        <v>1884952</v>
      </c>
      <c r="L666" s="123"/>
      <c r="M666" s="24"/>
      <c r="N666" s="129">
        <f t="shared" si="62"/>
        <v>1884952</v>
      </c>
      <c r="O666" s="108"/>
      <c r="P666" s="3"/>
      <c r="Q666" s="140"/>
      <c r="R666" s="3"/>
      <c r="S666" s="3"/>
      <c r="T666" s="3"/>
      <c r="U666" s="3"/>
      <c r="V666" s="3"/>
      <c r="W666" s="3"/>
      <c r="X666" s="3"/>
      <c r="Y666" s="3"/>
      <c r="Z666" s="3"/>
      <c r="AA666" s="130"/>
      <c r="AB666" s="130"/>
      <c r="AC666" s="130"/>
      <c r="AD666" s="130"/>
      <c r="AE666" s="130"/>
      <c r="AF666" s="130"/>
      <c r="AG666" s="130"/>
      <c r="AH666" s="130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130"/>
      <c r="AZ666" s="130"/>
      <c r="BA666" s="130"/>
      <c r="BB666" s="130"/>
      <c r="BC666" s="130"/>
      <c r="BD666" s="130"/>
      <c r="BE666" s="130"/>
      <c r="BF666" s="130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130"/>
      <c r="BX666" s="130"/>
      <c r="BY666" s="130"/>
      <c r="BZ666" s="130"/>
      <c r="CA666" s="130"/>
      <c r="CB666" s="130"/>
      <c r="CC666" s="130"/>
      <c r="CD666" s="130"/>
      <c r="CE666" s="3"/>
      <c r="CF666" s="3"/>
      <c r="CG666" s="3"/>
      <c r="CH666" s="3"/>
      <c r="CI666" s="3"/>
      <c r="CJ666" s="3"/>
      <c r="CK666" s="3"/>
      <c r="CL666" s="3"/>
      <c r="CM666" s="3"/>
      <c r="CN666" s="3"/>
      <c r="CO666" s="3"/>
      <c r="CP666" s="3"/>
      <c r="CQ666" s="3"/>
      <c r="CR666" s="3"/>
      <c r="CS666" s="3"/>
      <c r="CT666" s="3"/>
      <c r="CU666" s="130"/>
      <c r="CV666" s="130"/>
      <c r="CW666" s="130"/>
      <c r="CX666" s="130"/>
      <c r="CY666" s="130"/>
      <c r="CZ666" s="130"/>
      <c r="DA666" s="130"/>
      <c r="DB666" s="130"/>
      <c r="DC666" s="3"/>
      <c r="DD666" s="3"/>
      <c r="DE666" s="3"/>
      <c r="DF666" s="3"/>
      <c r="DG666" s="3"/>
      <c r="DH666" s="3"/>
      <c r="DI666" s="3"/>
      <c r="DJ666" s="3"/>
      <c r="DK666" s="3"/>
      <c r="DL666" s="3"/>
      <c r="DM666" s="3"/>
      <c r="DN666" s="3"/>
      <c r="DO666" s="3"/>
      <c r="DP666" s="3"/>
      <c r="DQ666" s="3"/>
      <c r="DR666" s="3"/>
      <c r="DS666" s="130"/>
      <c r="DT666" s="130"/>
      <c r="DU666" s="130"/>
      <c r="DV666" s="130"/>
      <c r="DW666" s="130"/>
      <c r="DX666" s="130"/>
      <c r="DY666" s="130"/>
      <c r="DZ666" s="130"/>
      <c r="EA666" s="3"/>
      <c r="EB666" s="3"/>
      <c r="EC666" s="3"/>
      <c r="ED666" s="3"/>
      <c r="EE666" s="3"/>
      <c r="EF666" s="3"/>
      <c r="EG666" s="3"/>
      <c r="EH666" s="3"/>
      <c r="EI666" s="3"/>
      <c r="EJ666" s="3"/>
      <c r="EK666" s="3"/>
      <c r="EL666" s="3"/>
      <c r="EM666" s="3"/>
      <c r="EN666" s="3"/>
      <c r="EO666" s="3"/>
      <c r="EP666" s="3"/>
      <c r="EQ666" s="130"/>
      <c r="ER666" s="130"/>
      <c r="ES666" s="130"/>
      <c r="ET666" s="130"/>
      <c r="EU666" s="130"/>
      <c r="EV666" s="130"/>
      <c r="EW666" s="130"/>
      <c r="EX666" s="130"/>
      <c r="EY666" s="3"/>
      <c r="EZ666" s="3"/>
      <c r="FA666" s="3"/>
      <c r="FB666" s="3"/>
      <c r="FC666" s="3"/>
      <c r="FD666" s="3"/>
      <c r="FE666" s="3"/>
      <c r="FF666" s="3"/>
      <c r="FG666" s="3"/>
      <c r="FH666" s="3"/>
      <c r="FI666" s="3"/>
      <c r="FJ666" s="3"/>
      <c r="FK666" s="3"/>
      <c r="FL666" s="3"/>
      <c r="FM666" s="3"/>
      <c r="FN666" s="3"/>
      <c r="FO666" s="130"/>
      <c r="FP666" s="130"/>
      <c r="FQ666" s="130"/>
      <c r="FR666" s="130"/>
      <c r="FS666" s="130"/>
      <c r="FT666" s="130"/>
      <c r="FU666" s="130"/>
      <c r="FV666" s="130"/>
      <c r="FW666" s="3"/>
      <c r="FX666" s="3"/>
      <c r="FY666" s="3"/>
      <c r="FZ666" s="3"/>
      <c r="GA666" s="3"/>
      <c r="GB666" s="3"/>
      <c r="GC666" s="3"/>
      <c r="GD666" s="3"/>
      <c r="GE666" s="3"/>
      <c r="GF666" s="3"/>
      <c r="GG666" s="3"/>
      <c r="GH666" s="3"/>
      <c r="GI666" s="3"/>
      <c r="GJ666" s="3"/>
      <c r="GK666" s="3"/>
      <c r="GL666" s="3"/>
      <c r="GM666" s="130"/>
      <c r="GN666" s="130"/>
      <c r="GO666" s="130"/>
      <c r="GP666" s="130"/>
      <c r="GQ666" s="130"/>
      <c r="GR666" s="130"/>
      <c r="GS666" s="130"/>
      <c r="GT666" s="130"/>
      <c r="GU666" s="3"/>
      <c r="GV666" s="3"/>
      <c r="GW666" s="3"/>
      <c r="GX666" s="3"/>
      <c r="GY666" s="3"/>
      <c r="GZ666" s="3"/>
      <c r="HA666" s="3"/>
      <c r="HB666" s="3"/>
      <c r="HC666" s="3"/>
      <c r="HD666" s="3"/>
      <c r="HE666" s="3"/>
      <c r="HF666" s="3"/>
      <c r="HG666" s="3"/>
      <c r="HH666" s="3"/>
      <c r="HI666" s="3"/>
      <c r="HJ666" s="3"/>
      <c r="HK666" s="130"/>
      <c r="HL666" s="130"/>
      <c r="HM666" s="130"/>
      <c r="HN666" s="130"/>
      <c r="HO666" s="130"/>
      <c r="HP666" s="130"/>
      <c r="HQ666" s="130"/>
      <c r="HR666" s="130"/>
      <c r="HS666" s="3"/>
      <c r="HT666" s="3"/>
      <c r="HU666" s="3"/>
      <c r="HV666" s="3"/>
      <c r="HW666" s="3"/>
      <c r="HX666" s="3"/>
      <c r="HY666" s="3"/>
      <c r="HZ666" s="3"/>
      <c r="IA666" s="3"/>
      <c r="IB666" s="3"/>
      <c r="IC666" s="3"/>
      <c r="ID666" s="3"/>
      <c r="IE666" s="3"/>
      <c r="IF666" s="3"/>
      <c r="IG666" s="3"/>
      <c r="IH666" s="3"/>
      <c r="II666" s="130"/>
      <c r="IJ666" s="130"/>
      <c r="IK666" s="130"/>
      <c r="IL666" s="130"/>
      <c r="IM666" s="130"/>
      <c r="IN666" s="130"/>
      <c r="IO666" s="130"/>
      <c r="IP666" s="130"/>
      <c r="IQ666" s="3"/>
      <c r="IR666" s="3"/>
      <c r="IS666" s="3"/>
      <c r="IT666" s="3"/>
      <c r="IU666" s="3"/>
      <c r="IV666" s="3"/>
    </row>
    <row r="667" spans="1:256" s="125" customFormat="1">
      <c r="A667" s="76">
        <v>22</v>
      </c>
      <c r="B667" s="237"/>
      <c r="C667" s="18"/>
      <c r="D667" s="19" t="s">
        <v>841</v>
      </c>
      <c r="E667" s="20">
        <v>5</v>
      </c>
      <c r="F667" s="82" t="s">
        <v>863</v>
      </c>
      <c r="G667" s="58"/>
      <c r="H667" s="121"/>
      <c r="I667" s="24">
        <v>1884952</v>
      </c>
      <c r="J667" s="24"/>
      <c r="K667" s="24">
        <f t="shared" si="61"/>
        <v>1884952</v>
      </c>
      <c r="L667" s="123"/>
      <c r="M667" s="24"/>
      <c r="N667" s="129">
        <f t="shared" si="62"/>
        <v>1884952</v>
      </c>
      <c r="O667" s="264"/>
      <c r="P667" s="3"/>
      <c r="Q667" s="140"/>
      <c r="R667" s="3"/>
      <c r="S667" s="3"/>
      <c r="T667" s="3"/>
      <c r="U667" s="3"/>
      <c r="V667" s="3"/>
      <c r="W667" s="3"/>
      <c r="X667" s="3"/>
      <c r="Y667" s="3"/>
      <c r="Z667" s="3"/>
      <c r="AA667" s="130"/>
      <c r="AB667" s="130"/>
      <c r="AC667" s="130"/>
      <c r="AD667" s="130"/>
      <c r="AE667" s="130"/>
      <c r="AF667" s="130"/>
      <c r="AG667" s="130"/>
      <c r="AH667" s="130"/>
      <c r="AI667" s="3"/>
      <c r="AJ667" s="3"/>
      <c r="AK667" s="3"/>
      <c r="AY667" s="167"/>
      <c r="AZ667" s="167"/>
      <c r="BA667" s="167"/>
      <c r="BB667" s="167"/>
      <c r="BC667" s="167"/>
      <c r="BD667" s="167"/>
      <c r="BE667" s="167"/>
      <c r="BF667" s="167"/>
      <c r="BW667" s="167"/>
      <c r="BX667" s="167"/>
      <c r="BY667" s="167"/>
      <c r="BZ667" s="167"/>
      <c r="CA667" s="167"/>
      <c r="CB667" s="167"/>
      <c r="CC667" s="167"/>
      <c r="CD667" s="167"/>
      <c r="CU667" s="167"/>
      <c r="CV667" s="167"/>
      <c r="CW667" s="167"/>
      <c r="CX667" s="167"/>
      <c r="CY667" s="167"/>
      <c r="CZ667" s="167"/>
      <c r="DA667" s="167"/>
      <c r="DB667" s="167"/>
      <c r="DS667" s="167"/>
      <c r="DT667" s="167"/>
      <c r="DU667" s="167"/>
      <c r="DV667" s="167"/>
      <c r="DW667" s="167"/>
      <c r="DX667" s="167"/>
      <c r="DY667" s="167"/>
      <c r="DZ667" s="167"/>
      <c r="EQ667" s="167"/>
      <c r="ER667" s="167"/>
      <c r="ES667" s="167"/>
      <c r="ET667" s="167"/>
      <c r="EU667" s="167"/>
      <c r="EV667" s="167"/>
      <c r="EW667" s="167"/>
      <c r="EX667" s="167"/>
      <c r="FO667" s="167"/>
      <c r="FP667" s="167"/>
      <c r="FQ667" s="167"/>
      <c r="FR667" s="167"/>
      <c r="FS667" s="167"/>
      <c r="FT667" s="167"/>
      <c r="FU667" s="167"/>
      <c r="FV667" s="167"/>
      <c r="GM667" s="167"/>
      <c r="GN667" s="167"/>
      <c r="GO667" s="167"/>
      <c r="GP667" s="167"/>
      <c r="GQ667" s="167"/>
      <c r="GR667" s="167"/>
      <c r="GS667" s="167"/>
      <c r="GT667" s="167"/>
      <c r="HK667" s="167"/>
      <c r="HL667" s="167"/>
      <c r="HM667" s="167"/>
      <c r="HN667" s="167"/>
      <c r="HO667" s="167"/>
      <c r="HP667" s="167"/>
      <c r="HQ667" s="167"/>
      <c r="HR667" s="167"/>
      <c r="II667" s="167"/>
      <c r="IJ667" s="167"/>
      <c r="IK667" s="167"/>
      <c r="IL667" s="167"/>
      <c r="IM667" s="167"/>
      <c r="IN667" s="167"/>
      <c r="IO667" s="167"/>
      <c r="IP667" s="167"/>
    </row>
    <row r="668" spans="1:256" s="125" customFormat="1">
      <c r="A668" s="76">
        <v>23</v>
      </c>
      <c r="B668" s="237"/>
      <c r="C668" s="18"/>
      <c r="D668" s="19" t="s">
        <v>841</v>
      </c>
      <c r="E668" s="20">
        <v>5</v>
      </c>
      <c r="F668" s="82" t="s">
        <v>864</v>
      </c>
      <c r="G668" s="58"/>
      <c r="H668" s="121"/>
      <c r="I668" s="24">
        <v>2190476</v>
      </c>
      <c r="J668" s="24"/>
      <c r="K668" s="24">
        <f t="shared" si="61"/>
        <v>2190476</v>
      </c>
      <c r="L668" s="123"/>
      <c r="M668" s="24"/>
      <c r="N668" s="129">
        <f t="shared" si="62"/>
        <v>2190476</v>
      </c>
      <c r="O668" s="108"/>
      <c r="P668" s="3"/>
      <c r="Q668" s="140"/>
      <c r="R668" s="3"/>
      <c r="S668" s="3"/>
      <c r="T668" s="3"/>
      <c r="U668" s="3"/>
      <c r="V668" s="3"/>
      <c r="W668" s="3"/>
      <c r="X668" s="3"/>
      <c r="Y668" s="131"/>
      <c r="Z668" s="15"/>
      <c r="AA668" s="99"/>
      <c r="AB668" s="149"/>
      <c r="AC668" s="134"/>
      <c r="AD668" s="134"/>
      <c r="AE668" s="137"/>
      <c r="AF668" s="150"/>
      <c r="AG668" s="137"/>
      <c r="AH668" s="137"/>
      <c r="AI668" s="3"/>
      <c r="AJ668" s="138"/>
      <c r="AK668" s="2"/>
      <c r="AL668" s="139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131"/>
      <c r="AX668" s="15"/>
      <c r="AY668" s="99"/>
      <c r="AZ668" s="149"/>
      <c r="BA668" s="134"/>
      <c r="BB668" s="134"/>
      <c r="BC668" s="137"/>
      <c r="BD668" s="150"/>
      <c r="BE668" s="137"/>
      <c r="BF668" s="137"/>
      <c r="BG668" s="3"/>
      <c r="BH668" s="138"/>
      <c r="BI668" s="2"/>
      <c r="BJ668" s="139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131"/>
      <c r="BV668" s="15"/>
      <c r="BW668" s="99"/>
      <c r="BX668" s="149"/>
      <c r="BY668" s="134"/>
      <c r="BZ668" s="134"/>
      <c r="CA668" s="137"/>
      <c r="CB668" s="150"/>
      <c r="CC668" s="137"/>
      <c r="CD668" s="137"/>
      <c r="CE668" s="3"/>
      <c r="CF668" s="138"/>
      <c r="CG668" s="2"/>
      <c r="CH668" s="139"/>
      <c r="CI668" s="3"/>
      <c r="CJ668" s="3"/>
      <c r="CK668" s="3"/>
      <c r="CL668" s="3"/>
      <c r="CM668" s="3"/>
      <c r="CN668" s="3"/>
      <c r="CO668" s="3"/>
      <c r="CP668" s="3"/>
      <c r="CQ668" s="3"/>
      <c r="CR668" s="3"/>
      <c r="CS668" s="131"/>
      <c r="CT668" s="15"/>
      <c r="CU668" s="99"/>
      <c r="CV668" s="149"/>
      <c r="CW668" s="134"/>
      <c r="CX668" s="134"/>
      <c r="CY668" s="137"/>
      <c r="CZ668" s="150"/>
      <c r="DA668" s="137"/>
      <c r="DB668" s="137"/>
      <c r="DC668" s="3"/>
      <c r="DD668" s="138"/>
      <c r="DE668" s="2"/>
      <c r="DF668" s="139"/>
      <c r="DG668" s="3"/>
      <c r="DH668" s="3"/>
      <c r="DI668" s="3"/>
      <c r="DJ668" s="3"/>
      <c r="DK668" s="3"/>
      <c r="DL668" s="3"/>
      <c r="DM668" s="3"/>
      <c r="DN668" s="3"/>
      <c r="DO668" s="3"/>
      <c r="DP668" s="3"/>
      <c r="DQ668" s="131"/>
      <c r="DR668" s="15"/>
      <c r="DS668" s="99"/>
      <c r="DT668" s="149"/>
      <c r="DU668" s="134"/>
      <c r="DV668" s="134"/>
      <c r="DW668" s="137"/>
      <c r="DX668" s="150"/>
      <c r="DY668" s="137"/>
      <c r="DZ668" s="137"/>
      <c r="EA668" s="3"/>
      <c r="EB668" s="138"/>
      <c r="EC668" s="2"/>
      <c r="ED668" s="139"/>
      <c r="EE668" s="3"/>
      <c r="EF668" s="3"/>
      <c r="EG668" s="3"/>
      <c r="EH668" s="3"/>
      <c r="EI668" s="3"/>
      <c r="EJ668" s="3"/>
      <c r="EK668" s="3"/>
      <c r="EL668" s="3"/>
      <c r="EM668" s="3"/>
      <c r="EN668" s="3"/>
      <c r="EO668" s="131"/>
      <c r="EP668" s="15"/>
      <c r="EQ668" s="99"/>
      <c r="ER668" s="149"/>
      <c r="ES668" s="134"/>
      <c r="ET668" s="134"/>
      <c r="EU668" s="137"/>
      <c r="EV668" s="150"/>
      <c r="EW668" s="137"/>
      <c r="EX668" s="137"/>
      <c r="EY668" s="3"/>
      <c r="EZ668" s="138"/>
      <c r="FA668" s="2"/>
      <c r="FB668" s="139"/>
      <c r="FC668" s="3"/>
      <c r="FD668" s="3"/>
      <c r="FE668" s="3"/>
      <c r="FF668" s="3"/>
      <c r="FG668" s="3"/>
      <c r="FH668" s="3"/>
      <c r="FI668" s="3"/>
      <c r="FJ668" s="3"/>
      <c r="FK668" s="3"/>
      <c r="FL668" s="3"/>
      <c r="FM668" s="131"/>
      <c r="FN668" s="15"/>
      <c r="FO668" s="99"/>
      <c r="FP668" s="149"/>
      <c r="FQ668" s="134"/>
      <c r="FR668" s="134"/>
      <c r="FS668" s="137"/>
      <c r="FT668" s="150"/>
      <c r="FU668" s="137"/>
      <c r="FV668" s="137"/>
      <c r="FW668" s="3"/>
      <c r="FX668" s="138"/>
      <c r="FY668" s="2"/>
      <c r="FZ668" s="139"/>
      <c r="GA668" s="3"/>
      <c r="GB668" s="3"/>
      <c r="GC668" s="3"/>
      <c r="GD668" s="3"/>
      <c r="GE668" s="3"/>
      <c r="GF668" s="3"/>
      <c r="GG668" s="3"/>
      <c r="GH668" s="3"/>
      <c r="GI668" s="3"/>
      <c r="GJ668" s="3"/>
      <c r="GK668" s="131"/>
      <c r="GL668" s="15"/>
      <c r="GM668" s="99"/>
      <c r="GN668" s="149"/>
      <c r="GO668" s="134"/>
      <c r="GP668" s="134"/>
      <c r="GQ668" s="137"/>
      <c r="GR668" s="150"/>
      <c r="GS668" s="137"/>
      <c r="GT668" s="137"/>
      <c r="GU668" s="3"/>
      <c r="GV668" s="138"/>
      <c r="GW668" s="2"/>
      <c r="GX668" s="139"/>
      <c r="GY668" s="3"/>
      <c r="GZ668" s="3"/>
      <c r="HA668" s="3"/>
      <c r="HB668" s="3"/>
      <c r="HC668" s="3"/>
      <c r="HD668" s="3"/>
      <c r="HE668" s="3"/>
      <c r="HF668" s="3"/>
      <c r="HG668" s="3"/>
      <c r="HH668" s="3"/>
      <c r="HI668" s="131"/>
      <c r="HJ668" s="15"/>
      <c r="HK668" s="99"/>
      <c r="HL668" s="149"/>
      <c r="HM668" s="134"/>
      <c r="HN668" s="134"/>
      <c r="HO668" s="137"/>
      <c r="HP668" s="150"/>
      <c r="HQ668" s="137"/>
      <c r="HR668" s="137"/>
      <c r="HS668" s="3"/>
      <c r="HT668" s="138"/>
      <c r="HU668" s="2"/>
      <c r="HV668" s="139"/>
      <c r="HW668" s="3"/>
      <c r="HX668" s="3"/>
      <c r="HY668" s="3"/>
      <c r="HZ668" s="3"/>
      <c r="IA668" s="3"/>
      <c r="IB668" s="3"/>
      <c r="IC668" s="3"/>
      <c r="ID668" s="3"/>
      <c r="IE668" s="3"/>
      <c r="IF668" s="3"/>
      <c r="IG668" s="131"/>
      <c r="IH668" s="15"/>
      <c r="II668" s="99"/>
      <c r="IJ668" s="149"/>
      <c r="IK668" s="134"/>
      <c r="IL668" s="134"/>
      <c r="IM668" s="137"/>
      <c r="IN668" s="150"/>
      <c r="IO668" s="137"/>
      <c r="IP668" s="137"/>
      <c r="IQ668" s="3"/>
      <c r="IR668" s="138"/>
      <c r="IS668" s="2"/>
      <c r="IT668" s="139"/>
      <c r="IU668" s="3"/>
      <c r="IV668" s="3"/>
    </row>
    <row r="669" spans="1:256" s="125" customFormat="1">
      <c r="A669" s="76">
        <v>24</v>
      </c>
      <c r="B669" s="237"/>
      <c r="C669" s="18"/>
      <c r="D669" s="19" t="s">
        <v>841</v>
      </c>
      <c r="E669" s="20">
        <v>5</v>
      </c>
      <c r="F669" s="82" t="s">
        <v>865</v>
      </c>
      <c r="G669" s="58"/>
      <c r="H669" s="121"/>
      <c r="I669" s="24">
        <v>2190476</v>
      </c>
      <c r="J669" s="24"/>
      <c r="K669" s="199">
        <f t="shared" si="61"/>
        <v>2190476</v>
      </c>
      <c r="L669" s="26"/>
      <c r="M669" s="24"/>
      <c r="N669" s="129">
        <f t="shared" si="62"/>
        <v>2190476</v>
      </c>
      <c r="O669" s="108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130"/>
      <c r="AB669" s="130"/>
      <c r="AC669" s="130"/>
      <c r="AD669" s="130"/>
      <c r="AE669" s="130"/>
      <c r="AF669" s="167"/>
      <c r="AG669" s="167"/>
      <c r="AH669" s="167"/>
      <c r="AY669" s="167"/>
      <c r="AZ669" s="167"/>
      <c r="BA669" s="167"/>
      <c r="BB669" s="167"/>
      <c r="BC669" s="167"/>
      <c r="BD669" s="167"/>
      <c r="BE669" s="167"/>
      <c r="BF669" s="167"/>
      <c r="BW669" s="167"/>
      <c r="BX669" s="167"/>
      <c r="BY669" s="167"/>
      <c r="BZ669" s="167"/>
      <c r="CA669" s="167"/>
      <c r="CB669" s="167"/>
      <c r="CC669" s="167"/>
      <c r="CD669" s="167"/>
      <c r="CU669" s="167"/>
      <c r="CV669" s="167"/>
      <c r="CW669" s="167"/>
      <c r="CX669" s="167"/>
      <c r="CY669" s="167"/>
      <c r="CZ669" s="167"/>
      <c r="DA669" s="167"/>
      <c r="DB669" s="167"/>
      <c r="DS669" s="167"/>
      <c r="DT669" s="167"/>
      <c r="DU669" s="167"/>
      <c r="DV669" s="167"/>
      <c r="DW669" s="167"/>
      <c r="DX669" s="167"/>
      <c r="DY669" s="167"/>
      <c r="DZ669" s="167"/>
      <c r="EQ669" s="167"/>
      <c r="ER669" s="167"/>
      <c r="ES669" s="167"/>
      <c r="ET669" s="167"/>
      <c r="EU669" s="167"/>
      <c r="EV669" s="167"/>
      <c r="EW669" s="167"/>
      <c r="EX669" s="167"/>
      <c r="FO669" s="167"/>
      <c r="FP669" s="167"/>
      <c r="FQ669" s="167"/>
      <c r="FR669" s="167"/>
      <c r="FS669" s="167"/>
      <c r="FT669" s="167"/>
      <c r="FU669" s="167"/>
      <c r="FV669" s="167"/>
      <c r="GM669" s="167"/>
      <c r="GN669" s="167"/>
      <c r="GO669" s="167"/>
      <c r="GP669" s="167"/>
      <c r="GQ669" s="167"/>
      <c r="GR669" s="167"/>
      <c r="GS669" s="167"/>
      <c r="GT669" s="167"/>
      <c r="HK669" s="167"/>
      <c r="HL669" s="167"/>
      <c r="HM669" s="167"/>
      <c r="HN669" s="167"/>
      <c r="HO669" s="167"/>
      <c r="HP669" s="167"/>
      <c r="HQ669" s="167"/>
      <c r="HR669" s="167"/>
      <c r="II669" s="167"/>
      <c r="IJ669" s="167"/>
      <c r="IK669" s="167"/>
      <c r="IL669" s="167"/>
      <c r="IM669" s="167"/>
      <c r="IN669" s="167"/>
      <c r="IO669" s="167"/>
      <c r="IP669" s="167"/>
    </row>
    <row r="670" spans="1:256" s="125" customFormat="1">
      <c r="A670" s="76">
        <v>25</v>
      </c>
      <c r="B670" s="237"/>
      <c r="C670" s="18"/>
      <c r="D670" s="19" t="s">
        <v>841</v>
      </c>
      <c r="E670" s="20">
        <v>5</v>
      </c>
      <c r="F670" s="82" t="s">
        <v>866</v>
      </c>
      <c r="G670" s="58"/>
      <c r="H670" s="121"/>
      <c r="I670" s="24">
        <v>1884952</v>
      </c>
      <c r="J670" s="24"/>
      <c r="K670" s="24">
        <f t="shared" si="61"/>
        <v>1884952</v>
      </c>
      <c r="L670" s="123"/>
      <c r="M670" s="24"/>
      <c r="N670" s="129">
        <f t="shared" si="62"/>
        <v>1884952</v>
      </c>
      <c r="O670" s="108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130"/>
      <c r="AB670" s="130"/>
      <c r="AC670" s="130"/>
      <c r="AD670" s="130"/>
      <c r="AE670" s="130"/>
      <c r="AF670" s="167"/>
      <c r="AG670" s="167"/>
      <c r="AH670" s="167"/>
      <c r="AY670" s="167"/>
      <c r="AZ670" s="167"/>
      <c r="BA670" s="167"/>
      <c r="BB670" s="167"/>
      <c r="BC670" s="167"/>
      <c r="BD670" s="167"/>
      <c r="BE670" s="167"/>
      <c r="BF670" s="167"/>
      <c r="BW670" s="167"/>
      <c r="BX670" s="167"/>
      <c r="BY670" s="167"/>
      <c r="BZ670" s="167"/>
      <c r="CA670" s="167"/>
      <c r="CB670" s="167"/>
      <c r="CC670" s="167"/>
      <c r="CD670" s="167"/>
      <c r="CU670" s="167"/>
      <c r="CV670" s="167"/>
      <c r="CW670" s="167"/>
      <c r="CX670" s="167"/>
      <c r="CY670" s="167"/>
      <c r="CZ670" s="167"/>
      <c r="DA670" s="167"/>
      <c r="DB670" s="167"/>
      <c r="DS670" s="167"/>
      <c r="DT670" s="167"/>
      <c r="DU670" s="167"/>
      <c r="DV670" s="167"/>
      <c r="DW670" s="167"/>
      <c r="DX670" s="167"/>
      <c r="DY670" s="167"/>
      <c r="DZ670" s="167"/>
      <c r="EQ670" s="167"/>
      <c r="ER670" s="167"/>
      <c r="ES670" s="167"/>
      <c r="ET670" s="167"/>
      <c r="EU670" s="167"/>
      <c r="EV670" s="167"/>
      <c r="EW670" s="167"/>
      <c r="EX670" s="167"/>
      <c r="FO670" s="167"/>
      <c r="FP670" s="167"/>
      <c r="FQ670" s="167"/>
      <c r="FR670" s="167"/>
      <c r="FS670" s="167"/>
      <c r="FT670" s="167"/>
      <c r="FU670" s="167"/>
      <c r="FV670" s="167"/>
      <c r="GM670" s="167"/>
      <c r="GN670" s="167"/>
      <c r="GO670" s="167"/>
      <c r="GP670" s="167"/>
      <c r="GQ670" s="167"/>
      <c r="GR670" s="167"/>
      <c r="GS670" s="167"/>
      <c r="GT670" s="167"/>
      <c r="HK670" s="167"/>
      <c r="HL670" s="167"/>
      <c r="HM670" s="167"/>
      <c r="HN670" s="167"/>
      <c r="HO670" s="167"/>
      <c r="HP670" s="167"/>
      <c r="HQ670" s="167"/>
      <c r="HR670" s="167"/>
      <c r="II670" s="167"/>
      <c r="IJ670" s="167"/>
      <c r="IK670" s="167"/>
      <c r="IL670" s="167"/>
      <c r="IM670" s="167"/>
      <c r="IN670" s="167"/>
      <c r="IO670" s="167"/>
      <c r="IP670" s="167"/>
    </row>
    <row r="671" spans="1:256" s="3" customFormat="1">
      <c r="A671" s="76">
        <v>26</v>
      </c>
      <c r="B671" s="237"/>
      <c r="C671" s="18"/>
      <c r="D671" s="19" t="s">
        <v>841</v>
      </c>
      <c r="E671" s="20">
        <v>5</v>
      </c>
      <c r="F671" s="82" t="s">
        <v>867</v>
      </c>
      <c r="G671" s="58"/>
      <c r="H671" s="121"/>
      <c r="I671" s="24">
        <v>2190476</v>
      </c>
      <c r="J671" s="24"/>
      <c r="K671" s="24">
        <f t="shared" si="61"/>
        <v>2190476</v>
      </c>
      <c r="L671" s="123"/>
      <c r="M671" s="24"/>
      <c r="N671" s="129">
        <f t="shared" si="62"/>
        <v>2190476</v>
      </c>
      <c r="O671" s="108"/>
      <c r="Q671" s="140"/>
      <c r="AA671" s="141"/>
      <c r="AB671" s="142"/>
      <c r="AC671" s="142"/>
      <c r="AD671" s="142"/>
      <c r="AE671" s="142"/>
      <c r="AF671" s="177"/>
      <c r="AG671" s="177"/>
      <c r="AH671" s="178"/>
      <c r="AI671" s="125"/>
      <c r="AJ671" s="125"/>
      <c r="AK671" s="125"/>
      <c r="AL671" s="125"/>
      <c r="AM671" s="125"/>
      <c r="AN671" s="125"/>
      <c r="AO671" s="125"/>
      <c r="AP671" s="125"/>
      <c r="AQ671" s="125"/>
      <c r="AR671" s="125"/>
      <c r="AS671" s="125"/>
      <c r="AT671" s="125"/>
      <c r="AU671" s="125"/>
      <c r="AV671" s="125"/>
      <c r="AW671" s="125"/>
      <c r="AX671" s="125"/>
      <c r="AY671" s="179"/>
      <c r="AZ671" s="177"/>
      <c r="BA671" s="177"/>
      <c r="BB671" s="177"/>
      <c r="BC671" s="177"/>
      <c r="BD671" s="177"/>
      <c r="BE671" s="177"/>
      <c r="BF671" s="178"/>
      <c r="BG671" s="125"/>
      <c r="BH671" s="125"/>
      <c r="BI671" s="125"/>
      <c r="BJ671" s="125"/>
      <c r="BK671" s="125"/>
      <c r="BL671" s="125"/>
      <c r="BM671" s="125"/>
      <c r="BN671" s="125"/>
      <c r="BO671" s="125"/>
      <c r="BP671" s="125"/>
      <c r="BQ671" s="125"/>
      <c r="BR671" s="125"/>
      <c r="BS671" s="125"/>
      <c r="BT671" s="125"/>
      <c r="BU671" s="125"/>
      <c r="BV671" s="125"/>
      <c r="BW671" s="179"/>
      <c r="BX671" s="177"/>
      <c r="BY671" s="177"/>
      <c r="BZ671" s="177"/>
      <c r="CA671" s="177"/>
      <c r="CB671" s="177"/>
      <c r="CC671" s="177"/>
      <c r="CD671" s="178"/>
      <c r="CE671" s="125"/>
      <c r="CF671" s="125"/>
      <c r="CG671" s="125"/>
      <c r="CH671" s="125"/>
      <c r="CI671" s="125"/>
      <c r="CJ671" s="125"/>
      <c r="CK671" s="125"/>
      <c r="CL671" s="125"/>
      <c r="CM671" s="125"/>
      <c r="CN671" s="125"/>
      <c r="CO671" s="125"/>
      <c r="CP671" s="125"/>
      <c r="CQ671" s="125"/>
      <c r="CR671" s="125"/>
      <c r="CS671" s="125"/>
      <c r="CT671" s="125"/>
      <c r="CU671" s="179"/>
      <c r="CV671" s="177"/>
      <c r="CW671" s="177"/>
      <c r="CX671" s="177"/>
      <c r="CY671" s="177"/>
      <c r="CZ671" s="177"/>
      <c r="DA671" s="177"/>
      <c r="DB671" s="178"/>
      <c r="DC671" s="125"/>
      <c r="DD671" s="125"/>
      <c r="DE671" s="125"/>
      <c r="DF671" s="125"/>
      <c r="DG671" s="125"/>
      <c r="DH671" s="125"/>
      <c r="DI671" s="125"/>
      <c r="DJ671" s="125"/>
      <c r="DK671" s="125"/>
      <c r="DL671" s="125"/>
      <c r="DM671" s="125"/>
      <c r="DN671" s="125"/>
      <c r="DO671" s="125"/>
      <c r="DP671" s="125"/>
      <c r="DQ671" s="125"/>
      <c r="DR671" s="125"/>
      <c r="DS671" s="179"/>
      <c r="DT671" s="177"/>
      <c r="DU671" s="177"/>
      <c r="DV671" s="177"/>
      <c r="DW671" s="177"/>
      <c r="DX671" s="177"/>
      <c r="DY671" s="177"/>
      <c r="DZ671" s="178"/>
      <c r="EA671" s="125"/>
      <c r="EB671" s="125"/>
      <c r="EC671" s="125"/>
      <c r="ED671" s="125"/>
      <c r="EE671" s="125"/>
      <c r="EF671" s="125"/>
      <c r="EG671" s="125"/>
      <c r="EH671" s="125"/>
      <c r="EI671" s="125"/>
      <c r="EJ671" s="125"/>
      <c r="EK671" s="125"/>
      <c r="EL671" s="125"/>
      <c r="EM671" s="125"/>
      <c r="EN671" s="125"/>
      <c r="EO671" s="125"/>
      <c r="EP671" s="125"/>
      <c r="EQ671" s="179"/>
      <c r="ER671" s="177"/>
      <c r="ES671" s="177"/>
      <c r="ET671" s="177"/>
      <c r="EU671" s="177"/>
      <c r="EV671" s="177"/>
      <c r="EW671" s="177"/>
      <c r="EX671" s="178"/>
      <c r="EY671" s="125"/>
      <c r="EZ671" s="125"/>
      <c r="FA671" s="125"/>
      <c r="FB671" s="125"/>
      <c r="FC671" s="125"/>
      <c r="FD671" s="125"/>
      <c r="FE671" s="125"/>
      <c r="FF671" s="125"/>
      <c r="FG671" s="125"/>
      <c r="FH671" s="125"/>
      <c r="FI671" s="125"/>
      <c r="FJ671" s="125"/>
      <c r="FK671" s="125"/>
      <c r="FL671" s="125"/>
      <c r="FM671" s="125"/>
      <c r="FN671" s="125"/>
      <c r="FO671" s="179"/>
      <c r="FP671" s="177"/>
      <c r="FQ671" s="177"/>
      <c r="FR671" s="177"/>
      <c r="FS671" s="177"/>
      <c r="FT671" s="177"/>
      <c r="FU671" s="177"/>
      <c r="FV671" s="178"/>
      <c r="FW671" s="125"/>
      <c r="FX671" s="125"/>
      <c r="FY671" s="125"/>
      <c r="FZ671" s="125"/>
      <c r="GA671" s="125"/>
      <c r="GB671" s="125"/>
      <c r="GC671" s="125"/>
      <c r="GD671" s="125"/>
      <c r="GE671" s="125"/>
      <c r="GF671" s="125"/>
      <c r="GG671" s="125"/>
      <c r="GH671" s="125"/>
      <c r="GI671" s="125"/>
      <c r="GJ671" s="125"/>
      <c r="GK671" s="125"/>
      <c r="GL671" s="125"/>
      <c r="GM671" s="179"/>
      <c r="GN671" s="177"/>
      <c r="GO671" s="177"/>
      <c r="GP671" s="177"/>
      <c r="GQ671" s="177"/>
      <c r="GR671" s="177"/>
      <c r="GS671" s="177"/>
      <c r="GT671" s="178"/>
      <c r="GU671" s="125"/>
      <c r="GV671" s="125"/>
      <c r="GW671" s="125"/>
      <c r="GX671" s="125"/>
      <c r="GY671" s="125"/>
      <c r="GZ671" s="125"/>
      <c r="HA671" s="125"/>
      <c r="HB671" s="125"/>
      <c r="HC671" s="125"/>
      <c r="HD671" s="125"/>
      <c r="HE671" s="125"/>
      <c r="HF671" s="125"/>
      <c r="HG671" s="125"/>
      <c r="HH671" s="125"/>
      <c r="HI671" s="125"/>
      <c r="HJ671" s="125"/>
      <c r="HK671" s="179"/>
      <c r="HL671" s="177"/>
      <c r="HM671" s="177"/>
      <c r="HN671" s="177"/>
      <c r="HO671" s="177"/>
      <c r="HP671" s="177"/>
      <c r="HQ671" s="177"/>
      <c r="HR671" s="178"/>
      <c r="HS671" s="125"/>
      <c r="HT671" s="125"/>
      <c r="HU671" s="125"/>
      <c r="HV671" s="125"/>
      <c r="HW671" s="125"/>
      <c r="HX671" s="125"/>
      <c r="HY671" s="125"/>
      <c r="HZ671" s="125"/>
      <c r="IA671" s="125"/>
      <c r="IB671" s="125"/>
      <c r="IC671" s="125"/>
      <c r="ID671" s="125"/>
      <c r="IE671" s="125"/>
      <c r="IF671" s="125"/>
      <c r="IG671" s="125"/>
      <c r="IH671" s="125"/>
      <c r="II671" s="179"/>
      <c r="IJ671" s="177"/>
      <c r="IK671" s="177"/>
      <c r="IL671" s="177"/>
      <c r="IM671" s="177"/>
      <c r="IN671" s="177"/>
      <c r="IO671" s="177"/>
      <c r="IP671" s="178"/>
      <c r="IQ671" s="125"/>
      <c r="IR671" s="125"/>
      <c r="IS671" s="125"/>
      <c r="IT671" s="125"/>
      <c r="IU671" s="125"/>
      <c r="IV671" s="125"/>
    </row>
    <row r="672" spans="1:256" s="125" customFormat="1">
      <c r="A672" s="76">
        <v>27</v>
      </c>
      <c r="B672" s="237"/>
      <c r="C672" s="18"/>
      <c r="D672" s="19" t="s">
        <v>841</v>
      </c>
      <c r="E672" s="265">
        <v>5</v>
      </c>
      <c r="F672" s="24" t="s">
        <v>868</v>
      </c>
      <c r="G672" s="238"/>
      <c r="H672" s="121"/>
      <c r="I672" s="24">
        <v>2190476</v>
      </c>
      <c r="J672" s="24"/>
      <c r="K672" s="24">
        <v>2190476</v>
      </c>
      <c r="L672" s="24"/>
      <c r="M672" s="24"/>
      <c r="N672" s="129">
        <v>2190476</v>
      </c>
      <c r="O672" s="108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130"/>
      <c r="AB672" s="130"/>
      <c r="AC672" s="130"/>
      <c r="AD672" s="130"/>
      <c r="AE672" s="130"/>
      <c r="AF672" s="167"/>
      <c r="AG672" s="167"/>
      <c r="AH672" s="167"/>
      <c r="AY672" s="167"/>
      <c r="AZ672" s="167"/>
      <c r="BA672" s="167"/>
      <c r="BB672" s="167"/>
      <c r="BC672" s="167"/>
      <c r="BD672" s="167"/>
      <c r="BE672" s="167"/>
      <c r="BF672" s="167"/>
      <c r="BW672" s="167"/>
      <c r="BX672" s="167"/>
      <c r="BY672" s="167"/>
      <c r="BZ672" s="167"/>
      <c r="CA672" s="167"/>
      <c r="CB672" s="167"/>
      <c r="CC672" s="167"/>
      <c r="CD672" s="167"/>
      <c r="CU672" s="167"/>
      <c r="CV672" s="167"/>
      <c r="CW672" s="167"/>
      <c r="CX672" s="167"/>
      <c r="CY672" s="167"/>
      <c r="CZ672" s="167"/>
      <c r="DA672" s="167"/>
      <c r="DB672" s="167"/>
      <c r="DS672" s="167"/>
      <c r="DT672" s="167"/>
      <c r="DU672" s="167"/>
      <c r="DV672" s="167"/>
      <c r="DW672" s="167"/>
      <c r="DX672" s="167"/>
      <c r="DY672" s="167"/>
      <c r="DZ672" s="167"/>
      <c r="EQ672" s="167"/>
      <c r="ER672" s="167"/>
      <c r="ES672" s="167"/>
      <c r="ET672" s="167"/>
      <c r="EU672" s="167"/>
      <c r="EV672" s="167"/>
      <c r="EW672" s="167"/>
      <c r="EX672" s="167"/>
      <c r="FO672" s="167"/>
      <c r="FP672" s="167"/>
      <c r="FQ672" s="167"/>
      <c r="FR672" s="167"/>
      <c r="FS672" s="167"/>
      <c r="FT672" s="167"/>
      <c r="FU672" s="167"/>
      <c r="FV672" s="167"/>
      <c r="GM672" s="167"/>
      <c r="GN672" s="167"/>
      <c r="GO672" s="167"/>
      <c r="GP672" s="167"/>
      <c r="GQ672" s="167"/>
      <c r="GR672" s="167"/>
      <c r="GS672" s="167"/>
      <c r="GT672" s="167"/>
      <c r="HK672" s="167"/>
      <c r="HL672" s="167"/>
      <c r="HM672" s="167"/>
      <c r="HN672" s="167"/>
      <c r="HO672" s="167"/>
      <c r="HP672" s="167"/>
      <c r="HQ672" s="167"/>
      <c r="HR672" s="167"/>
      <c r="II672" s="167"/>
      <c r="IJ672" s="167"/>
      <c r="IK672" s="167"/>
      <c r="IL672" s="167"/>
      <c r="IM672" s="167"/>
      <c r="IN672" s="167"/>
      <c r="IO672" s="167"/>
      <c r="IP672" s="167"/>
    </row>
    <row r="673" spans="1:256" s="125" customFormat="1">
      <c r="A673" s="76">
        <v>28</v>
      </c>
      <c r="B673" s="237"/>
      <c r="C673" s="18"/>
      <c r="D673" s="19" t="s">
        <v>841</v>
      </c>
      <c r="E673" s="20">
        <v>5</v>
      </c>
      <c r="F673" s="24" t="s">
        <v>869</v>
      </c>
      <c r="G673" s="238"/>
      <c r="H673" s="121"/>
      <c r="I673" s="24">
        <v>2190476</v>
      </c>
      <c r="J673" s="24"/>
      <c r="K673" s="24">
        <v>2190476</v>
      </c>
      <c r="L673" s="24"/>
      <c r="M673" s="24"/>
      <c r="N673" s="124">
        <v>2190476</v>
      </c>
      <c r="O673" s="108"/>
      <c r="P673" s="3"/>
      <c r="Q673" s="3"/>
      <c r="R673" s="3"/>
      <c r="S673" s="3"/>
      <c r="T673" s="3"/>
      <c r="U673" s="3"/>
      <c r="V673" s="3"/>
      <c r="W673" s="3"/>
      <c r="X673" s="3"/>
      <c r="Y673" s="131"/>
      <c r="Z673" s="15"/>
      <c r="AA673" s="99"/>
      <c r="AB673" s="149"/>
      <c r="AC673" s="134"/>
      <c r="AD673" s="134"/>
      <c r="AE673" s="137"/>
      <c r="AF673" s="150"/>
      <c r="AG673" s="137"/>
      <c r="AH673" s="137"/>
      <c r="AI673" s="3"/>
      <c r="AJ673" s="138"/>
      <c r="AK673" s="2"/>
      <c r="AL673" s="186"/>
      <c r="AW673" s="187"/>
      <c r="AX673" s="188"/>
      <c r="AY673" s="194"/>
      <c r="AZ673" s="195"/>
      <c r="BA673" s="191"/>
      <c r="BB673" s="191"/>
      <c r="BC673" s="183"/>
      <c r="BD673" s="193"/>
      <c r="BE673" s="183"/>
      <c r="BF673" s="183"/>
      <c r="BH673" s="184"/>
      <c r="BI673" s="185"/>
      <c r="BJ673" s="186"/>
      <c r="BU673" s="187"/>
      <c r="BV673" s="188"/>
      <c r="BW673" s="194"/>
      <c r="BX673" s="195"/>
      <c r="BY673" s="191"/>
      <c r="BZ673" s="191"/>
      <c r="CA673" s="183"/>
      <c r="CB673" s="193"/>
      <c r="CC673" s="183"/>
      <c r="CD673" s="183"/>
      <c r="CF673" s="184"/>
      <c r="CG673" s="185"/>
      <c r="CH673" s="186"/>
      <c r="CS673" s="187"/>
      <c r="CT673" s="188"/>
      <c r="CU673" s="194"/>
      <c r="CV673" s="195"/>
      <c r="CW673" s="191"/>
      <c r="CX673" s="191"/>
      <c r="CY673" s="183"/>
      <c r="CZ673" s="193"/>
      <c r="DA673" s="183"/>
      <c r="DB673" s="183"/>
      <c r="DD673" s="184"/>
      <c r="DE673" s="185"/>
      <c r="DF673" s="186"/>
      <c r="DQ673" s="187"/>
      <c r="DR673" s="188"/>
      <c r="DS673" s="194"/>
      <c r="DT673" s="195"/>
      <c r="DU673" s="191"/>
      <c r="DV673" s="191"/>
      <c r="DW673" s="183"/>
      <c r="DX673" s="193"/>
      <c r="DY673" s="183"/>
      <c r="DZ673" s="183"/>
      <c r="EB673" s="184"/>
      <c r="EC673" s="185"/>
      <c r="ED673" s="186"/>
      <c r="EO673" s="187"/>
      <c r="EP673" s="188"/>
      <c r="EQ673" s="194"/>
      <c r="ER673" s="195"/>
      <c r="ES673" s="191"/>
      <c r="ET673" s="191"/>
      <c r="EU673" s="183"/>
      <c r="EV673" s="193"/>
      <c r="EW673" s="183"/>
      <c r="EX673" s="183"/>
      <c r="EZ673" s="184"/>
      <c r="FA673" s="185"/>
      <c r="FB673" s="186"/>
      <c r="FM673" s="187"/>
      <c r="FN673" s="188"/>
      <c r="FO673" s="194"/>
      <c r="FP673" s="195"/>
      <c r="FQ673" s="191"/>
      <c r="FR673" s="191"/>
      <c r="FS673" s="183"/>
      <c r="FT673" s="193"/>
      <c r="FU673" s="183"/>
      <c r="FV673" s="183"/>
      <c r="FX673" s="184"/>
      <c r="FY673" s="185"/>
      <c r="FZ673" s="186"/>
      <c r="GK673" s="187"/>
      <c r="GL673" s="188"/>
      <c r="GM673" s="194"/>
      <c r="GN673" s="195"/>
      <c r="GO673" s="191"/>
      <c r="GP673" s="191"/>
      <c r="GQ673" s="183"/>
      <c r="GR673" s="193"/>
      <c r="GS673" s="183"/>
      <c r="GT673" s="183"/>
      <c r="GV673" s="184"/>
      <c r="GW673" s="185"/>
      <c r="GX673" s="186"/>
      <c r="HI673" s="187"/>
      <c r="HJ673" s="188"/>
      <c r="HK673" s="194"/>
      <c r="HL673" s="195"/>
      <c r="HM673" s="191"/>
      <c r="HN673" s="191"/>
      <c r="HO673" s="183"/>
      <c r="HP673" s="193"/>
      <c r="HQ673" s="183"/>
      <c r="HR673" s="183"/>
      <c r="HT673" s="184"/>
      <c r="HU673" s="185"/>
      <c r="HV673" s="186"/>
      <c r="IG673" s="187"/>
      <c r="IH673" s="188"/>
      <c r="II673" s="194"/>
      <c r="IJ673" s="195"/>
      <c r="IK673" s="191"/>
      <c r="IL673" s="191"/>
      <c r="IM673" s="183"/>
      <c r="IN673" s="193"/>
      <c r="IO673" s="183"/>
      <c r="IP673" s="183"/>
      <c r="IR673" s="184"/>
      <c r="IS673" s="185"/>
      <c r="IT673" s="186"/>
    </row>
    <row r="674" spans="1:256" s="125" customFormat="1">
      <c r="A674" s="76">
        <v>29</v>
      </c>
      <c r="B674" s="237"/>
      <c r="C674" s="18"/>
      <c r="D674" s="19" t="s">
        <v>841</v>
      </c>
      <c r="E674" s="20">
        <v>5</v>
      </c>
      <c r="F674" s="82" t="s">
        <v>870</v>
      </c>
      <c r="G674" s="58"/>
      <c r="H674" s="121"/>
      <c r="I674" s="24">
        <v>2190476</v>
      </c>
      <c r="J674" s="24"/>
      <c r="K674" s="24">
        <f>I674+J674</f>
        <v>2190476</v>
      </c>
      <c r="L674" s="123"/>
      <c r="M674" s="24"/>
      <c r="N674" s="124">
        <f>K674-M674</f>
        <v>2190476</v>
      </c>
      <c r="O674" s="108"/>
      <c r="P674" s="3"/>
      <c r="Q674" s="140"/>
      <c r="R674" s="3"/>
      <c r="S674" s="3"/>
      <c r="T674" s="3"/>
      <c r="U674" s="3"/>
      <c r="V674" s="3"/>
      <c r="W674" s="3"/>
      <c r="X674" s="3"/>
      <c r="Y674" s="3"/>
      <c r="Z674" s="3"/>
      <c r="AA674" s="130"/>
      <c r="AB674" s="130"/>
      <c r="AC674" s="130"/>
      <c r="AD674" s="130"/>
      <c r="AE674" s="130"/>
      <c r="AF674" s="167"/>
      <c r="AG674" s="167"/>
      <c r="AH674" s="167"/>
      <c r="AY674" s="167"/>
      <c r="AZ674" s="167"/>
      <c r="BA674" s="167"/>
      <c r="BB674" s="167"/>
      <c r="BC674" s="167"/>
      <c r="BD674" s="167"/>
      <c r="BE674" s="167"/>
      <c r="BF674" s="167"/>
      <c r="BW674" s="167"/>
      <c r="BX674" s="167"/>
      <c r="BY674" s="167"/>
      <c r="BZ674" s="167"/>
      <c r="CA674" s="167"/>
      <c r="CB674" s="167"/>
      <c r="CC674" s="167"/>
      <c r="CD674" s="167"/>
      <c r="CU674" s="167"/>
      <c r="CV674" s="167"/>
      <c r="CW674" s="167"/>
      <c r="CX674" s="167"/>
      <c r="CY674" s="167"/>
      <c r="CZ674" s="167"/>
      <c r="DA674" s="167"/>
      <c r="DB674" s="167"/>
      <c r="DS674" s="167"/>
      <c r="DT674" s="167"/>
      <c r="DU674" s="167"/>
      <c r="DV674" s="167"/>
      <c r="DW674" s="167"/>
      <c r="DX674" s="167"/>
      <c r="DY674" s="167"/>
      <c r="DZ674" s="167"/>
      <c r="EQ674" s="167"/>
      <c r="ER674" s="167"/>
      <c r="ES674" s="167"/>
      <c r="ET674" s="167"/>
      <c r="EU674" s="167"/>
      <c r="EV674" s="167"/>
      <c r="EW674" s="167"/>
      <c r="EX674" s="167"/>
      <c r="FO674" s="167"/>
      <c r="FP674" s="167"/>
      <c r="FQ674" s="167"/>
      <c r="FR674" s="167"/>
      <c r="FS674" s="167"/>
      <c r="FT674" s="167"/>
      <c r="FU674" s="167"/>
      <c r="FV674" s="167"/>
      <c r="GM674" s="167"/>
      <c r="GN674" s="167"/>
      <c r="GO674" s="167"/>
      <c r="GP674" s="167"/>
      <c r="GQ674" s="167"/>
      <c r="GR674" s="167"/>
      <c r="GS674" s="167"/>
      <c r="GT674" s="167"/>
      <c r="HK674" s="167"/>
      <c r="HL674" s="167"/>
      <c r="HM674" s="167"/>
      <c r="HN674" s="167"/>
      <c r="HO674" s="167"/>
      <c r="HP674" s="167"/>
      <c r="HQ674" s="167"/>
      <c r="HR674" s="167"/>
      <c r="II674" s="167"/>
      <c r="IJ674" s="167"/>
      <c r="IK674" s="167"/>
      <c r="IL674" s="167"/>
      <c r="IM674" s="167"/>
      <c r="IN674" s="167"/>
      <c r="IO674" s="167"/>
      <c r="IP674" s="167"/>
    </row>
    <row r="675" spans="1:256" s="125" customFormat="1">
      <c r="A675" s="76">
        <v>30</v>
      </c>
      <c r="B675" s="237"/>
      <c r="C675" s="18"/>
      <c r="D675" s="19" t="s">
        <v>841</v>
      </c>
      <c r="E675" s="20">
        <v>7</v>
      </c>
      <c r="F675" s="82" t="s">
        <v>871</v>
      </c>
      <c r="G675" s="58"/>
      <c r="H675" s="121"/>
      <c r="I675" s="24">
        <v>3943809</v>
      </c>
      <c r="J675" s="24"/>
      <c r="K675" s="24">
        <f>I675+J675</f>
        <v>3943809</v>
      </c>
      <c r="L675" s="123"/>
      <c r="M675" s="24"/>
      <c r="N675" s="129">
        <f>K675-M675</f>
        <v>3943809</v>
      </c>
      <c r="O675" s="108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130"/>
      <c r="AB675" s="130"/>
      <c r="AC675" s="130"/>
      <c r="AD675" s="130"/>
      <c r="AE675" s="130"/>
      <c r="AF675" s="130"/>
      <c r="AG675" s="130"/>
      <c r="AH675" s="130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130"/>
      <c r="AZ675" s="130"/>
      <c r="BA675" s="130"/>
      <c r="BB675" s="130"/>
      <c r="BC675" s="130"/>
      <c r="BD675" s="130"/>
      <c r="BE675" s="130"/>
      <c r="BF675" s="130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130"/>
      <c r="BX675" s="130"/>
      <c r="BY675" s="130"/>
      <c r="BZ675" s="130"/>
      <c r="CA675" s="130"/>
      <c r="CB675" s="130"/>
      <c r="CC675" s="130"/>
      <c r="CD675" s="130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  <c r="CS675" s="3"/>
      <c r="CT675" s="3"/>
      <c r="CU675" s="130"/>
      <c r="CV675" s="130"/>
      <c r="CW675" s="130"/>
      <c r="CX675" s="130"/>
      <c r="CY675" s="130"/>
      <c r="CZ675" s="130"/>
      <c r="DA675" s="130"/>
      <c r="DB675" s="130"/>
      <c r="DC675" s="3"/>
      <c r="DD675" s="3"/>
      <c r="DE675" s="3"/>
      <c r="DF675" s="3"/>
      <c r="DG675" s="3"/>
      <c r="DH675" s="3"/>
      <c r="DI675" s="3"/>
      <c r="DJ675" s="3"/>
      <c r="DK675" s="3"/>
      <c r="DL675" s="3"/>
      <c r="DM675" s="3"/>
      <c r="DN675" s="3"/>
      <c r="DO675" s="3"/>
      <c r="DP675" s="3"/>
      <c r="DQ675" s="3"/>
      <c r="DR675" s="3"/>
      <c r="DS675" s="130"/>
      <c r="DT675" s="130"/>
      <c r="DU675" s="130"/>
      <c r="DV675" s="130"/>
      <c r="DW675" s="130"/>
      <c r="DX675" s="130"/>
      <c r="DY675" s="130"/>
      <c r="DZ675" s="130"/>
      <c r="EA675" s="3"/>
      <c r="EB675" s="3"/>
      <c r="EC675" s="3"/>
      <c r="ED675" s="3"/>
      <c r="EE675" s="3"/>
      <c r="EF675" s="3"/>
      <c r="EG675" s="3"/>
      <c r="EH675" s="3"/>
      <c r="EI675" s="3"/>
      <c r="EJ675" s="3"/>
      <c r="EK675" s="3"/>
      <c r="EL675" s="3"/>
      <c r="EM675" s="3"/>
      <c r="EN675" s="3"/>
      <c r="EO675" s="3"/>
      <c r="EP675" s="3"/>
      <c r="EQ675" s="130"/>
      <c r="ER675" s="130"/>
      <c r="ES675" s="130"/>
      <c r="ET675" s="130"/>
      <c r="EU675" s="130"/>
      <c r="EV675" s="130"/>
      <c r="EW675" s="130"/>
      <c r="EX675" s="130"/>
      <c r="EY675" s="3"/>
      <c r="EZ675" s="3"/>
      <c r="FA675" s="3"/>
      <c r="FB675" s="3"/>
      <c r="FC675" s="3"/>
      <c r="FD675" s="3"/>
      <c r="FE675" s="3"/>
      <c r="FF675" s="3"/>
      <c r="FG675" s="3"/>
      <c r="FH675" s="3"/>
      <c r="FI675" s="3"/>
      <c r="FJ675" s="3"/>
      <c r="FK675" s="3"/>
      <c r="FL675" s="3"/>
      <c r="FM675" s="3"/>
      <c r="FN675" s="3"/>
      <c r="FO675" s="130"/>
      <c r="FP675" s="130"/>
      <c r="FQ675" s="130"/>
      <c r="FR675" s="130"/>
      <c r="FS675" s="130"/>
      <c r="FT675" s="130"/>
      <c r="FU675" s="130"/>
      <c r="FV675" s="130"/>
      <c r="FW675" s="3"/>
      <c r="FX675" s="3"/>
      <c r="FY675" s="3"/>
      <c r="FZ675" s="3"/>
      <c r="GA675" s="3"/>
      <c r="GB675" s="3"/>
      <c r="GC675" s="3"/>
      <c r="GD675" s="3"/>
      <c r="GE675" s="3"/>
      <c r="GF675" s="3"/>
      <c r="GG675" s="3"/>
      <c r="GH675" s="3"/>
      <c r="GI675" s="3"/>
      <c r="GJ675" s="3"/>
      <c r="GK675" s="3"/>
      <c r="GL675" s="3"/>
      <c r="GM675" s="130"/>
      <c r="GN675" s="130"/>
      <c r="GO675" s="130"/>
      <c r="GP675" s="130"/>
      <c r="GQ675" s="130"/>
      <c r="GR675" s="130"/>
      <c r="GS675" s="130"/>
      <c r="GT675" s="130"/>
      <c r="GU675" s="3"/>
      <c r="GV675" s="3"/>
      <c r="GW675" s="3"/>
      <c r="GX675" s="3"/>
      <c r="GY675" s="3"/>
      <c r="GZ675" s="3"/>
      <c r="HA675" s="3"/>
      <c r="HB675" s="3"/>
      <c r="HC675" s="3"/>
      <c r="HD675" s="3"/>
      <c r="HE675" s="3"/>
      <c r="HF675" s="3"/>
      <c r="HG675" s="3"/>
      <c r="HH675" s="3"/>
      <c r="HI675" s="3"/>
      <c r="HJ675" s="3"/>
      <c r="HK675" s="130"/>
      <c r="HL675" s="130"/>
      <c r="HM675" s="130"/>
      <c r="HN675" s="130"/>
      <c r="HO675" s="130"/>
      <c r="HP675" s="130"/>
      <c r="HQ675" s="130"/>
      <c r="HR675" s="130"/>
      <c r="HS675" s="3"/>
      <c r="HT675" s="3"/>
      <c r="HU675" s="3"/>
      <c r="HV675" s="3"/>
      <c r="HW675" s="3"/>
      <c r="HX675" s="3"/>
      <c r="HY675" s="3"/>
      <c r="HZ675" s="3"/>
      <c r="IA675" s="3"/>
      <c r="IB675" s="3"/>
      <c r="IC675" s="3"/>
      <c r="ID675" s="3"/>
      <c r="IE675" s="3"/>
      <c r="IF675" s="3"/>
      <c r="IG675" s="3"/>
      <c r="IH675" s="3"/>
      <c r="II675" s="130"/>
      <c r="IJ675" s="130"/>
      <c r="IK675" s="130"/>
      <c r="IL675" s="130"/>
      <c r="IM675" s="130"/>
      <c r="IN675" s="130"/>
      <c r="IO675" s="130"/>
      <c r="IP675" s="130"/>
      <c r="IQ675" s="3"/>
      <c r="IR675" s="3"/>
      <c r="IS675" s="3"/>
      <c r="IT675" s="3"/>
      <c r="IU675" s="3"/>
      <c r="IV675" s="3"/>
    </row>
    <row r="676" spans="1:256" s="125" customFormat="1">
      <c r="A676" s="76">
        <v>31</v>
      </c>
      <c r="B676" s="237"/>
      <c r="C676" s="18"/>
      <c r="D676" s="19" t="s">
        <v>841</v>
      </c>
      <c r="E676" s="20">
        <v>7</v>
      </c>
      <c r="F676" s="24" t="s">
        <v>872</v>
      </c>
      <c r="G676" s="238"/>
      <c r="H676" s="121"/>
      <c r="I676" s="24">
        <v>4460476</v>
      </c>
      <c r="J676" s="199"/>
      <c r="K676" s="24">
        <v>4460476</v>
      </c>
      <c r="L676" s="24"/>
      <c r="M676" s="24"/>
      <c r="N676" s="129">
        <v>4460476</v>
      </c>
      <c r="O676" s="108"/>
      <c r="P676" s="3"/>
      <c r="Q676" s="140"/>
      <c r="R676" s="3"/>
      <c r="S676" s="3"/>
      <c r="T676" s="3"/>
      <c r="U676" s="3"/>
      <c r="V676" s="3"/>
      <c r="W676" s="3"/>
      <c r="X676" s="3"/>
      <c r="Y676" s="3"/>
      <c r="Z676" s="3"/>
      <c r="AA676" s="130"/>
      <c r="AB676" s="130"/>
      <c r="AC676" s="130"/>
      <c r="AD676" s="130"/>
      <c r="AE676" s="130"/>
      <c r="AF676" s="130"/>
      <c r="AG676" s="130"/>
      <c r="AH676" s="130"/>
      <c r="AI676" s="3"/>
      <c r="AJ676" s="3"/>
      <c r="AK676" s="3"/>
      <c r="AY676" s="167"/>
      <c r="AZ676" s="167"/>
      <c r="BA676" s="167"/>
      <c r="BB676" s="167"/>
      <c r="BC676" s="167"/>
      <c r="BD676" s="167"/>
      <c r="BE676" s="167"/>
      <c r="BF676" s="167"/>
      <c r="BW676" s="167"/>
      <c r="BX676" s="167"/>
      <c r="BY676" s="167"/>
      <c r="BZ676" s="167"/>
      <c r="CA676" s="167"/>
      <c r="CB676" s="167"/>
      <c r="CC676" s="167"/>
      <c r="CD676" s="167"/>
      <c r="CU676" s="167"/>
      <c r="CV676" s="167"/>
      <c r="CW676" s="167"/>
      <c r="CX676" s="167"/>
      <c r="CY676" s="167"/>
      <c r="CZ676" s="167"/>
      <c r="DA676" s="167"/>
      <c r="DB676" s="167"/>
      <c r="DS676" s="167"/>
      <c r="DT676" s="167"/>
      <c r="DU676" s="167"/>
      <c r="DV676" s="167"/>
      <c r="DW676" s="167"/>
      <c r="DX676" s="167"/>
      <c r="DY676" s="167"/>
      <c r="DZ676" s="167"/>
      <c r="EQ676" s="167"/>
      <c r="ER676" s="167"/>
      <c r="ES676" s="167"/>
      <c r="ET676" s="167"/>
      <c r="EU676" s="167"/>
      <c r="EV676" s="167"/>
      <c r="EW676" s="167"/>
      <c r="EX676" s="167"/>
      <c r="FO676" s="167"/>
      <c r="FP676" s="167"/>
      <c r="FQ676" s="167"/>
      <c r="FR676" s="167"/>
      <c r="FS676" s="167"/>
      <c r="FT676" s="167"/>
      <c r="FU676" s="167"/>
      <c r="FV676" s="167"/>
      <c r="GM676" s="167"/>
      <c r="GN676" s="167"/>
      <c r="GO676" s="167"/>
      <c r="GP676" s="167"/>
      <c r="GQ676" s="167"/>
      <c r="GR676" s="167"/>
      <c r="GS676" s="167"/>
      <c r="GT676" s="167"/>
      <c r="HK676" s="167"/>
      <c r="HL676" s="167"/>
      <c r="HM676" s="167"/>
      <c r="HN676" s="167"/>
      <c r="HO676" s="167"/>
      <c r="HP676" s="167"/>
      <c r="HQ676" s="167"/>
      <c r="HR676" s="167"/>
      <c r="II676" s="167"/>
      <c r="IJ676" s="167"/>
      <c r="IK676" s="167"/>
      <c r="IL676" s="167"/>
      <c r="IM676" s="167"/>
      <c r="IN676" s="167"/>
      <c r="IO676" s="167"/>
      <c r="IP676" s="167"/>
    </row>
    <row r="677" spans="1:256" s="125" customFormat="1">
      <c r="A677" s="76">
        <v>32</v>
      </c>
      <c r="B677" s="237"/>
      <c r="C677" s="18"/>
      <c r="D677" s="19" t="s">
        <v>841</v>
      </c>
      <c r="E677" s="20">
        <v>7</v>
      </c>
      <c r="F677" s="24" t="s">
        <v>873</v>
      </c>
      <c r="G677" s="238"/>
      <c r="H677" s="121"/>
      <c r="I677" s="24">
        <v>3474286</v>
      </c>
      <c r="J677" s="24"/>
      <c r="K677" s="24">
        <v>3474286</v>
      </c>
      <c r="L677" s="24"/>
      <c r="M677" s="24"/>
      <c r="N677" s="129">
        <v>3474286</v>
      </c>
      <c r="O677" s="108"/>
      <c r="P677" s="3"/>
      <c r="Q677" s="140"/>
      <c r="R677" s="3"/>
      <c r="S677" s="3"/>
      <c r="T677" s="3"/>
      <c r="U677" s="3"/>
      <c r="V677" s="3"/>
      <c r="W677" s="3"/>
      <c r="X677" s="3"/>
      <c r="Y677" s="3"/>
      <c r="Z677" s="3"/>
      <c r="AA677" s="130"/>
      <c r="AB677" s="130"/>
      <c r="AC677" s="130"/>
      <c r="AD677" s="130"/>
      <c r="AE677" s="130"/>
      <c r="AF677" s="167"/>
      <c r="AG677" s="167"/>
      <c r="AH677" s="167"/>
      <c r="AY677" s="167"/>
      <c r="AZ677" s="167"/>
      <c r="BA677" s="167"/>
      <c r="BB677" s="167"/>
      <c r="BC677" s="167"/>
      <c r="BD677" s="167"/>
      <c r="BE677" s="167"/>
      <c r="BF677" s="167"/>
      <c r="BW677" s="167"/>
      <c r="BX677" s="167"/>
      <c r="BY677" s="167"/>
      <c r="BZ677" s="167"/>
      <c r="CA677" s="167"/>
      <c r="CB677" s="167"/>
      <c r="CC677" s="167"/>
      <c r="CD677" s="167"/>
      <c r="CU677" s="167"/>
      <c r="CV677" s="167"/>
      <c r="CW677" s="167"/>
      <c r="CX677" s="167"/>
      <c r="CY677" s="167"/>
      <c r="CZ677" s="167"/>
      <c r="DA677" s="167"/>
      <c r="DB677" s="167"/>
      <c r="DS677" s="167"/>
      <c r="DT677" s="167"/>
      <c r="DU677" s="167"/>
      <c r="DV677" s="167"/>
      <c r="DW677" s="167"/>
      <c r="DX677" s="167"/>
      <c r="DY677" s="167"/>
      <c r="DZ677" s="167"/>
      <c r="EQ677" s="167"/>
      <c r="ER677" s="167"/>
      <c r="ES677" s="167"/>
      <c r="ET677" s="167"/>
      <c r="EU677" s="167"/>
      <c r="EV677" s="167"/>
      <c r="EW677" s="167"/>
      <c r="EX677" s="167"/>
      <c r="FO677" s="167"/>
      <c r="FP677" s="167"/>
      <c r="FQ677" s="167"/>
      <c r="FR677" s="167"/>
      <c r="FS677" s="167"/>
      <c r="FT677" s="167"/>
      <c r="FU677" s="167"/>
      <c r="FV677" s="167"/>
      <c r="GM677" s="167"/>
      <c r="GN677" s="167"/>
      <c r="GO677" s="167"/>
      <c r="GP677" s="167"/>
      <c r="GQ677" s="167"/>
      <c r="GR677" s="167"/>
      <c r="GS677" s="167"/>
      <c r="GT677" s="167"/>
      <c r="HK677" s="167"/>
      <c r="HL677" s="167"/>
      <c r="HM677" s="167"/>
      <c r="HN677" s="167"/>
      <c r="HO677" s="167"/>
      <c r="HP677" s="167"/>
      <c r="HQ677" s="167"/>
      <c r="HR677" s="167"/>
      <c r="II677" s="167"/>
      <c r="IJ677" s="167"/>
      <c r="IK677" s="167"/>
      <c r="IL677" s="167"/>
      <c r="IM677" s="167"/>
      <c r="IN677" s="167"/>
      <c r="IO677" s="167"/>
      <c r="IP677" s="167"/>
    </row>
    <row r="678" spans="1:256" s="125" customFormat="1">
      <c r="A678" s="76">
        <v>33</v>
      </c>
      <c r="B678" s="237"/>
      <c r="C678" s="18"/>
      <c r="D678" s="19" t="s">
        <v>841</v>
      </c>
      <c r="E678" s="20">
        <v>7</v>
      </c>
      <c r="F678" s="24" t="s">
        <v>874</v>
      </c>
      <c r="G678" s="238"/>
      <c r="H678" s="121"/>
      <c r="I678" s="24">
        <v>3329524</v>
      </c>
      <c r="J678" s="24"/>
      <c r="K678" s="24">
        <v>3329524</v>
      </c>
      <c r="L678" s="24"/>
      <c r="M678" s="24"/>
      <c r="N678" s="129">
        <v>3329524</v>
      </c>
      <c r="O678" s="108"/>
      <c r="P678" s="3"/>
      <c r="Q678" s="140"/>
      <c r="R678" s="3"/>
      <c r="S678" s="3"/>
      <c r="T678" s="3"/>
      <c r="U678" s="3"/>
      <c r="V678" s="3"/>
      <c r="W678" s="3"/>
      <c r="X678" s="3"/>
      <c r="Y678" s="3"/>
      <c r="Z678" s="3"/>
      <c r="AA678" s="130"/>
      <c r="AB678" s="130"/>
      <c r="AC678" s="130"/>
      <c r="AD678" s="130"/>
      <c r="AE678" s="130"/>
      <c r="AF678" s="130"/>
      <c r="AG678" s="130"/>
      <c r="AH678" s="130"/>
      <c r="AI678" s="3"/>
      <c r="AJ678" s="3"/>
      <c r="AK678" s="3"/>
      <c r="AY678" s="167"/>
      <c r="AZ678" s="167"/>
      <c r="BA678" s="167"/>
      <c r="BB678" s="167"/>
      <c r="BC678" s="167"/>
      <c r="BD678" s="167"/>
      <c r="BE678" s="167"/>
      <c r="BF678" s="167"/>
      <c r="BW678" s="167"/>
      <c r="BX678" s="167"/>
      <c r="BY678" s="167"/>
      <c r="BZ678" s="167"/>
      <c r="CA678" s="167"/>
      <c r="CB678" s="167"/>
      <c r="CC678" s="167"/>
      <c r="CD678" s="167"/>
      <c r="CU678" s="167"/>
      <c r="CV678" s="167"/>
      <c r="CW678" s="167"/>
      <c r="CX678" s="167"/>
      <c r="CY678" s="167"/>
      <c r="CZ678" s="167"/>
      <c r="DA678" s="167"/>
      <c r="DB678" s="167"/>
      <c r="DS678" s="167"/>
      <c r="DT678" s="167"/>
      <c r="DU678" s="167"/>
      <c r="DV678" s="167"/>
      <c r="DW678" s="167"/>
      <c r="DX678" s="167"/>
      <c r="DY678" s="167"/>
      <c r="DZ678" s="167"/>
      <c r="EQ678" s="167"/>
      <c r="ER678" s="167"/>
      <c r="ES678" s="167"/>
      <c r="ET678" s="167"/>
      <c r="EU678" s="167"/>
      <c r="EV678" s="167"/>
      <c r="EW678" s="167"/>
      <c r="EX678" s="167"/>
      <c r="FO678" s="167"/>
      <c r="FP678" s="167"/>
      <c r="FQ678" s="167"/>
      <c r="FR678" s="167"/>
      <c r="FS678" s="167"/>
      <c r="FT678" s="167"/>
      <c r="FU678" s="167"/>
      <c r="FV678" s="167"/>
      <c r="GM678" s="167"/>
      <c r="GN678" s="167"/>
      <c r="GO678" s="167"/>
      <c r="GP678" s="167"/>
      <c r="GQ678" s="167"/>
      <c r="GR678" s="167"/>
      <c r="GS678" s="167"/>
      <c r="GT678" s="167"/>
      <c r="HK678" s="167"/>
      <c r="HL678" s="167"/>
      <c r="HM678" s="167"/>
      <c r="HN678" s="167"/>
      <c r="HO678" s="167"/>
      <c r="HP678" s="167"/>
      <c r="HQ678" s="167"/>
      <c r="HR678" s="167"/>
      <c r="II678" s="167"/>
      <c r="IJ678" s="167"/>
      <c r="IK678" s="167"/>
      <c r="IL678" s="167"/>
      <c r="IM678" s="167"/>
      <c r="IN678" s="167"/>
      <c r="IO678" s="167"/>
      <c r="IP678" s="167"/>
    </row>
    <row r="679" spans="1:256" s="125" customFormat="1">
      <c r="A679" s="76">
        <v>34</v>
      </c>
      <c r="B679" s="56">
        <v>43034</v>
      </c>
      <c r="C679" s="18"/>
      <c r="D679" s="19" t="s">
        <v>841</v>
      </c>
      <c r="E679" s="20" t="s">
        <v>285</v>
      </c>
      <c r="F679" s="24" t="s">
        <v>875</v>
      </c>
      <c r="G679" s="238">
        <v>1707</v>
      </c>
      <c r="H679" s="121">
        <f>1406000-30000</f>
        <v>1376000</v>
      </c>
      <c r="I679" s="24"/>
      <c r="J679" s="199">
        <f>SUM(H679)/1.05</f>
        <v>1310476.1904761905</v>
      </c>
      <c r="K679" s="24">
        <f t="shared" ref="K679:K687" si="63">I679+J679</f>
        <v>1310476.1904761905</v>
      </c>
      <c r="L679" s="24"/>
      <c r="M679" s="24">
        <f t="shared" ref="M679:M685" si="64">K679*L679</f>
        <v>0</v>
      </c>
      <c r="N679" s="124">
        <f t="shared" ref="N679:N687" si="65">K679-M679</f>
        <v>1310476.1904761905</v>
      </c>
      <c r="O679" s="108" t="s">
        <v>876</v>
      </c>
      <c r="P679" s="3"/>
      <c r="Q679" s="140"/>
      <c r="R679" s="3"/>
      <c r="S679" s="3"/>
      <c r="T679" s="3"/>
      <c r="U679" s="3"/>
      <c r="V679" s="3"/>
      <c r="W679" s="3"/>
      <c r="X679" s="3"/>
      <c r="Y679" s="3"/>
      <c r="Z679" s="3"/>
      <c r="AA679" s="130"/>
      <c r="AB679" s="130"/>
      <c r="AC679" s="130"/>
      <c r="AD679" s="130"/>
      <c r="AE679" s="130"/>
      <c r="AF679" s="130"/>
      <c r="AG679" s="130"/>
      <c r="AH679" s="130"/>
      <c r="AI679" s="3"/>
      <c r="AJ679" s="3"/>
      <c r="AK679" s="3"/>
      <c r="AY679" s="167"/>
      <c r="AZ679" s="167"/>
      <c r="BA679" s="167"/>
      <c r="BB679" s="167"/>
      <c r="BC679" s="167"/>
      <c r="BD679" s="167"/>
      <c r="BE679" s="167"/>
      <c r="BF679" s="167"/>
      <c r="BW679" s="167"/>
      <c r="BX679" s="167"/>
      <c r="BY679" s="167"/>
      <c r="BZ679" s="167"/>
      <c r="CA679" s="167"/>
      <c r="CB679" s="167"/>
      <c r="CC679" s="167"/>
      <c r="CD679" s="167"/>
      <c r="CU679" s="167"/>
      <c r="CV679" s="167"/>
      <c r="CW679" s="167"/>
      <c r="CX679" s="167"/>
      <c r="CY679" s="167"/>
      <c r="CZ679" s="167"/>
      <c r="DA679" s="167"/>
      <c r="DB679" s="167"/>
      <c r="DS679" s="167"/>
      <c r="DT679" s="167"/>
      <c r="DU679" s="167"/>
      <c r="DV679" s="167"/>
      <c r="DW679" s="167"/>
      <c r="DX679" s="167"/>
      <c r="DY679" s="167"/>
      <c r="DZ679" s="167"/>
      <c r="EQ679" s="167"/>
      <c r="ER679" s="167"/>
      <c r="ES679" s="167"/>
      <c r="ET679" s="167"/>
      <c r="EU679" s="167"/>
      <c r="EV679" s="167"/>
      <c r="EW679" s="167"/>
      <c r="EX679" s="167"/>
      <c r="FO679" s="167"/>
      <c r="FP679" s="167"/>
      <c r="FQ679" s="167"/>
      <c r="FR679" s="167"/>
      <c r="FS679" s="167"/>
      <c r="FT679" s="167"/>
      <c r="FU679" s="167"/>
      <c r="FV679" s="167"/>
      <c r="GM679" s="167"/>
      <c r="GN679" s="167"/>
      <c r="GO679" s="167"/>
      <c r="GP679" s="167"/>
      <c r="GQ679" s="167"/>
      <c r="GR679" s="167"/>
      <c r="GS679" s="167"/>
      <c r="GT679" s="167"/>
      <c r="HK679" s="167"/>
      <c r="HL679" s="167"/>
      <c r="HM679" s="167"/>
      <c r="HN679" s="167"/>
      <c r="HO679" s="167"/>
      <c r="HP679" s="167"/>
      <c r="HQ679" s="167"/>
      <c r="HR679" s="167"/>
      <c r="II679" s="167"/>
      <c r="IJ679" s="167"/>
      <c r="IK679" s="167"/>
      <c r="IL679" s="167"/>
      <c r="IM679" s="167"/>
      <c r="IN679" s="167"/>
      <c r="IO679" s="167"/>
      <c r="IP679" s="167"/>
    </row>
    <row r="680" spans="1:256" s="3" customFormat="1">
      <c r="A680" s="76">
        <v>35</v>
      </c>
      <c r="B680" s="56">
        <v>43027</v>
      </c>
      <c r="C680" s="18"/>
      <c r="D680" s="19" t="s">
        <v>841</v>
      </c>
      <c r="E680" s="20" t="s">
        <v>285</v>
      </c>
      <c r="F680" s="24" t="s">
        <v>877</v>
      </c>
      <c r="G680" s="238">
        <v>1707</v>
      </c>
      <c r="H680" s="121">
        <f>1406000-30000</f>
        <v>1376000</v>
      </c>
      <c r="I680" s="24"/>
      <c r="J680" s="199">
        <f>SUM(H680)/1.05</f>
        <v>1310476.1904761905</v>
      </c>
      <c r="K680" s="24">
        <f t="shared" si="63"/>
        <v>1310476.1904761905</v>
      </c>
      <c r="L680" s="24"/>
      <c r="M680" s="24">
        <f t="shared" si="64"/>
        <v>0</v>
      </c>
      <c r="N680" s="124">
        <f t="shared" si="65"/>
        <v>1310476.1904761905</v>
      </c>
      <c r="O680" s="108" t="s">
        <v>878</v>
      </c>
      <c r="Q680" s="140"/>
      <c r="Y680" s="131"/>
      <c r="Z680" s="15"/>
      <c r="AA680" s="99"/>
      <c r="AB680" s="149"/>
      <c r="AC680" s="134"/>
      <c r="AD680" s="134"/>
      <c r="AE680" s="137"/>
      <c r="AF680" s="193"/>
      <c r="AG680" s="183"/>
      <c r="AH680" s="183"/>
      <c r="AI680" s="125"/>
      <c r="AJ680" s="184"/>
      <c r="AK680" s="185"/>
      <c r="AL680" s="186"/>
      <c r="AM680" s="125"/>
      <c r="AN680" s="125"/>
      <c r="AO680" s="125"/>
      <c r="AP680" s="125"/>
      <c r="AQ680" s="125"/>
      <c r="AR680" s="125"/>
      <c r="AS680" s="125"/>
      <c r="AT680" s="125"/>
      <c r="AU680" s="125"/>
      <c r="AV680" s="125"/>
      <c r="AW680" s="187"/>
      <c r="AX680" s="188"/>
      <c r="AY680" s="194"/>
      <c r="AZ680" s="195"/>
      <c r="BA680" s="191"/>
      <c r="BB680" s="191"/>
      <c r="BC680" s="183"/>
      <c r="BD680" s="193"/>
      <c r="BE680" s="183"/>
      <c r="BF680" s="183"/>
      <c r="BG680" s="125"/>
      <c r="BH680" s="184"/>
      <c r="BI680" s="185"/>
      <c r="BJ680" s="186"/>
      <c r="BK680" s="125"/>
      <c r="BL680" s="125"/>
      <c r="BM680" s="125"/>
      <c r="BN680" s="125"/>
      <c r="BO680" s="125"/>
      <c r="BP680" s="125"/>
      <c r="BQ680" s="125"/>
      <c r="BR680" s="125"/>
      <c r="BS680" s="125"/>
      <c r="BT680" s="125"/>
      <c r="BU680" s="187"/>
      <c r="BV680" s="188"/>
      <c r="BW680" s="194"/>
      <c r="BX680" s="195"/>
      <c r="BY680" s="191"/>
      <c r="BZ680" s="191"/>
      <c r="CA680" s="183"/>
      <c r="CB680" s="193"/>
      <c r="CC680" s="183"/>
      <c r="CD680" s="183"/>
      <c r="CE680" s="125"/>
      <c r="CF680" s="184"/>
      <c r="CG680" s="185"/>
      <c r="CH680" s="186"/>
      <c r="CI680" s="125"/>
      <c r="CJ680" s="125"/>
      <c r="CK680" s="125"/>
      <c r="CL680" s="125"/>
      <c r="CM680" s="125"/>
      <c r="CN680" s="125"/>
      <c r="CO680" s="125"/>
      <c r="CP680" s="125"/>
      <c r="CQ680" s="125"/>
      <c r="CR680" s="125"/>
      <c r="CS680" s="187"/>
      <c r="CT680" s="188"/>
      <c r="CU680" s="194"/>
      <c r="CV680" s="195"/>
      <c r="CW680" s="191"/>
      <c r="CX680" s="191"/>
      <c r="CY680" s="183"/>
      <c r="CZ680" s="193"/>
      <c r="DA680" s="183"/>
      <c r="DB680" s="183"/>
      <c r="DC680" s="125"/>
      <c r="DD680" s="184"/>
      <c r="DE680" s="185"/>
      <c r="DF680" s="186"/>
      <c r="DG680" s="125"/>
      <c r="DH680" s="125"/>
      <c r="DI680" s="125"/>
      <c r="DJ680" s="125"/>
      <c r="DK680" s="125"/>
      <c r="DL680" s="125"/>
      <c r="DM680" s="125"/>
      <c r="DN680" s="125"/>
      <c r="DO680" s="125"/>
      <c r="DP680" s="125"/>
      <c r="DQ680" s="187"/>
      <c r="DR680" s="188"/>
      <c r="DS680" s="194"/>
      <c r="DT680" s="195"/>
      <c r="DU680" s="191"/>
      <c r="DV680" s="191"/>
      <c r="DW680" s="183"/>
      <c r="DX680" s="193"/>
      <c r="DY680" s="183"/>
      <c r="DZ680" s="183"/>
      <c r="EA680" s="125"/>
      <c r="EB680" s="184"/>
      <c r="EC680" s="185"/>
      <c r="ED680" s="186"/>
      <c r="EE680" s="125"/>
      <c r="EF680" s="125"/>
      <c r="EG680" s="125"/>
      <c r="EH680" s="125"/>
      <c r="EI680" s="125"/>
      <c r="EJ680" s="125"/>
      <c r="EK680" s="125"/>
      <c r="EL680" s="125"/>
      <c r="EM680" s="125"/>
      <c r="EN680" s="125"/>
      <c r="EO680" s="187"/>
      <c r="EP680" s="188"/>
      <c r="EQ680" s="194"/>
      <c r="ER680" s="195"/>
      <c r="ES680" s="191"/>
      <c r="ET680" s="191"/>
      <c r="EU680" s="183"/>
      <c r="EV680" s="193"/>
      <c r="EW680" s="183"/>
      <c r="EX680" s="183"/>
      <c r="EY680" s="125"/>
      <c r="EZ680" s="184"/>
      <c r="FA680" s="185"/>
      <c r="FB680" s="186"/>
      <c r="FC680" s="125"/>
      <c r="FD680" s="125"/>
      <c r="FE680" s="125"/>
      <c r="FF680" s="125"/>
      <c r="FG680" s="125"/>
      <c r="FH680" s="125"/>
      <c r="FI680" s="125"/>
      <c r="FJ680" s="125"/>
      <c r="FK680" s="125"/>
      <c r="FL680" s="125"/>
      <c r="FM680" s="187"/>
      <c r="FN680" s="188"/>
      <c r="FO680" s="194"/>
      <c r="FP680" s="195"/>
      <c r="FQ680" s="191"/>
      <c r="FR680" s="191"/>
      <c r="FS680" s="183"/>
      <c r="FT680" s="193"/>
      <c r="FU680" s="183"/>
      <c r="FV680" s="183"/>
      <c r="FW680" s="125"/>
      <c r="FX680" s="184"/>
      <c r="FY680" s="185"/>
      <c r="FZ680" s="186"/>
      <c r="GA680" s="125"/>
      <c r="GB680" s="125"/>
      <c r="GC680" s="125"/>
      <c r="GD680" s="125"/>
      <c r="GE680" s="125"/>
      <c r="GF680" s="125"/>
      <c r="GG680" s="125"/>
      <c r="GH680" s="125"/>
      <c r="GI680" s="125"/>
      <c r="GJ680" s="125"/>
      <c r="GK680" s="187"/>
      <c r="GL680" s="188"/>
      <c r="GM680" s="194"/>
      <c r="GN680" s="195"/>
      <c r="GO680" s="191"/>
      <c r="GP680" s="191"/>
      <c r="GQ680" s="183"/>
      <c r="GR680" s="193"/>
      <c r="GS680" s="183"/>
      <c r="GT680" s="183"/>
      <c r="GU680" s="125"/>
      <c r="GV680" s="184"/>
      <c r="GW680" s="185"/>
      <c r="GX680" s="186"/>
      <c r="GY680" s="125"/>
      <c r="GZ680" s="125"/>
      <c r="HA680" s="125"/>
      <c r="HB680" s="125"/>
      <c r="HC680" s="125"/>
      <c r="HD680" s="125"/>
      <c r="HE680" s="125"/>
      <c r="HF680" s="125"/>
      <c r="HG680" s="125"/>
      <c r="HH680" s="125"/>
      <c r="HI680" s="187"/>
      <c r="HJ680" s="188"/>
      <c r="HK680" s="194"/>
      <c r="HL680" s="195"/>
      <c r="HM680" s="191"/>
      <c r="HN680" s="191"/>
      <c r="HO680" s="183"/>
      <c r="HP680" s="193"/>
      <c r="HQ680" s="183"/>
      <c r="HR680" s="183"/>
      <c r="HS680" s="125"/>
      <c r="HT680" s="184"/>
      <c r="HU680" s="185"/>
      <c r="HV680" s="186"/>
      <c r="HW680" s="125"/>
      <c r="HX680" s="125"/>
      <c r="HY680" s="125"/>
      <c r="HZ680" s="125"/>
      <c r="IA680" s="125"/>
      <c r="IB680" s="125"/>
      <c r="IC680" s="125"/>
      <c r="ID680" s="125"/>
      <c r="IE680" s="125"/>
      <c r="IF680" s="125"/>
      <c r="IG680" s="187"/>
      <c r="IH680" s="188"/>
      <c r="II680" s="194"/>
      <c r="IJ680" s="195"/>
      <c r="IK680" s="191"/>
      <c r="IL680" s="191"/>
      <c r="IM680" s="183"/>
      <c r="IN680" s="193"/>
      <c r="IO680" s="183"/>
      <c r="IP680" s="183"/>
      <c r="IQ680" s="125"/>
      <c r="IR680" s="184"/>
      <c r="IS680" s="185"/>
      <c r="IT680" s="186"/>
      <c r="IU680" s="125"/>
      <c r="IV680" s="125"/>
    </row>
    <row r="681" spans="1:256" s="3" customFormat="1">
      <c r="A681" s="76">
        <v>36</v>
      </c>
      <c r="B681" s="56">
        <v>42811</v>
      </c>
      <c r="C681" s="18"/>
      <c r="D681" s="19" t="s">
        <v>841</v>
      </c>
      <c r="E681" s="20" t="s">
        <v>380</v>
      </c>
      <c r="F681" s="24" t="s">
        <v>879</v>
      </c>
      <c r="G681" s="238">
        <v>1701</v>
      </c>
      <c r="H681" s="121"/>
      <c r="I681" s="24">
        <v>1479143</v>
      </c>
      <c r="J681" s="199"/>
      <c r="K681" s="24">
        <f t="shared" si="63"/>
        <v>1479143</v>
      </c>
      <c r="L681" s="24"/>
      <c r="M681" s="24">
        <f t="shared" si="64"/>
        <v>0</v>
      </c>
      <c r="N681" s="129">
        <f t="shared" si="65"/>
        <v>1479143</v>
      </c>
      <c r="O681" s="108" t="s">
        <v>880</v>
      </c>
      <c r="Q681" s="266"/>
      <c r="R681" s="212"/>
      <c r="S681" s="212"/>
      <c r="T681" s="212"/>
      <c r="U681" s="212"/>
      <c r="V681" s="212"/>
      <c r="W681" s="212"/>
      <c r="X681" s="212"/>
      <c r="Y681" s="212"/>
      <c r="Z681" s="212"/>
      <c r="AA681" s="267"/>
      <c r="AB681" s="267"/>
      <c r="AC681" s="267"/>
      <c r="AD681" s="267"/>
      <c r="AE681" s="267"/>
      <c r="AF681" s="268"/>
      <c r="AG681" s="268"/>
      <c r="AH681" s="268"/>
      <c r="AI681" s="269"/>
      <c r="AJ681" s="269"/>
      <c r="AK681" s="269"/>
      <c r="AL681" s="269"/>
      <c r="AM681" s="269"/>
      <c r="AN681" s="269"/>
      <c r="AO681" s="269"/>
      <c r="AP681" s="269"/>
      <c r="AQ681" s="269"/>
      <c r="AR681" s="269"/>
      <c r="AS681" s="269"/>
      <c r="AT681" s="269"/>
      <c r="AU681" s="269"/>
      <c r="AV681" s="269"/>
      <c r="AW681" s="269"/>
      <c r="AX681" s="269"/>
      <c r="AY681" s="268"/>
      <c r="AZ681" s="268"/>
      <c r="BA681" s="268"/>
      <c r="BB681" s="268"/>
      <c r="BC681" s="268"/>
      <c r="BD681" s="268"/>
      <c r="BE681" s="268"/>
      <c r="BF681" s="268"/>
      <c r="BG681" s="269"/>
      <c r="BH681" s="269"/>
      <c r="BI681" s="269"/>
      <c r="BJ681" s="269"/>
      <c r="BK681" s="269"/>
      <c r="BL681" s="269"/>
      <c r="BM681" s="269"/>
      <c r="BN681" s="269"/>
      <c r="BO681" s="269"/>
      <c r="BP681" s="269"/>
      <c r="BQ681" s="269"/>
      <c r="BR681" s="269"/>
      <c r="BS681" s="269"/>
      <c r="BT681" s="269"/>
      <c r="BU681" s="269"/>
      <c r="BV681" s="269"/>
      <c r="BW681" s="268"/>
      <c r="BX681" s="268"/>
      <c r="BY681" s="268"/>
      <c r="BZ681" s="268"/>
      <c r="CA681" s="268"/>
      <c r="CB681" s="268"/>
      <c r="CC681" s="268"/>
      <c r="CD681" s="268"/>
      <c r="CE681" s="269"/>
      <c r="CF681" s="269"/>
      <c r="CG681" s="269"/>
      <c r="CH681" s="269"/>
      <c r="CI681" s="269"/>
      <c r="CJ681" s="269"/>
      <c r="CK681" s="269"/>
      <c r="CL681" s="269"/>
      <c r="CM681" s="269"/>
      <c r="CN681" s="269"/>
      <c r="CO681" s="269"/>
      <c r="CP681" s="269"/>
      <c r="CQ681" s="269"/>
      <c r="CR681" s="269"/>
      <c r="CS681" s="269"/>
      <c r="CT681" s="269"/>
      <c r="CU681" s="268"/>
      <c r="CV681" s="268"/>
      <c r="CW681" s="268"/>
      <c r="CX681" s="268"/>
      <c r="CY681" s="268"/>
      <c r="CZ681" s="268"/>
      <c r="DA681" s="268"/>
      <c r="DB681" s="268"/>
      <c r="DC681" s="269"/>
      <c r="DD681" s="269"/>
      <c r="DE681" s="269"/>
      <c r="DF681" s="269"/>
      <c r="DG681" s="269"/>
      <c r="DH681" s="269"/>
      <c r="DI681" s="269"/>
      <c r="DJ681" s="269"/>
      <c r="DK681" s="269"/>
      <c r="DL681" s="269"/>
      <c r="DM681" s="269"/>
      <c r="DN681" s="269"/>
      <c r="DO681" s="269"/>
      <c r="DP681" s="269"/>
      <c r="DQ681" s="269"/>
      <c r="DR681" s="269"/>
      <c r="DS681" s="268"/>
      <c r="DT681" s="268"/>
      <c r="DU681" s="268"/>
      <c r="DV681" s="268"/>
      <c r="DW681" s="268"/>
      <c r="DX681" s="268"/>
      <c r="DY681" s="268"/>
      <c r="DZ681" s="268"/>
      <c r="EA681" s="269"/>
      <c r="EB681" s="269"/>
      <c r="EC681" s="269"/>
      <c r="ED681" s="269"/>
      <c r="EE681" s="269"/>
      <c r="EF681" s="269"/>
      <c r="EG681" s="269"/>
      <c r="EH681" s="269"/>
      <c r="EI681" s="269"/>
      <c r="EJ681" s="269"/>
      <c r="EK681" s="269"/>
      <c r="EL681" s="269"/>
      <c r="EM681" s="269"/>
      <c r="EN681" s="269"/>
      <c r="EO681" s="269"/>
      <c r="EP681" s="269"/>
      <c r="EQ681" s="268"/>
      <c r="ER681" s="268"/>
      <c r="ES681" s="268"/>
      <c r="ET681" s="268"/>
      <c r="EU681" s="268"/>
      <c r="EV681" s="268"/>
      <c r="EW681" s="268"/>
      <c r="EX681" s="268"/>
      <c r="EY681" s="269"/>
      <c r="EZ681" s="269"/>
      <c r="FA681" s="269"/>
      <c r="FB681" s="269"/>
      <c r="FC681" s="269"/>
      <c r="FD681" s="269"/>
      <c r="FE681" s="269"/>
      <c r="FF681" s="269"/>
      <c r="FG681" s="269"/>
      <c r="FH681" s="269"/>
      <c r="FI681" s="269"/>
      <c r="FJ681" s="269"/>
      <c r="FK681" s="269"/>
      <c r="FL681" s="269"/>
      <c r="FM681" s="269"/>
      <c r="FN681" s="269"/>
      <c r="FO681" s="268"/>
      <c r="FP681" s="268"/>
      <c r="FQ681" s="268"/>
      <c r="FR681" s="268"/>
      <c r="FS681" s="268"/>
      <c r="FT681" s="268"/>
      <c r="FU681" s="268"/>
      <c r="FV681" s="268"/>
      <c r="FW681" s="269"/>
      <c r="FX681" s="269"/>
      <c r="FY681" s="269"/>
      <c r="FZ681" s="269"/>
      <c r="GA681" s="269"/>
      <c r="GB681" s="269"/>
      <c r="GC681" s="269"/>
      <c r="GD681" s="269"/>
      <c r="GE681" s="269"/>
      <c r="GF681" s="269"/>
      <c r="GG681" s="269"/>
      <c r="GH681" s="269"/>
      <c r="GI681" s="269"/>
      <c r="GJ681" s="269"/>
      <c r="GK681" s="269"/>
      <c r="GL681" s="269"/>
      <c r="GM681" s="268"/>
      <c r="GN681" s="268"/>
      <c r="GO681" s="268"/>
      <c r="GP681" s="268"/>
      <c r="GQ681" s="268"/>
      <c r="GR681" s="268"/>
      <c r="GS681" s="268"/>
      <c r="GT681" s="268"/>
      <c r="GU681" s="269"/>
      <c r="GV681" s="269"/>
      <c r="GW681" s="269"/>
      <c r="GX681" s="269"/>
      <c r="GY681" s="269"/>
      <c r="GZ681" s="269"/>
      <c r="HA681" s="269"/>
      <c r="HB681" s="269"/>
      <c r="HC681" s="269"/>
      <c r="HD681" s="269"/>
      <c r="HE681" s="269"/>
      <c r="HF681" s="269"/>
      <c r="HG681" s="269"/>
      <c r="HH681" s="269"/>
      <c r="HI681" s="269"/>
      <c r="HJ681" s="269"/>
      <c r="HK681" s="268"/>
      <c r="HL681" s="268"/>
      <c r="HM681" s="268"/>
      <c r="HN681" s="268"/>
      <c r="HO681" s="268"/>
      <c r="HP681" s="268"/>
      <c r="HQ681" s="268"/>
      <c r="HR681" s="268"/>
      <c r="HS681" s="269"/>
      <c r="HT681" s="269"/>
      <c r="HU681" s="269"/>
      <c r="HV681" s="269"/>
      <c r="HW681" s="269"/>
      <c r="HX681" s="269"/>
      <c r="HY681" s="269"/>
      <c r="HZ681" s="269"/>
      <c r="IA681" s="269"/>
      <c r="IB681" s="269"/>
      <c r="IC681" s="269"/>
      <c r="ID681" s="269"/>
      <c r="IE681" s="269"/>
      <c r="IF681" s="269"/>
      <c r="IG681" s="269"/>
      <c r="IH681" s="269"/>
      <c r="II681" s="268"/>
      <c r="IJ681" s="268"/>
      <c r="IK681" s="268"/>
      <c r="IL681" s="268"/>
      <c r="IM681" s="268"/>
      <c r="IN681" s="268"/>
      <c r="IO681" s="268"/>
      <c r="IP681" s="268"/>
      <c r="IQ681" s="269"/>
      <c r="IR681" s="269"/>
      <c r="IS681" s="269"/>
      <c r="IT681" s="269"/>
      <c r="IU681" s="269"/>
      <c r="IV681" s="269"/>
    </row>
    <row r="682" spans="1:256" s="125" customFormat="1">
      <c r="A682" s="76">
        <v>37</v>
      </c>
      <c r="B682" s="56">
        <v>42857</v>
      </c>
      <c r="C682" s="18"/>
      <c r="D682" s="19" t="s">
        <v>841</v>
      </c>
      <c r="E682" s="20" t="s">
        <v>380</v>
      </c>
      <c r="F682" s="24" t="s">
        <v>881</v>
      </c>
      <c r="G682" s="238">
        <v>1702</v>
      </c>
      <c r="H682" s="121"/>
      <c r="I682" s="24">
        <v>1461429</v>
      </c>
      <c r="J682" s="199"/>
      <c r="K682" s="24">
        <f t="shared" si="63"/>
        <v>1461429</v>
      </c>
      <c r="L682" s="24"/>
      <c r="M682" s="24">
        <f t="shared" si="64"/>
        <v>0</v>
      </c>
      <c r="N682" s="129">
        <f t="shared" si="65"/>
        <v>1461429</v>
      </c>
      <c r="O682" s="108" t="s">
        <v>882</v>
      </c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130"/>
      <c r="AB682" s="130"/>
      <c r="AC682" s="130"/>
      <c r="AD682" s="130"/>
      <c r="AE682" s="130"/>
      <c r="AF682" s="130"/>
      <c r="AG682" s="130"/>
      <c r="AH682" s="130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130"/>
      <c r="AZ682" s="130"/>
      <c r="BA682" s="130"/>
      <c r="BB682" s="130"/>
      <c r="BC682" s="130"/>
      <c r="BD682" s="130"/>
      <c r="BE682" s="130"/>
      <c r="BF682" s="130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130"/>
      <c r="BX682" s="130"/>
      <c r="BY682" s="130"/>
      <c r="BZ682" s="130"/>
      <c r="CA682" s="130"/>
      <c r="CB682" s="130"/>
      <c r="CC682" s="130"/>
      <c r="CD682" s="130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130"/>
      <c r="CV682" s="130"/>
      <c r="CW682" s="130"/>
      <c r="CX682" s="130"/>
      <c r="CY682" s="130"/>
      <c r="CZ682" s="130"/>
      <c r="DA682" s="130"/>
      <c r="DB682" s="130"/>
      <c r="DC682" s="3"/>
      <c r="DD682" s="3"/>
      <c r="DE682" s="3"/>
      <c r="DF682" s="3"/>
      <c r="DG682" s="3"/>
      <c r="DH682" s="3"/>
      <c r="DI682" s="3"/>
      <c r="DJ682" s="3"/>
      <c r="DK682" s="3"/>
      <c r="DL682" s="3"/>
      <c r="DM682" s="3"/>
      <c r="DN682" s="3"/>
      <c r="DO682" s="3"/>
      <c r="DP682" s="3"/>
      <c r="DQ682" s="3"/>
      <c r="DR682" s="3"/>
      <c r="DS682" s="130"/>
      <c r="DT682" s="130"/>
      <c r="DU682" s="130"/>
      <c r="DV682" s="130"/>
      <c r="DW682" s="130"/>
      <c r="DX682" s="130"/>
      <c r="DY682" s="130"/>
      <c r="DZ682" s="130"/>
      <c r="EA682" s="3"/>
      <c r="EB682" s="3"/>
      <c r="EC682" s="3"/>
      <c r="ED682" s="3"/>
      <c r="EE682" s="3"/>
      <c r="EF682" s="3"/>
      <c r="EG682" s="3"/>
      <c r="EH682" s="3"/>
      <c r="EI682" s="3"/>
      <c r="EJ682" s="3"/>
      <c r="EK682" s="3"/>
      <c r="EL682" s="3"/>
      <c r="EM682" s="3"/>
      <c r="EN682" s="3"/>
      <c r="EO682" s="3"/>
      <c r="EP682" s="3"/>
      <c r="EQ682" s="130"/>
      <c r="ER682" s="130"/>
      <c r="ES682" s="130"/>
      <c r="ET682" s="130"/>
      <c r="EU682" s="130"/>
      <c r="EV682" s="130"/>
      <c r="EW682" s="130"/>
      <c r="EX682" s="130"/>
      <c r="EY682" s="3"/>
      <c r="EZ682" s="3"/>
      <c r="FA682" s="3"/>
      <c r="FB682" s="3"/>
      <c r="FC682" s="3"/>
      <c r="FD682" s="3"/>
      <c r="FE682" s="3"/>
      <c r="FF682" s="3"/>
      <c r="FG682" s="3"/>
      <c r="FH682" s="3"/>
      <c r="FI682" s="3"/>
      <c r="FJ682" s="3"/>
      <c r="FK682" s="3"/>
      <c r="FL682" s="3"/>
      <c r="FM682" s="3"/>
      <c r="FN682" s="3"/>
      <c r="FO682" s="130"/>
      <c r="FP682" s="130"/>
      <c r="FQ682" s="130"/>
      <c r="FR682" s="130"/>
      <c r="FS682" s="130"/>
      <c r="FT682" s="130"/>
      <c r="FU682" s="130"/>
      <c r="FV682" s="130"/>
      <c r="FW682" s="3"/>
      <c r="FX682" s="3"/>
      <c r="FY682" s="3"/>
      <c r="FZ682" s="3"/>
      <c r="GA682" s="3"/>
      <c r="GB682" s="3"/>
      <c r="GC682" s="3"/>
      <c r="GD682" s="3"/>
      <c r="GE682" s="3"/>
      <c r="GF682" s="3"/>
      <c r="GG682" s="3"/>
      <c r="GH682" s="3"/>
      <c r="GI682" s="3"/>
      <c r="GJ682" s="3"/>
      <c r="GK682" s="3"/>
      <c r="GL682" s="3"/>
      <c r="GM682" s="130"/>
      <c r="GN682" s="130"/>
      <c r="GO682" s="130"/>
      <c r="GP682" s="130"/>
      <c r="GQ682" s="130"/>
      <c r="GR682" s="130"/>
      <c r="GS682" s="130"/>
      <c r="GT682" s="130"/>
      <c r="GU682" s="3"/>
      <c r="GV682" s="3"/>
      <c r="GW682" s="3"/>
      <c r="GX682" s="3"/>
      <c r="GY682" s="3"/>
      <c r="GZ682" s="3"/>
      <c r="HA682" s="3"/>
      <c r="HB682" s="3"/>
      <c r="HC682" s="3"/>
      <c r="HD682" s="3"/>
      <c r="HE682" s="3"/>
      <c r="HF682" s="3"/>
      <c r="HG682" s="3"/>
      <c r="HH682" s="3"/>
      <c r="HI682" s="3"/>
      <c r="HJ682" s="3"/>
      <c r="HK682" s="130"/>
      <c r="HL682" s="130"/>
      <c r="HM682" s="130"/>
      <c r="HN682" s="130"/>
      <c r="HO682" s="130"/>
      <c r="HP682" s="130"/>
      <c r="HQ682" s="130"/>
      <c r="HR682" s="130"/>
      <c r="HS682" s="3"/>
      <c r="HT682" s="3"/>
      <c r="HU682" s="3"/>
      <c r="HV682" s="3"/>
      <c r="HW682" s="3"/>
      <c r="HX682" s="3"/>
      <c r="HY682" s="3"/>
      <c r="HZ682" s="3"/>
      <c r="IA682" s="3"/>
      <c r="IB682" s="3"/>
      <c r="IC682" s="3"/>
      <c r="ID682" s="3"/>
      <c r="IE682" s="3"/>
      <c r="IF682" s="3"/>
      <c r="IG682" s="3"/>
      <c r="IH682" s="3"/>
      <c r="II682" s="130"/>
      <c r="IJ682" s="130"/>
      <c r="IK682" s="130"/>
      <c r="IL682" s="130"/>
      <c r="IM682" s="130"/>
      <c r="IN682" s="130"/>
      <c r="IO682" s="130"/>
      <c r="IP682" s="130"/>
      <c r="IQ682" s="3"/>
      <c r="IR682" s="3"/>
      <c r="IS682" s="3"/>
      <c r="IT682" s="3"/>
      <c r="IU682" s="3"/>
      <c r="IV682" s="3"/>
    </row>
    <row r="683" spans="1:256" s="125" customFormat="1">
      <c r="A683" s="76">
        <v>38</v>
      </c>
      <c r="B683" s="56">
        <v>43027</v>
      </c>
      <c r="C683" s="18"/>
      <c r="D683" s="19" t="s">
        <v>841</v>
      </c>
      <c r="E683" s="20" t="s">
        <v>383</v>
      </c>
      <c r="F683" s="24" t="s">
        <v>883</v>
      </c>
      <c r="G683" s="238">
        <v>1707</v>
      </c>
      <c r="H683" s="121">
        <f>1472500-30000</f>
        <v>1442500</v>
      </c>
      <c r="I683" s="24"/>
      <c r="J683" s="199">
        <f>SUM(H683)/1.05</f>
        <v>1373809.5238095238</v>
      </c>
      <c r="K683" s="24">
        <f t="shared" si="63"/>
        <v>1373809.5238095238</v>
      </c>
      <c r="L683" s="24"/>
      <c r="M683" s="24">
        <f t="shared" si="64"/>
        <v>0</v>
      </c>
      <c r="N683" s="129">
        <f t="shared" si="65"/>
        <v>1373809.5238095238</v>
      </c>
      <c r="O683" s="108" t="s">
        <v>884</v>
      </c>
      <c r="P683" s="3"/>
      <c r="Q683" s="140"/>
      <c r="R683" s="3"/>
      <c r="S683" s="3"/>
      <c r="T683" s="3"/>
      <c r="U683" s="3"/>
      <c r="V683" s="3"/>
      <c r="W683" s="3"/>
      <c r="X683" s="3"/>
      <c r="Y683" s="3"/>
      <c r="Z683" s="3"/>
      <c r="AA683" s="130"/>
      <c r="AB683" s="130"/>
      <c r="AC683" s="130"/>
      <c r="AD683" s="130"/>
      <c r="AE683" s="130"/>
      <c r="AF683" s="130"/>
      <c r="AG683" s="130"/>
      <c r="AH683" s="130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130"/>
      <c r="AZ683" s="130"/>
      <c r="BA683" s="130"/>
      <c r="BB683" s="130"/>
      <c r="BC683" s="130"/>
      <c r="BD683" s="130"/>
      <c r="BE683" s="130"/>
      <c r="BF683" s="130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130"/>
      <c r="BX683" s="130"/>
      <c r="BY683" s="130"/>
      <c r="BZ683" s="130"/>
      <c r="CA683" s="130"/>
      <c r="CB683" s="130"/>
      <c r="CC683" s="130"/>
      <c r="CD683" s="130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130"/>
      <c r="CV683" s="130"/>
      <c r="CW683" s="130"/>
      <c r="CX683" s="130"/>
      <c r="CY683" s="130"/>
      <c r="CZ683" s="130"/>
      <c r="DA683" s="130"/>
      <c r="DB683" s="130"/>
      <c r="DC683" s="3"/>
      <c r="DD683" s="3"/>
      <c r="DE683" s="3"/>
      <c r="DF683" s="3"/>
      <c r="DG683" s="3"/>
      <c r="DH683" s="3"/>
      <c r="DI683" s="3"/>
      <c r="DJ683" s="3"/>
      <c r="DK683" s="3"/>
      <c r="DL683" s="3"/>
      <c r="DM683" s="3"/>
      <c r="DN683" s="3"/>
      <c r="DO683" s="3"/>
      <c r="DP683" s="3"/>
      <c r="DQ683" s="3"/>
      <c r="DR683" s="3"/>
      <c r="DS683" s="130"/>
      <c r="DT683" s="130"/>
      <c r="DU683" s="130"/>
      <c r="DV683" s="130"/>
      <c r="DW683" s="130"/>
      <c r="DX683" s="130"/>
      <c r="DY683" s="130"/>
      <c r="DZ683" s="130"/>
      <c r="EA683" s="3"/>
      <c r="EB683" s="3"/>
      <c r="EC683" s="3"/>
      <c r="ED683" s="3"/>
      <c r="EE683" s="3"/>
      <c r="EF683" s="3"/>
      <c r="EG683" s="3"/>
      <c r="EH683" s="3"/>
      <c r="EI683" s="3"/>
      <c r="EJ683" s="3"/>
      <c r="EK683" s="3"/>
      <c r="EL683" s="3"/>
      <c r="EM683" s="3"/>
      <c r="EN683" s="3"/>
      <c r="EO683" s="3"/>
      <c r="EP683" s="3"/>
      <c r="EQ683" s="130"/>
      <c r="ER683" s="130"/>
      <c r="ES683" s="130"/>
      <c r="ET683" s="130"/>
      <c r="EU683" s="130"/>
      <c r="EV683" s="130"/>
      <c r="EW683" s="130"/>
      <c r="EX683" s="130"/>
      <c r="EY683" s="3"/>
      <c r="EZ683" s="3"/>
      <c r="FA683" s="3"/>
      <c r="FB683" s="3"/>
      <c r="FC683" s="3"/>
      <c r="FD683" s="3"/>
      <c r="FE683" s="3"/>
      <c r="FF683" s="3"/>
      <c r="FG683" s="3"/>
      <c r="FH683" s="3"/>
      <c r="FI683" s="3"/>
      <c r="FJ683" s="3"/>
      <c r="FK683" s="3"/>
      <c r="FL683" s="3"/>
      <c r="FM683" s="3"/>
      <c r="FN683" s="3"/>
      <c r="FO683" s="130"/>
      <c r="FP683" s="130"/>
      <c r="FQ683" s="130"/>
      <c r="FR683" s="130"/>
      <c r="FS683" s="130"/>
      <c r="FT683" s="130"/>
      <c r="FU683" s="130"/>
      <c r="FV683" s="130"/>
      <c r="FW683" s="3"/>
      <c r="FX683" s="3"/>
      <c r="FY683" s="3"/>
      <c r="FZ683" s="3"/>
      <c r="GA683" s="3"/>
      <c r="GB683" s="3"/>
      <c r="GC683" s="3"/>
      <c r="GD683" s="3"/>
      <c r="GE683" s="3"/>
      <c r="GF683" s="3"/>
      <c r="GG683" s="3"/>
      <c r="GH683" s="3"/>
      <c r="GI683" s="3"/>
      <c r="GJ683" s="3"/>
      <c r="GK683" s="3"/>
      <c r="GL683" s="3"/>
      <c r="GM683" s="130"/>
      <c r="GN683" s="130"/>
      <c r="GO683" s="130"/>
      <c r="GP683" s="130"/>
      <c r="GQ683" s="130"/>
      <c r="GR683" s="130"/>
      <c r="GS683" s="130"/>
      <c r="GT683" s="130"/>
      <c r="GU683" s="3"/>
      <c r="GV683" s="3"/>
      <c r="GW683" s="3"/>
      <c r="GX683" s="3"/>
      <c r="GY683" s="3"/>
      <c r="GZ683" s="3"/>
      <c r="HA683" s="3"/>
      <c r="HB683" s="3"/>
      <c r="HC683" s="3"/>
      <c r="HD683" s="3"/>
      <c r="HE683" s="3"/>
      <c r="HF683" s="3"/>
      <c r="HG683" s="3"/>
      <c r="HH683" s="3"/>
      <c r="HI683" s="3"/>
      <c r="HJ683" s="3"/>
      <c r="HK683" s="130"/>
      <c r="HL683" s="130"/>
      <c r="HM683" s="130"/>
      <c r="HN683" s="130"/>
      <c r="HO683" s="130"/>
      <c r="HP683" s="130"/>
      <c r="HQ683" s="130"/>
      <c r="HR683" s="130"/>
      <c r="HS683" s="3"/>
      <c r="HT683" s="3"/>
      <c r="HU683" s="3"/>
      <c r="HV683" s="3"/>
      <c r="HW683" s="3"/>
      <c r="HX683" s="3"/>
      <c r="HY683" s="3"/>
      <c r="HZ683" s="3"/>
      <c r="IA683" s="3"/>
      <c r="IB683" s="3"/>
      <c r="IC683" s="3"/>
      <c r="ID683" s="3"/>
      <c r="IE683" s="3"/>
      <c r="IF683" s="3"/>
      <c r="IG683" s="3"/>
      <c r="IH683" s="3"/>
      <c r="II683" s="130"/>
      <c r="IJ683" s="130"/>
      <c r="IK683" s="130"/>
      <c r="IL683" s="130"/>
      <c r="IM683" s="130"/>
      <c r="IN683" s="130"/>
      <c r="IO683" s="130"/>
      <c r="IP683" s="130"/>
      <c r="IQ683" s="3"/>
      <c r="IR683" s="3"/>
      <c r="IS683" s="3"/>
      <c r="IT683" s="3"/>
      <c r="IU683" s="3"/>
      <c r="IV683" s="3"/>
    </row>
    <row r="684" spans="1:256" s="125" customFormat="1">
      <c r="A684" s="76">
        <v>39</v>
      </c>
      <c r="B684" s="56">
        <v>43028</v>
      </c>
      <c r="C684" s="18"/>
      <c r="D684" s="19" t="s">
        <v>841</v>
      </c>
      <c r="E684" s="20" t="s">
        <v>383</v>
      </c>
      <c r="F684" s="24" t="s">
        <v>885</v>
      </c>
      <c r="G684" s="238">
        <v>1707</v>
      </c>
      <c r="H684" s="121">
        <f>1472500-30000</f>
        <v>1442500</v>
      </c>
      <c r="I684" s="24"/>
      <c r="J684" s="199">
        <f>SUM(H684)/1.05</f>
        <v>1373809.5238095238</v>
      </c>
      <c r="K684" s="24">
        <f t="shared" si="63"/>
        <v>1373809.5238095238</v>
      </c>
      <c r="L684" s="24"/>
      <c r="M684" s="24">
        <f t="shared" si="64"/>
        <v>0</v>
      </c>
      <c r="N684" s="129">
        <f t="shared" si="65"/>
        <v>1373809.5238095238</v>
      </c>
      <c r="O684" s="108" t="s">
        <v>886</v>
      </c>
      <c r="P684" s="3"/>
      <c r="Q684" s="140"/>
      <c r="R684" s="3"/>
      <c r="S684" s="3"/>
      <c r="T684" s="3"/>
      <c r="U684" s="3"/>
      <c r="V684" s="3"/>
      <c r="W684" s="3"/>
      <c r="X684" s="3"/>
      <c r="Y684" s="3"/>
      <c r="Z684" s="3"/>
      <c r="AA684" s="130"/>
      <c r="AB684" s="130"/>
      <c r="AC684" s="130"/>
      <c r="AD684" s="130"/>
      <c r="AE684" s="130"/>
      <c r="AF684" s="167"/>
      <c r="AG684" s="167"/>
      <c r="AH684" s="167"/>
      <c r="AY684" s="167"/>
      <c r="AZ684" s="167"/>
      <c r="BA684" s="167"/>
      <c r="BB684" s="167"/>
      <c r="BC684" s="167"/>
      <c r="BD684" s="167"/>
      <c r="BE684" s="167"/>
      <c r="BF684" s="167"/>
      <c r="BW684" s="167"/>
      <c r="BX684" s="167"/>
      <c r="BY684" s="167"/>
      <c r="BZ684" s="167"/>
      <c r="CA684" s="167"/>
      <c r="CB684" s="167"/>
      <c r="CC684" s="167"/>
      <c r="CD684" s="167"/>
      <c r="CU684" s="167"/>
      <c r="CV684" s="167"/>
      <c r="CW684" s="167"/>
      <c r="CX684" s="167"/>
      <c r="CY684" s="167"/>
      <c r="CZ684" s="167"/>
      <c r="DA684" s="167"/>
      <c r="DB684" s="167"/>
      <c r="DS684" s="167"/>
      <c r="DT684" s="167"/>
      <c r="DU684" s="167"/>
      <c r="DV684" s="167"/>
      <c r="DW684" s="167"/>
      <c r="DX684" s="167"/>
      <c r="DY684" s="167"/>
      <c r="DZ684" s="167"/>
      <c r="EQ684" s="167"/>
      <c r="ER684" s="167"/>
      <c r="ES684" s="167"/>
      <c r="ET684" s="167"/>
      <c r="EU684" s="167"/>
      <c r="EV684" s="167"/>
      <c r="EW684" s="167"/>
      <c r="EX684" s="167"/>
      <c r="FO684" s="167"/>
      <c r="FP684" s="167"/>
      <c r="FQ684" s="167"/>
      <c r="FR684" s="167"/>
      <c r="FS684" s="167"/>
      <c r="FT684" s="167"/>
      <c r="FU684" s="167"/>
      <c r="FV684" s="167"/>
      <c r="GM684" s="167"/>
      <c r="GN684" s="167"/>
      <c r="GO684" s="167"/>
      <c r="GP684" s="167"/>
      <c r="GQ684" s="167"/>
      <c r="GR684" s="167"/>
      <c r="GS684" s="167"/>
      <c r="GT684" s="167"/>
      <c r="HK684" s="167"/>
      <c r="HL684" s="167"/>
      <c r="HM684" s="167"/>
      <c r="HN684" s="167"/>
      <c r="HO684" s="167"/>
      <c r="HP684" s="167"/>
      <c r="HQ684" s="167"/>
      <c r="HR684" s="167"/>
      <c r="II684" s="167"/>
      <c r="IJ684" s="167"/>
      <c r="IK684" s="167"/>
      <c r="IL684" s="167"/>
      <c r="IM684" s="167"/>
      <c r="IN684" s="167"/>
      <c r="IO684" s="167"/>
      <c r="IP684" s="167"/>
    </row>
    <row r="685" spans="1:256" s="125" customFormat="1">
      <c r="A685" s="76">
        <v>40</v>
      </c>
      <c r="B685" s="56">
        <v>43027</v>
      </c>
      <c r="C685" s="18"/>
      <c r="D685" s="19" t="s">
        <v>841</v>
      </c>
      <c r="E685" s="20" t="s">
        <v>401</v>
      </c>
      <c r="F685" s="24" t="s">
        <v>887</v>
      </c>
      <c r="G685" s="238">
        <v>1707</v>
      </c>
      <c r="H685" s="121">
        <f>1618200-30000</f>
        <v>1588200</v>
      </c>
      <c r="I685" s="24"/>
      <c r="J685" s="199">
        <f>SUM(H685)/1.05</f>
        <v>1512571.4285714284</v>
      </c>
      <c r="K685" s="24">
        <f t="shared" si="63"/>
        <v>1512571.4285714284</v>
      </c>
      <c r="L685" s="24"/>
      <c r="M685" s="24">
        <f t="shared" si="64"/>
        <v>0</v>
      </c>
      <c r="N685" s="124">
        <f t="shared" si="65"/>
        <v>1512571.4285714284</v>
      </c>
      <c r="O685" s="108" t="s">
        <v>888</v>
      </c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  <c r="CW685" s="3"/>
      <c r="CX685" s="3"/>
      <c r="CY685" s="3"/>
      <c r="CZ685" s="3"/>
      <c r="DA685" s="3"/>
      <c r="DB685" s="3"/>
      <c r="DC685" s="3"/>
      <c r="DD685" s="3"/>
      <c r="DE685" s="3"/>
      <c r="DF685" s="3"/>
      <c r="DG685" s="3"/>
      <c r="DH685" s="3"/>
      <c r="DI685" s="3"/>
      <c r="DJ685" s="3"/>
      <c r="DK685" s="3"/>
      <c r="DL685" s="3"/>
      <c r="DM685" s="3"/>
      <c r="DN685" s="3"/>
      <c r="DO685" s="3"/>
      <c r="DP685" s="3"/>
      <c r="DQ685" s="3"/>
      <c r="DR685" s="3"/>
      <c r="DS685" s="3"/>
      <c r="DT685" s="3"/>
      <c r="DU685" s="3"/>
      <c r="DV685" s="3"/>
      <c r="DW685" s="3"/>
      <c r="DX685" s="3"/>
      <c r="DY685" s="3"/>
      <c r="DZ685" s="3"/>
      <c r="EA685" s="3"/>
      <c r="EB685" s="3"/>
      <c r="EC685" s="3"/>
      <c r="ED685" s="3"/>
      <c r="EE685" s="3"/>
      <c r="EF685" s="3"/>
      <c r="EG685" s="3"/>
      <c r="EH685" s="3"/>
      <c r="EI685" s="3"/>
      <c r="EJ685" s="3"/>
      <c r="EK685" s="3"/>
      <c r="EL685" s="3"/>
      <c r="EM685" s="3"/>
      <c r="EN685" s="3"/>
      <c r="EO685" s="3"/>
      <c r="EP685" s="3"/>
      <c r="EQ685" s="3"/>
      <c r="ER685" s="3"/>
      <c r="ES685" s="3"/>
      <c r="ET685" s="3"/>
      <c r="EU685" s="3"/>
      <c r="EV685" s="3"/>
      <c r="EW685" s="3"/>
      <c r="EX685" s="3"/>
      <c r="EY685" s="3"/>
      <c r="EZ685" s="3"/>
      <c r="FA685" s="3"/>
      <c r="FB685" s="3"/>
      <c r="FC685" s="3"/>
      <c r="FD685" s="3"/>
      <c r="FE685" s="3"/>
      <c r="FF685" s="3"/>
      <c r="FG685" s="3"/>
      <c r="FH685" s="3"/>
      <c r="FI685" s="3"/>
      <c r="FJ685" s="3"/>
      <c r="FK685" s="3"/>
      <c r="FL685" s="3"/>
      <c r="FM685" s="3"/>
      <c r="FN685" s="3"/>
      <c r="FO685" s="3"/>
      <c r="FP685" s="3"/>
      <c r="FQ685" s="3"/>
      <c r="FR685" s="3"/>
      <c r="FS685" s="3"/>
      <c r="FT685" s="3"/>
      <c r="FU685" s="3"/>
      <c r="FV685" s="3"/>
      <c r="FW685" s="3"/>
      <c r="FX685" s="3"/>
      <c r="FY685" s="3"/>
      <c r="FZ685" s="3"/>
      <c r="GA685" s="3"/>
      <c r="GB685" s="3"/>
      <c r="GC685" s="3"/>
      <c r="GD685" s="3"/>
      <c r="GE685" s="3"/>
      <c r="GF685" s="3"/>
      <c r="GG685" s="3"/>
      <c r="GH685" s="3"/>
      <c r="GI685" s="3"/>
      <c r="GJ685" s="3"/>
      <c r="GK685" s="3"/>
      <c r="GL685" s="3"/>
      <c r="GM685" s="3"/>
      <c r="GN685" s="3"/>
      <c r="GO685" s="3"/>
      <c r="GP685" s="3"/>
      <c r="GQ685" s="3"/>
      <c r="GR685" s="3"/>
      <c r="GS685" s="3"/>
      <c r="GT685" s="3"/>
      <c r="GU685" s="3"/>
      <c r="GV685" s="3"/>
      <c r="GW685" s="3"/>
      <c r="GX685" s="3"/>
      <c r="GY685" s="3"/>
      <c r="GZ685" s="3"/>
      <c r="HA685" s="3"/>
      <c r="HB685" s="3"/>
      <c r="HC685" s="3"/>
      <c r="HD685" s="3"/>
      <c r="HE685" s="3"/>
      <c r="HF685" s="3"/>
      <c r="HG685" s="3"/>
      <c r="HH685" s="3"/>
      <c r="HI685" s="3"/>
      <c r="HJ685" s="3"/>
      <c r="HK685" s="3"/>
      <c r="HL685" s="3"/>
      <c r="HM685" s="3"/>
      <c r="HN685" s="3"/>
      <c r="HO685" s="3"/>
      <c r="HP685" s="3"/>
      <c r="HQ685" s="3"/>
      <c r="HR685" s="3"/>
      <c r="HS685" s="3"/>
      <c r="HT685" s="3"/>
      <c r="HU685" s="3"/>
      <c r="HV685" s="3"/>
      <c r="HW685" s="3"/>
      <c r="HX685" s="3"/>
      <c r="HY685" s="3"/>
      <c r="HZ685" s="3"/>
      <c r="IA685" s="3"/>
      <c r="IB685" s="3"/>
      <c r="IC685" s="3"/>
      <c r="ID685" s="3"/>
      <c r="IE685" s="3"/>
      <c r="IF685" s="3"/>
      <c r="IG685" s="3"/>
      <c r="IH685" s="3"/>
      <c r="II685" s="3"/>
      <c r="IJ685" s="3"/>
      <c r="IK685" s="3"/>
      <c r="IL685" s="3"/>
      <c r="IM685" s="3"/>
      <c r="IN685" s="3"/>
      <c r="IO685" s="3"/>
      <c r="IP685" s="3"/>
      <c r="IQ685" s="3"/>
      <c r="IR685" s="3"/>
      <c r="IS685" s="3"/>
      <c r="IT685" s="3"/>
      <c r="IU685" s="3"/>
      <c r="IV685" s="3"/>
    </row>
    <row r="686" spans="1:256" s="3" customFormat="1">
      <c r="A686" s="16">
        <v>1</v>
      </c>
      <c r="B686" s="237"/>
      <c r="C686" s="18"/>
      <c r="D686" s="19" t="s">
        <v>841</v>
      </c>
      <c r="E686" s="270" t="s">
        <v>379</v>
      </c>
      <c r="F686" s="62" t="s">
        <v>889</v>
      </c>
      <c r="G686" s="63"/>
      <c r="H686" s="121"/>
      <c r="I686" s="24">
        <v>1333905</v>
      </c>
      <c r="J686" s="24"/>
      <c r="K686" s="24">
        <f t="shared" si="63"/>
        <v>1333905</v>
      </c>
      <c r="L686" s="123"/>
      <c r="M686" s="24"/>
      <c r="N686" s="124">
        <f t="shared" si="65"/>
        <v>1333905</v>
      </c>
      <c r="O686" s="108"/>
    </row>
    <row r="687" spans="1:256" s="3" customFormat="1">
      <c r="A687" s="16">
        <v>2</v>
      </c>
      <c r="B687" s="237"/>
      <c r="C687" s="18"/>
      <c r="D687" s="19" t="s">
        <v>841</v>
      </c>
      <c r="E687" s="270" t="s">
        <v>379</v>
      </c>
      <c r="F687" s="197" t="s">
        <v>890</v>
      </c>
      <c r="G687" s="181"/>
      <c r="H687" s="121"/>
      <c r="I687" s="24">
        <v>1201524</v>
      </c>
      <c r="J687" s="24"/>
      <c r="K687" s="199">
        <f t="shared" si="63"/>
        <v>1201524</v>
      </c>
      <c r="L687" s="26"/>
      <c r="M687" s="24"/>
      <c r="N687" s="124">
        <f t="shared" si="65"/>
        <v>1201524</v>
      </c>
      <c r="O687" s="108"/>
    </row>
    <row r="688" spans="1:256" s="3" customFormat="1">
      <c r="A688" s="16">
        <v>3</v>
      </c>
      <c r="B688" s="237"/>
      <c r="C688" s="18"/>
      <c r="D688" s="19" t="s">
        <v>841</v>
      </c>
      <c r="E688" s="270" t="s">
        <v>385</v>
      </c>
      <c r="F688" s="24" t="s">
        <v>891</v>
      </c>
      <c r="G688" s="238"/>
      <c r="H688" s="121"/>
      <c r="I688" s="24"/>
      <c r="J688" s="24">
        <v>1341000</v>
      </c>
      <c r="K688" s="24">
        <v>1341000</v>
      </c>
      <c r="L688" s="24"/>
      <c r="M688" s="24"/>
      <c r="N688" s="124">
        <v>1341000</v>
      </c>
      <c r="O688" s="108"/>
    </row>
    <row r="689" spans="1:15" s="3" customFormat="1">
      <c r="A689" s="16">
        <v>4</v>
      </c>
      <c r="B689" s="237"/>
      <c r="C689" s="18"/>
      <c r="D689" s="19" t="s">
        <v>841</v>
      </c>
      <c r="E689" s="271" t="s">
        <v>385</v>
      </c>
      <c r="F689" s="24" t="s">
        <v>892</v>
      </c>
      <c r="G689" s="238"/>
      <c r="H689" s="121"/>
      <c r="I689" s="24"/>
      <c r="J689" s="24">
        <v>1341000</v>
      </c>
      <c r="K689" s="24">
        <v>1341000</v>
      </c>
      <c r="L689" s="24"/>
      <c r="M689" s="24"/>
      <c r="N689" s="124">
        <v>1341000</v>
      </c>
      <c r="O689" s="108"/>
    </row>
    <row r="690" spans="1:15" s="3" customFormat="1">
      <c r="A690" s="16">
        <v>5</v>
      </c>
      <c r="B690" s="237"/>
      <c r="C690" s="18"/>
      <c r="D690" s="19" t="s">
        <v>841</v>
      </c>
      <c r="E690" s="270" t="s">
        <v>379</v>
      </c>
      <c r="F690" s="62" t="s">
        <v>893</v>
      </c>
      <c r="G690" s="63"/>
      <c r="H690" s="121"/>
      <c r="I690" s="24">
        <v>1333905</v>
      </c>
      <c r="J690" s="24"/>
      <c r="K690" s="24">
        <f>I690+J690</f>
        <v>1333905</v>
      </c>
      <c r="L690" s="123"/>
      <c r="M690" s="24"/>
      <c r="N690" s="124">
        <f>K690-M690</f>
        <v>1333905</v>
      </c>
      <c r="O690" s="108"/>
    </row>
    <row r="691" spans="1:15" s="3" customFormat="1">
      <c r="A691" s="16">
        <v>6</v>
      </c>
      <c r="B691" s="237"/>
      <c r="C691" s="18"/>
      <c r="D691" s="19" t="s">
        <v>841</v>
      </c>
      <c r="E691" s="270" t="s">
        <v>397</v>
      </c>
      <c r="F691" s="82" t="s">
        <v>894</v>
      </c>
      <c r="G691" s="58"/>
      <c r="H691" s="121"/>
      <c r="I691" s="24">
        <v>1575619</v>
      </c>
      <c r="J691" s="24"/>
      <c r="K691" s="199">
        <f>I691+J691</f>
        <v>1575619</v>
      </c>
      <c r="L691" s="123"/>
      <c r="M691" s="24"/>
      <c r="N691" s="124">
        <f>K691-M691</f>
        <v>1575619</v>
      </c>
      <c r="O691" s="108"/>
    </row>
    <row r="692" spans="1:15" s="3" customFormat="1">
      <c r="A692" s="16">
        <v>7</v>
      </c>
      <c r="B692" s="237"/>
      <c r="C692" s="18"/>
      <c r="D692" s="19" t="s">
        <v>841</v>
      </c>
      <c r="E692" s="272" t="s">
        <v>895</v>
      </c>
      <c r="F692" s="24" t="s">
        <v>896</v>
      </c>
      <c r="G692" s="238"/>
      <c r="H692" s="121"/>
      <c r="I692" s="24">
        <v>1575619</v>
      </c>
      <c r="J692" s="24"/>
      <c r="K692" s="24">
        <v>1575619</v>
      </c>
      <c r="L692" s="24"/>
      <c r="M692" s="24"/>
      <c r="N692" s="124">
        <v>1575619</v>
      </c>
      <c r="O692" s="108"/>
    </row>
    <row r="693" spans="1:15" s="3" customFormat="1">
      <c r="A693" s="16">
        <v>8</v>
      </c>
      <c r="B693" s="56">
        <v>43021</v>
      </c>
      <c r="C693" s="18"/>
      <c r="D693" s="19" t="s">
        <v>841</v>
      </c>
      <c r="E693" s="270" t="s">
        <v>306</v>
      </c>
      <c r="F693" s="24" t="s">
        <v>897</v>
      </c>
      <c r="G693" s="238">
        <v>1708</v>
      </c>
      <c r="H693" s="121">
        <v>1680000</v>
      </c>
      <c r="I693" s="24"/>
      <c r="J693" s="199">
        <f t="shared" ref="J693:J698" si="66">SUM(H693)/1.05</f>
        <v>1600000</v>
      </c>
      <c r="K693" s="24">
        <f t="shared" ref="K693:K727" si="67">I693+J693</f>
        <v>1600000</v>
      </c>
      <c r="L693" s="24"/>
      <c r="M693" s="24">
        <f>K693*L693</f>
        <v>0</v>
      </c>
      <c r="N693" s="124">
        <f t="shared" ref="N693:N727" si="68">K693-M693</f>
        <v>1600000</v>
      </c>
      <c r="O693" s="108" t="s">
        <v>898</v>
      </c>
    </row>
    <row r="694" spans="1:15" s="3" customFormat="1">
      <c r="A694" s="16">
        <v>9</v>
      </c>
      <c r="B694" s="56">
        <v>43066</v>
      </c>
      <c r="C694" s="18"/>
      <c r="D694" s="19" t="s">
        <v>841</v>
      </c>
      <c r="E694" s="270" t="s">
        <v>306</v>
      </c>
      <c r="F694" s="24" t="s">
        <v>899</v>
      </c>
      <c r="G694" s="238">
        <v>1709</v>
      </c>
      <c r="H694" s="121">
        <v>1660000</v>
      </c>
      <c r="I694" s="24"/>
      <c r="J694" s="199">
        <f t="shared" si="66"/>
        <v>1580952.3809523808</v>
      </c>
      <c r="K694" s="24">
        <f t="shared" si="67"/>
        <v>1580952.3809523808</v>
      </c>
      <c r="L694" s="24"/>
      <c r="M694" s="24">
        <f>K694*L694</f>
        <v>0</v>
      </c>
      <c r="N694" s="124">
        <f t="shared" si="68"/>
        <v>1580952.3809523808</v>
      </c>
      <c r="O694" s="108" t="s">
        <v>900</v>
      </c>
    </row>
    <row r="695" spans="1:15" s="3" customFormat="1">
      <c r="A695" s="16">
        <v>10</v>
      </c>
      <c r="B695" s="56">
        <v>43020</v>
      </c>
      <c r="C695" s="18"/>
      <c r="D695" s="19" t="s">
        <v>841</v>
      </c>
      <c r="E695" s="270" t="s">
        <v>536</v>
      </c>
      <c r="F695" s="24" t="s">
        <v>901</v>
      </c>
      <c r="G695" s="238">
        <v>1708</v>
      </c>
      <c r="H695" s="121">
        <v>1890000</v>
      </c>
      <c r="I695" s="24"/>
      <c r="J695" s="199">
        <f t="shared" si="66"/>
        <v>1800000</v>
      </c>
      <c r="K695" s="24">
        <f t="shared" si="67"/>
        <v>1800000</v>
      </c>
      <c r="L695" s="24"/>
      <c r="M695" s="24">
        <f>K695*L695</f>
        <v>0</v>
      </c>
      <c r="N695" s="124">
        <f t="shared" si="68"/>
        <v>1800000</v>
      </c>
      <c r="O695" s="108" t="s">
        <v>902</v>
      </c>
    </row>
    <row r="696" spans="1:15" s="3" customFormat="1">
      <c r="A696" s="16">
        <v>11</v>
      </c>
      <c r="B696" s="56"/>
      <c r="C696" s="18"/>
      <c r="D696" s="19" t="s">
        <v>841</v>
      </c>
      <c r="E696" s="270" t="s">
        <v>407</v>
      </c>
      <c r="F696" s="62" t="s">
        <v>903</v>
      </c>
      <c r="G696" s="63"/>
      <c r="H696" s="121">
        <f>-10000+2042500</f>
        <v>2032500</v>
      </c>
      <c r="I696" s="24"/>
      <c r="J696" s="24">
        <f t="shared" si="66"/>
        <v>1935714.2857142857</v>
      </c>
      <c r="K696" s="199">
        <f t="shared" si="67"/>
        <v>1935714.2857142857</v>
      </c>
      <c r="L696" s="26"/>
      <c r="M696" s="24"/>
      <c r="N696" s="124">
        <f t="shared" si="68"/>
        <v>1935714.2857142857</v>
      </c>
      <c r="O696" s="87" t="s">
        <v>155</v>
      </c>
    </row>
    <row r="697" spans="1:15" s="3" customFormat="1">
      <c r="A697" s="16">
        <v>12</v>
      </c>
      <c r="B697" s="56">
        <v>43021</v>
      </c>
      <c r="C697" s="18"/>
      <c r="D697" s="19" t="s">
        <v>841</v>
      </c>
      <c r="E697" s="270" t="s">
        <v>407</v>
      </c>
      <c r="F697" s="24" t="s">
        <v>904</v>
      </c>
      <c r="G697" s="238">
        <v>1707</v>
      </c>
      <c r="H697" s="121">
        <f>2061500-30000</f>
        <v>2031500</v>
      </c>
      <c r="I697" s="24"/>
      <c r="J697" s="199">
        <f t="shared" si="66"/>
        <v>1934761.9047619046</v>
      </c>
      <c r="K697" s="24">
        <f t="shared" si="67"/>
        <v>1934761.9047619046</v>
      </c>
      <c r="L697" s="24"/>
      <c r="M697" s="24">
        <f>K697*L697</f>
        <v>0</v>
      </c>
      <c r="N697" s="124">
        <f t="shared" si="68"/>
        <v>1934761.9047619046</v>
      </c>
      <c r="O697" s="108" t="s">
        <v>905</v>
      </c>
    </row>
    <row r="698" spans="1:15" s="3" customFormat="1">
      <c r="A698" s="16">
        <v>13</v>
      </c>
      <c r="B698" s="56">
        <v>43048</v>
      </c>
      <c r="C698" s="18"/>
      <c r="D698" s="19" t="s">
        <v>841</v>
      </c>
      <c r="E698" s="270" t="s">
        <v>407</v>
      </c>
      <c r="F698" s="24" t="s">
        <v>906</v>
      </c>
      <c r="G698" s="238">
        <v>1707</v>
      </c>
      <c r="H698" s="121">
        <f>2061500-30000</f>
        <v>2031500</v>
      </c>
      <c r="I698" s="24"/>
      <c r="J698" s="199">
        <f t="shared" si="66"/>
        <v>1934761.9047619046</v>
      </c>
      <c r="K698" s="24">
        <f t="shared" si="67"/>
        <v>1934761.9047619046</v>
      </c>
      <c r="L698" s="24"/>
      <c r="M698" s="24">
        <f>K698*L698</f>
        <v>0</v>
      </c>
      <c r="N698" s="124">
        <f t="shared" si="68"/>
        <v>1934761.9047619046</v>
      </c>
      <c r="O698" s="108" t="s">
        <v>900</v>
      </c>
    </row>
    <row r="699" spans="1:15" s="3" customFormat="1">
      <c r="A699" s="16">
        <v>14</v>
      </c>
      <c r="B699" s="56"/>
      <c r="C699" s="18"/>
      <c r="D699" s="19" t="s">
        <v>841</v>
      </c>
      <c r="E699" s="270" t="s">
        <v>406</v>
      </c>
      <c r="F699" s="57" t="s">
        <v>907</v>
      </c>
      <c r="G699" s="58"/>
      <c r="H699" s="121"/>
      <c r="I699" s="24">
        <v>2949429</v>
      </c>
      <c r="J699" s="24"/>
      <c r="K699" s="24">
        <f t="shared" si="67"/>
        <v>2949429</v>
      </c>
      <c r="L699" s="123"/>
      <c r="M699" s="24"/>
      <c r="N699" s="124">
        <f t="shared" si="68"/>
        <v>2949429</v>
      </c>
      <c r="O699" s="108"/>
    </row>
    <row r="700" spans="1:15" s="3" customFormat="1">
      <c r="A700" s="16">
        <v>15</v>
      </c>
      <c r="B700" s="56"/>
      <c r="C700" s="18"/>
      <c r="D700" s="19" t="s">
        <v>841</v>
      </c>
      <c r="E700" s="270" t="s">
        <v>406</v>
      </c>
      <c r="F700" s="82" t="s">
        <v>908</v>
      </c>
      <c r="G700" s="58"/>
      <c r="H700" s="121"/>
      <c r="I700" s="24">
        <v>1818096</v>
      </c>
      <c r="J700" s="24"/>
      <c r="K700" s="199">
        <f t="shared" si="67"/>
        <v>1818096</v>
      </c>
      <c r="L700" s="26"/>
      <c r="M700" s="24"/>
      <c r="N700" s="124">
        <f t="shared" si="68"/>
        <v>1818096</v>
      </c>
      <c r="O700" s="108"/>
    </row>
    <row r="701" spans="1:15" s="3" customFormat="1">
      <c r="A701" s="16">
        <v>16</v>
      </c>
      <c r="B701" s="56">
        <v>43027</v>
      </c>
      <c r="C701" s="18" t="s">
        <v>909</v>
      </c>
      <c r="D701" s="19" t="s">
        <v>841</v>
      </c>
      <c r="E701" s="270" t="s">
        <v>413</v>
      </c>
      <c r="F701" s="24" t="s">
        <v>910</v>
      </c>
      <c r="G701" s="238">
        <v>1705</v>
      </c>
      <c r="H701" s="121">
        <f>2039800+10650</f>
        <v>2050450</v>
      </c>
      <c r="I701" s="24">
        <v>1952810</v>
      </c>
      <c r="J701" s="199"/>
      <c r="K701" s="24">
        <f t="shared" si="67"/>
        <v>1952810</v>
      </c>
      <c r="L701" s="24"/>
      <c r="M701" s="24">
        <f>K701*L701</f>
        <v>0</v>
      </c>
      <c r="N701" s="124">
        <f t="shared" si="68"/>
        <v>1952810</v>
      </c>
      <c r="O701" s="108" t="s">
        <v>900</v>
      </c>
    </row>
    <row r="702" spans="1:15" s="3" customFormat="1">
      <c r="A702" s="16">
        <v>17</v>
      </c>
      <c r="B702" s="56">
        <v>42949</v>
      </c>
      <c r="C702" s="18"/>
      <c r="D702" s="19" t="s">
        <v>841</v>
      </c>
      <c r="E702" s="270" t="s">
        <v>413</v>
      </c>
      <c r="F702" s="24" t="s">
        <v>911</v>
      </c>
      <c r="G702" s="238">
        <v>1705</v>
      </c>
      <c r="H702" s="121"/>
      <c r="I702" s="24">
        <v>1922000</v>
      </c>
      <c r="J702" s="199"/>
      <c r="K702" s="24">
        <f t="shared" si="67"/>
        <v>1922000</v>
      </c>
      <c r="L702" s="24"/>
      <c r="M702" s="24">
        <f>K702*L702</f>
        <v>0</v>
      </c>
      <c r="N702" s="124">
        <f t="shared" si="68"/>
        <v>1922000</v>
      </c>
      <c r="O702" s="108" t="s">
        <v>912</v>
      </c>
    </row>
    <row r="703" spans="1:15" s="3" customFormat="1">
      <c r="A703" s="16">
        <v>18</v>
      </c>
      <c r="B703" s="56">
        <v>43027</v>
      </c>
      <c r="C703" s="18"/>
      <c r="D703" s="19" t="s">
        <v>841</v>
      </c>
      <c r="E703" s="270" t="s">
        <v>413</v>
      </c>
      <c r="F703" s="24" t="s">
        <v>913</v>
      </c>
      <c r="G703" s="238">
        <v>1706</v>
      </c>
      <c r="H703" s="121">
        <v>2039800</v>
      </c>
      <c r="I703" s="24"/>
      <c r="J703" s="199">
        <f>SUM(H703)/1.05</f>
        <v>1942666.6666666665</v>
      </c>
      <c r="K703" s="24">
        <f t="shared" si="67"/>
        <v>1942666.6666666665</v>
      </c>
      <c r="L703" s="24"/>
      <c r="M703" s="24">
        <f>K703*L703</f>
        <v>0</v>
      </c>
      <c r="N703" s="124">
        <f t="shared" si="68"/>
        <v>1942666.6666666665</v>
      </c>
      <c r="O703" s="108" t="s">
        <v>914</v>
      </c>
    </row>
    <row r="704" spans="1:15" s="3" customFormat="1">
      <c r="A704" s="16">
        <v>19</v>
      </c>
      <c r="B704" s="56"/>
      <c r="C704" s="18"/>
      <c r="D704" s="19" t="s">
        <v>841</v>
      </c>
      <c r="E704" s="270" t="s">
        <v>412</v>
      </c>
      <c r="F704" s="82" t="s">
        <v>915</v>
      </c>
      <c r="G704" s="58"/>
      <c r="H704" s="121"/>
      <c r="I704" s="24">
        <v>1966286</v>
      </c>
      <c r="J704" s="24"/>
      <c r="K704" s="24">
        <f t="shared" si="67"/>
        <v>1966286</v>
      </c>
      <c r="L704" s="123"/>
      <c r="M704" s="24"/>
      <c r="N704" s="124">
        <f t="shared" si="68"/>
        <v>1966286</v>
      </c>
      <c r="O704" s="108"/>
    </row>
    <row r="705" spans="1:256" s="3" customFormat="1">
      <c r="A705" s="16">
        <v>20</v>
      </c>
      <c r="B705" s="56">
        <v>43063</v>
      </c>
      <c r="C705" s="18"/>
      <c r="D705" s="19" t="s">
        <v>841</v>
      </c>
      <c r="E705" s="270" t="s">
        <v>324</v>
      </c>
      <c r="F705" s="24" t="s">
        <v>916</v>
      </c>
      <c r="G705" s="238">
        <v>1707</v>
      </c>
      <c r="H705" s="121">
        <f>2218400-30000</f>
        <v>2188400</v>
      </c>
      <c r="I705" s="24"/>
      <c r="J705" s="199">
        <f t="shared" ref="J705:J713" si="69">SUM(H705)/1.05</f>
        <v>2084190.4761904762</v>
      </c>
      <c r="K705" s="24">
        <f t="shared" si="67"/>
        <v>2084190.4761904762</v>
      </c>
      <c r="L705" s="24"/>
      <c r="M705" s="24">
        <f>K705*L705</f>
        <v>0</v>
      </c>
      <c r="N705" s="124">
        <f t="shared" si="68"/>
        <v>2084190.4761904762</v>
      </c>
      <c r="O705" s="108" t="s">
        <v>900</v>
      </c>
    </row>
    <row r="706" spans="1:256" s="3" customFormat="1">
      <c r="A706" s="16">
        <v>1</v>
      </c>
      <c r="B706" s="56">
        <v>43063</v>
      </c>
      <c r="C706" s="18"/>
      <c r="D706" s="19" t="s">
        <v>841</v>
      </c>
      <c r="E706" s="20" t="s">
        <v>324</v>
      </c>
      <c r="F706" s="24" t="s">
        <v>917</v>
      </c>
      <c r="G706" s="238">
        <v>1707</v>
      </c>
      <c r="H706" s="121">
        <f>2218400-30000</f>
        <v>2188400</v>
      </c>
      <c r="I706" s="24"/>
      <c r="J706" s="199">
        <f t="shared" si="69"/>
        <v>2084190.4761904762</v>
      </c>
      <c r="K706" s="24">
        <f t="shared" si="67"/>
        <v>2084190.4761904762</v>
      </c>
      <c r="L706" s="24"/>
      <c r="M706" s="24">
        <f>K706*L706</f>
        <v>0</v>
      </c>
      <c r="N706" s="124">
        <f t="shared" si="68"/>
        <v>2084190.4761904762</v>
      </c>
      <c r="O706" s="108" t="s">
        <v>900</v>
      </c>
    </row>
    <row r="707" spans="1:256" s="3" customFormat="1">
      <c r="A707" s="16">
        <v>1</v>
      </c>
      <c r="B707" s="56">
        <v>43034</v>
      </c>
      <c r="C707" s="18"/>
      <c r="D707" s="19" t="s">
        <v>841</v>
      </c>
      <c r="E707" s="20" t="s">
        <v>324</v>
      </c>
      <c r="F707" s="24" t="s">
        <v>918</v>
      </c>
      <c r="G707" s="238">
        <v>1707</v>
      </c>
      <c r="H707" s="121">
        <f>2299000-30000</f>
        <v>2269000</v>
      </c>
      <c r="I707" s="24"/>
      <c r="J707" s="199">
        <f t="shared" si="69"/>
        <v>2160952.3809523811</v>
      </c>
      <c r="K707" s="24">
        <f t="shared" si="67"/>
        <v>2160952.3809523811</v>
      </c>
      <c r="L707" s="24"/>
      <c r="M707" s="24">
        <f>K707*L707</f>
        <v>0</v>
      </c>
      <c r="N707" s="124">
        <f t="shared" si="68"/>
        <v>2160952.3809523811</v>
      </c>
      <c r="O707" s="108" t="s">
        <v>919</v>
      </c>
    </row>
    <row r="708" spans="1:256" s="3" customFormat="1">
      <c r="A708" s="86">
        <v>1</v>
      </c>
      <c r="B708" s="29">
        <v>43034</v>
      </c>
      <c r="C708" s="18"/>
      <c r="D708" s="19" t="s">
        <v>841</v>
      </c>
      <c r="E708" s="20" t="s">
        <v>324</v>
      </c>
      <c r="F708" s="24" t="s">
        <v>920</v>
      </c>
      <c r="G708" s="238">
        <v>1707</v>
      </c>
      <c r="H708" s="121">
        <f>2299000-30000</f>
        <v>2269000</v>
      </c>
      <c r="I708" s="24"/>
      <c r="J708" s="199">
        <f t="shared" si="69"/>
        <v>2160952.3809523811</v>
      </c>
      <c r="K708" s="24">
        <f t="shared" si="67"/>
        <v>2160952.3809523811</v>
      </c>
      <c r="L708" s="24"/>
      <c r="M708" s="24">
        <f>K708*L708</f>
        <v>0</v>
      </c>
      <c r="N708" s="124">
        <f t="shared" si="68"/>
        <v>2160952.3809523811</v>
      </c>
      <c r="O708" s="108" t="s">
        <v>921</v>
      </c>
    </row>
    <row r="709" spans="1:256" s="3" customFormat="1">
      <c r="A709" s="86">
        <v>2</v>
      </c>
      <c r="B709" s="29"/>
      <c r="C709" s="18"/>
      <c r="D709" s="19" t="s">
        <v>841</v>
      </c>
      <c r="E709" s="20" t="s">
        <v>330</v>
      </c>
      <c r="F709" s="61" t="s">
        <v>922</v>
      </c>
      <c r="G709" s="63"/>
      <c r="H709" s="121">
        <v>2451000</v>
      </c>
      <c r="I709" s="24"/>
      <c r="J709" s="24">
        <f t="shared" si="69"/>
        <v>2334285.7142857141</v>
      </c>
      <c r="K709" s="24">
        <f t="shared" si="67"/>
        <v>2334285.7142857141</v>
      </c>
      <c r="L709" s="123"/>
      <c r="M709" s="24"/>
      <c r="N709" s="124">
        <f t="shared" si="68"/>
        <v>2334285.7142857141</v>
      </c>
      <c r="O709" s="87" t="s">
        <v>155</v>
      </c>
    </row>
    <row r="710" spans="1:256" s="3" customFormat="1">
      <c r="A710" s="86">
        <v>3</v>
      </c>
      <c r="B710" s="29"/>
      <c r="C710" s="18"/>
      <c r="D710" s="19" t="s">
        <v>841</v>
      </c>
      <c r="E710" s="20" t="s">
        <v>330</v>
      </c>
      <c r="F710" s="62" t="s">
        <v>923</v>
      </c>
      <c r="G710" s="63"/>
      <c r="H710" s="121">
        <v>2451000</v>
      </c>
      <c r="I710" s="24"/>
      <c r="J710" s="24">
        <f t="shared" si="69"/>
        <v>2334285.7142857141</v>
      </c>
      <c r="K710" s="24">
        <f t="shared" si="67"/>
        <v>2334285.7142857141</v>
      </c>
      <c r="L710" s="123"/>
      <c r="M710" s="24"/>
      <c r="N710" s="124">
        <f t="shared" si="68"/>
        <v>2334285.7142857141</v>
      </c>
      <c r="O710" s="87" t="s">
        <v>155</v>
      </c>
    </row>
    <row r="711" spans="1:256" s="3" customFormat="1">
      <c r="A711" s="86">
        <v>4</v>
      </c>
      <c r="B711" s="29"/>
      <c r="C711" s="18"/>
      <c r="D711" s="19" t="s">
        <v>841</v>
      </c>
      <c r="E711" s="20" t="s">
        <v>341</v>
      </c>
      <c r="F711" s="168" t="s">
        <v>924</v>
      </c>
      <c r="G711" s="63"/>
      <c r="H711" s="121">
        <v>2641000</v>
      </c>
      <c r="I711" s="24"/>
      <c r="J711" s="24">
        <f t="shared" si="69"/>
        <v>2515238.0952380951</v>
      </c>
      <c r="K711" s="24">
        <f t="shared" si="67"/>
        <v>2515238.0952380951</v>
      </c>
      <c r="L711" s="26"/>
      <c r="M711" s="24"/>
      <c r="N711" s="124">
        <f t="shared" si="68"/>
        <v>2515238.0952380951</v>
      </c>
      <c r="O711" s="87" t="s">
        <v>155</v>
      </c>
    </row>
    <row r="712" spans="1:256" s="3" customFormat="1">
      <c r="A712" s="86">
        <v>5</v>
      </c>
      <c r="B712" s="29">
        <v>43034</v>
      </c>
      <c r="C712" s="18"/>
      <c r="D712" s="19" t="s">
        <v>841</v>
      </c>
      <c r="E712" s="20" t="s">
        <v>348</v>
      </c>
      <c r="F712" s="24" t="s">
        <v>925</v>
      </c>
      <c r="G712" s="238">
        <v>1707</v>
      </c>
      <c r="H712" s="121">
        <v>2964000</v>
      </c>
      <c r="I712" s="24"/>
      <c r="J712" s="199">
        <f t="shared" si="69"/>
        <v>2822857.1428571427</v>
      </c>
      <c r="K712" s="24">
        <f t="shared" si="67"/>
        <v>2822857.1428571427</v>
      </c>
      <c r="L712" s="24"/>
      <c r="M712" s="24">
        <f>K712*L712</f>
        <v>0</v>
      </c>
      <c r="N712" s="124">
        <f t="shared" si="68"/>
        <v>2822857.1428571427</v>
      </c>
      <c r="O712" s="108" t="s">
        <v>926</v>
      </c>
    </row>
    <row r="713" spans="1:256" s="3" customFormat="1">
      <c r="A713" s="80"/>
      <c r="B713" s="29">
        <v>43034</v>
      </c>
      <c r="C713" s="18"/>
      <c r="D713" s="19" t="s">
        <v>841</v>
      </c>
      <c r="E713" s="20" t="s">
        <v>348</v>
      </c>
      <c r="F713" s="24" t="s">
        <v>927</v>
      </c>
      <c r="G713" s="238">
        <v>1708</v>
      </c>
      <c r="H713" s="121">
        <v>2964000</v>
      </c>
      <c r="I713" s="24"/>
      <c r="J713" s="199">
        <f t="shared" si="69"/>
        <v>2822857.1428571427</v>
      </c>
      <c r="K713" s="24">
        <f t="shared" si="67"/>
        <v>2822857.1428571427</v>
      </c>
      <c r="L713" s="24"/>
      <c r="M713" s="24">
        <f>K713*L713</f>
        <v>0</v>
      </c>
      <c r="N713" s="124">
        <f t="shared" si="68"/>
        <v>2822857.1428571427</v>
      </c>
      <c r="O713" s="108" t="s">
        <v>928</v>
      </c>
    </row>
    <row r="714" spans="1:256" s="3" customFormat="1">
      <c r="A714" s="86">
        <v>1</v>
      </c>
      <c r="B714" s="56">
        <v>42937</v>
      </c>
      <c r="C714" s="18"/>
      <c r="D714" s="19" t="s">
        <v>841</v>
      </c>
      <c r="E714" s="20" t="s">
        <v>353</v>
      </c>
      <c r="F714" s="24" t="s">
        <v>929</v>
      </c>
      <c r="G714" s="238">
        <v>1705</v>
      </c>
      <c r="H714" s="121"/>
      <c r="I714" s="24">
        <v>2994762</v>
      </c>
      <c r="J714" s="199"/>
      <c r="K714" s="24">
        <f t="shared" si="67"/>
        <v>2994762</v>
      </c>
      <c r="L714" s="24"/>
      <c r="M714" s="24">
        <f>K714*L714</f>
        <v>0</v>
      </c>
      <c r="N714" s="129">
        <f t="shared" si="68"/>
        <v>2994762</v>
      </c>
      <c r="O714" s="108" t="s">
        <v>900</v>
      </c>
    </row>
    <row r="715" spans="1:256" s="125" customFormat="1">
      <c r="A715" s="86">
        <v>2</v>
      </c>
      <c r="B715" s="56"/>
      <c r="C715" s="18"/>
      <c r="D715" s="19" t="s">
        <v>841</v>
      </c>
      <c r="E715" s="20" t="s">
        <v>930</v>
      </c>
      <c r="F715" s="62" t="s">
        <v>931</v>
      </c>
      <c r="G715" s="63"/>
      <c r="H715" s="121"/>
      <c r="I715" s="24">
        <v>2460952</v>
      </c>
      <c r="J715" s="24"/>
      <c r="K715" s="199">
        <f t="shared" si="67"/>
        <v>2460952</v>
      </c>
      <c r="L715" s="26"/>
      <c r="M715" s="24"/>
      <c r="N715" s="129">
        <f t="shared" si="68"/>
        <v>2460952</v>
      </c>
      <c r="O715" s="108"/>
      <c r="P715" s="3"/>
      <c r="Q715" s="140"/>
      <c r="R715" s="3"/>
      <c r="S715" s="3"/>
      <c r="T715" s="3"/>
      <c r="U715" s="3"/>
      <c r="V715" s="3"/>
      <c r="W715" s="3"/>
      <c r="X715" s="3"/>
      <c r="Y715" s="131"/>
      <c r="Z715" s="15"/>
      <c r="AA715" s="99"/>
      <c r="AB715" s="149"/>
      <c r="AC715" s="134"/>
      <c r="AD715" s="134"/>
      <c r="AE715" s="137"/>
      <c r="AF715" s="150"/>
      <c r="AG715" s="137"/>
      <c r="AH715" s="137"/>
      <c r="AI715" s="3"/>
      <c r="AJ715" s="138"/>
      <c r="AK715" s="2"/>
      <c r="AL715" s="139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131"/>
      <c r="AX715" s="15"/>
      <c r="AY715" s="99"/>
      <c r="AZ715" s="149"/>
      <c r="BA715" s="134"/>
      <c r="BB715" s="134"/>
      <c r="BC715" s="137"/>
      <c r="BD715" s="150"/>
      <c r="BE715" s="137"/>
      <c r="BF715" s="137"/>
      <c r="BG715" s="3"/>
      <c r="BH715" s="138"/>
      <c r="BI715" s="2"/>
      <c r="BJ715" s="139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131"/>
      <c r="BV715" s="15"/>
      <c r="BW715" s="99"/>
      <c r="BX715" s="149"/>
      <c r="BY715" s="134"/>
      <c r="BZ715" s="134"/>
      <c r="CA715" s="137"/>
      <c r="CB715" s="150"/>
      <c r="CC715" s="137"/>
      <c r="CD715" s="137"/>
      <c r="CE715" s="3"/>
      <c r="CF715" s="138"/>
      <c r="CG715" s="2"/>
      <c r="CH715" s="139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131"/>
      <c r="CT715" s="15"/>
      <c r="CU715" s="99"/>
      <c r="CV715" s="149"/>
      <c r="CW715" s="134"/>
      <c r="CX715" s="134"/>
      <c r="CY715" s="137"/>
      <c r="CZ715" s="150"/>
      <c r="DA715" s="137"/>
      <c r="DB715" s="137"/>
      <c r="DC715" s="3"/>
      <c r="DD715" s="138"/>
      <c r="DE715" s="2"/>
      <c r="DF715" s="139"/>
      <c r="DG715" s="3"/>
      <c r="DH715" s="3"/>
      <c r="DI715" s="3"/>
      <c r="DJ715" s="3"/>
      <c r="DK715" s="3"/>
      <c r="DL715" s="3"/>
      <c r="DM715" s="3"/>
      <c r="DN715" s="3"/>
      <c r="DO715" s="3"/>
      <c r="DP715" s="3"/>
      <c r="DQ715" s="131"/>
      <c r="DR715" s="15"/>
      <c r="DS715" s="99"/>
      <c r="DT715" s="149"/>
      <c r="DU715" s="134"/>
      <c r="DV715" s="134"/>
      <c r="DW715" s="137"/>
      <c r="DX715" s="150"/>
      <c r="DY715" s="137"/>
      <c r="DZ715" s="137"/>
      <c r="EA715" s="3"/>
      <c r="EB715" s="138"/>
      <c r="EC715" s="2"/>
      <c r="ED715" s="139"/>
      <c r="EE715" s="3"/>
      <c r="EF715" s="3"/>
      <c r="EG715" s="3"/>
      <c r="EH715" s="3"/>
      <c r="EI715" s="3"/>
      <c r="EJ715" s="3"/>
      <c r="EK715" s="3"/>
      <c r="EL715" s="3"/>
      <c r="EM715" s="3"/>
      <c r="EN715" s="3"/>
      <c r="EO715" s="131"/>
      <c r="EP715" s="15"/>
      <c r="EQ715" s="99"/>
      <c r="ER715" s="149"/>
      <c r="ES715" s="134"/>
      <c r="ET715" s="134"/>
      <c r="EU715" s="137"/>
      <c r="EV715" s="150"/>
      <c r="EW715" s="137"/>
      <c r="EX715" s="137"/>
      <c r="EY715" s="3"/>
      <c r="EZ715" s="138"/>
      <c r="FA715" s="2"/>
      <c r="FB715" s="139"/>
      <c r="FC715" s="3"/>
      <c r="FD715" s="3"/>
      <c r="FE715" s="3"/>
      <c r="FF715" s="3"/>
      <c r="FG715" s="3"/>
      <c r="FH715" s="3"/>
      <c r="FI715" s="3"/>
      <c r="FJ715" s="3"/>
      <c r="FK715" s="3"/>
      <c r="FL715" s="3"/>
      <c r="FM715" s="131"/>
      <c r="FN715" s="15"/>
      <c r="FO715" s="99"/>
      <c r="FP715" s="149"/>
      <c r="FQ715" s="134"/>
      <c r="FR715" s="134"/>
      <c r="FS715" s="137"/>
      <c r="FT715" s="150"/>
      <c r="FU715" s="137"/>
      <c r="FV715" s="137"/>
      <c r="FW715" s="3"/>
      <c r="FX715" s="138"/>
      <c r="FY715" s="2"/>
      <c r="FZ715" s="139"/>
      <c r="GA715" s="3"/>
      <c r="GB715" s="3"/>
      <c r="GC715" s="3"/>
      <c r="GD715" s="3"/>
      <c r="GE715" s="3"/>
      <c r="GF715" s="3"/>
      <c r="GG715" s="3"/>
      <c r="GH715" s="3"/>
      <c r="GI715" s="3"/>
      <c r="GJ715" s="3"/>
      <c r="GK715" s="131"/>
      <c r="GL715" s="15"/>
      <c r="GM715" s="99"/>
      <c r="GN715" s="149"/>
      <c r="GO715" s="134"/>
      <c r="GP715" s="134"/>
      <c r="GQ715" s="137"/>
      <c r="GR715" s="150"/>
      <c r="GS715" s="137"/>
      <c r="GT715" s="137"/>
      <c r="GU715" s="3"/>
      <c r="GV715" s="138"/>
      <c r="GW715" s="2"/>
      <c r="GX715" s="139"/>
      <c r="GY715" s="3"/>
      <c r="GZ715" s="3"/>
      <c r="HA715" s="3"/>
      <c r="HB715" s="3"/>
      <c r="HC715" s="3"/>
      <c r="HD715" s="3"/>
      <c r="HE715" s="3"/>
      <c r="HF715" s="3"/>
      <c r="HG715" s="3"/>
      <c r="HH715" s="3"/>
      <c r="HI715" s="131"/>
      <c r="HJ715" s="15"/>
      <c r="HK715" s="99"/>
      <c r="HL715" s="149"/>
      <c r="HM715" s="134"/>
      <c r="HN715" s="134"/>
      <c r="HO715" s="137"/>
      <c r="HP715" s="150"/>
      <c r="HQ715" s="137"/>
      <c r="HR715" s="137"/>
      <c r="HS715" s="3"/>
      <c r="HT715" s="138"/>
      <c r="HU715" s="2"/>
      <c r="HV715" s="139"/>
      <c r="HW715" s="3"/>
      <c r="HX715" s="3"/>
      <c r="HY715" s="3"/>
      <c r="HZ715" s="3"/>
      <c r="IA715" s="3"/>
      <c r="IB715" s="3"/>
      <c r="IC715" s="3"/>
      <c r="ID715" s="3"/>
      <c r="IE715" s="3"/>
      <c r="IF715" s="3"/>
      <c r="IG715" s="131"/>
      <c r="IH715" s="15"/>
      <c r="II715" s="99"/>
      <c r="IJ715" s="149"/>
      <c r="IK715" s="134"/>
      <c r="IL715" s="134"/>
      <c r="IM715" s="137"/>
      <c r="IN715" s="150"/>
      <c r="IO715" s="137"/>
      <c r="IP715" s="137"/>
      <c r="IQ715" s="3"/>
      <c r="IR715" s="138"/>
      <c r="IS715" s="2"/>
      <c r="IT715" s="139"/>
      <c r="IU715" s="3"/>
      <c r="IV715" s="3"/>
    </row>
    <row r="716" spans="1:256" s="125" customFormat="1">
      <c r="A716" s="86">
        <v>3</v>
      </c>
      <c r="B716" s="56"/>
      <c r="C716" s="18"/>
      <c r="D716" s="19" t="s">
        <v>841</v>
      </c>
      <c r="E716" s="20" t="s">
        <v>930</v>
      </c>
      <c r="F716" s="82" t="s">
        <v>932</v>
      </c>
      <c r="G716" s="58"/>
      <c r="H716" s="121"/>
      <c r="I716" s="24">
        <v>2304762</v>
      </c>
      <c r="J716" s="24"/>
      <c r="K716" s="199">
        <f t="shared" si="67"/>
        <v>2304762</v>
      </c>
      <c r="L716" s="26"/>
      <c r="M716" s="24"/>
      <c r="N716" s="129">
        <f t="shared" si="68"/>
        <v>2304762</v>
      </c>
      <c r="O716" s="108"/>
      <c r="P716" s="3"/>
      <c r="Q716" s="140"/>
      <c r="R716" s="3"/>
      <c r="S716" s="3"/>
      <c r="T716" s="3"/>
      <c r="U716" s="3"/>
      <c r="V716" s="3"/>
      <c r="W716" s="3"/>
      <c r="X716" s="3"/>
      <c r="Y716" s="131"/>
      <c r="Z716" s="15"/>
      <c r="AA716" s="99"/>
      <c r="AB716" s="149"/>
      <c r="AC716" s="134"/>
      <c r="AD716" s="134"/>
      <c r="AE716" s="137"/>
      <c r="AF716" s="150"/>
      <c r="AG716" s="137"/>
      <c r="AH716" s="137"/>
      <c r="AI716" s="3"/>
      <c r="AJ716" s="138"/>
      <c r="AK716" s="2"/>
      <c r="AL716" s="139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131"/>
      <c r="AX716" s="15"/>
      <c r="AY716" s="99"/>
      <c r="AZ716" s="149"/>
      <c r="BA716" s="134"/>
      <c r="BB716" s="134"/>
      <c r="BC716" s="137"/>
      <c r="BD716" s="150"/>
      <c r="BE716" s="137"/>
      <c r="BF716" s="137"/>
      <c r="BG716" s="3"/>
      <c r="BH716" s="138"/>
      <c r="BI716" s="2"/>
      <c r="BJ716" s="139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131"/>
      <c r="BV716" s="15"/>
      <c r="BW716" s="99"/>
      <c r="BX716" s="149"/>
      <c r="BY716" s="134"/>
      <c r="BZ716" s="134"/>
      <c r="CA716" s="137"/>
      <c r="CB716" s="150"/>
      <c r="CC716" s="137"/>
      <c r="CD716" s="137"/>
      <c r="CE716" s="3"/>
      <c r="CF716" s="138"/>
      <c r="CG716" s="2"/>
      <c r="CH716" s="139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131"/>
      <c r="CT716" s="15"/>
      <c r="CU716" s="99"/>
      <c r="CV716" s="149"/>
      <c r="CW716" s="134"/>
      <c r="CX716" s="134"/>
      <c r="CY716" s="137"/>
      <c r="CZ716" s="150"/>
      <c r="DA716" s="137"/>
      <c r="DB716" s="137"/>
      <c r="DC716" s="3"/>
      <c r="DD716" s="138"/>
      <c r="DE716" s="2"/>
      <c r="DF716" s="139"/>
      <c r="DG716" s="3"/>
      <c r="DH716" s="3"/>
      <c r="DI716" s="3"/>
      <c r="DJ716" s="3"/>
      <c r="DK716" s="3"/>
      <c r="DL716" s="3"/>
      <c r="DM716" s="3"/>
      <c r="DN716" s="3"/>
      <c r="DO716" s="3"/>
      <c r="DP716" s="3"/>
      <c r="DQ716" s="131"/>
      <c r="DR716" s="15"/>
      <c r="DS716" s="99"/>
      <c r="DT716" s="149"/>
      <c r="DU716" s="134"/>
      <c r="DV716" s="134"/>
      <c r="DW716" s="137"/>
      <c r="DX716" s="150"/>
      <c r="DY716" s="137"/>
      <c r="DZ716" s="137"/>
      <c r="EA716" s="3"/>
      <c r="EB716" s="138"/>
      <c r="EC716" s="2"/>
      <c r="ED716" s="139"/>
      <c r="EE716" s="3"/>
      <c r="EF716" s="3"/>
      <c r="EG716" s="3"/>
      <c r="EH716" s="3"/>
      <c r="EI716" s="3"/>
      <c r="EJ716" s="3"/>
      <c r="EK716" s="3"/>
      <c r="EL716" s="3"/>
      <c r="EM716" s="3"/>
      <c r="EN716" s="3"/>
      <c r="EO716" s="131"/>
      <c r="EP716" s="15"/>
      <c r="EQ716" s="99"/>
      <c r="ER716" s="149"/>
      <c r="ES716" s="134"/>
      <c r="ET716" s="134"/>
      <c r="EU716" s="137"/>
      <c r="EV716" s="150"/>
      <c r="EW716" s="137"/>
      <c r="EX716" s="137"/>
      <c r="EY716" s="3"/>
      <c r="EZ716" s="138"/>
      <c r="FA716" s="2"/>
      <c r="FB716" s="139"/>
      <c r="FC716" s="3"/>
      <c r="FD716" s="3"/>
      <c r="FE716" s="3"/>
      <c r="FF716" s="3"/>
      <c r="FG716" s="3"/>
      <c r="FH716" s="3"/>
      <c r="FI716" s="3"/>
      <c r="FJ716" s="3"/>
      <c r="FK716" s="3"/>
      <c r="FL716" s="3"/>
      <c r="FM716" s="131"/>
      <c r="FN716" s="15"/>
      <c r="FO716" s="99"/>
      <c r="FP716" s="149"/>
      <c r="FQ716" s="134"/>
      <c r="FR716" s="134"/>
      <c r="FS716" s="137"/>
      <c r="FT716" s="150"/>
      <c r="FU716" s="137"/>
      <c r="FV716" s="137"/>
      <c r="FW716" s="3"/>
      <c r="FX716" s="138"/>
      <c r="FY716" s="2"/>
      <c r="FZ716" s="139"/>
      <c r="GA716" s="3"/>
      <c r="GB716" s="3"/>
      <c r="GC716" s="3"/>
      <c r="GD716" s="3"/>
      <c r="GE716" s="3"/>
      <c r="GF716" s="3"/>
      <c r="GG716" s="3"/>
      <c r="GH716" s="3"/>
      <c r="GI716" s="3"/>
      <c r="GJ716" s="3"/>
      <c r="GK716" s="131"/>
      <c r="GL716" s="15"/>
      <c r="GM716" s="99"/>
      <c r="GN716" s="149"/>
      <c r="GO716" s="134"/>
      <c r="GP716" s="134"/>
      <c r="GQ716" s="137"/>
      <c r="GR716" s="150"/>
      <c r="GS716" s="137"/>
      <c r="GT716" s="137"/>
      <c r="GU716" s="3"/>
      <c r="GV716" s="138"/>
      <c r="GW716" s="2"/>
      <c r="GX716" s="139"/>
      <c r="GY716" s="3"/>
      <c r="GZ716" s="3"/>
      <c r="HA716" s="3"/>
      <c r="HB716" s="3"/>
      <c r="HC716" s="3"/>
      <c r="HD716" s="3"/>
      <c r="HE716" s="3"/>
      <c r="HF716" s="3"/>
      <c r="HG716" s="3"/>
      <c r="HH716" s="3"/>
      <c r="HI716" s="131"/>
      <c r="HJ716" s="15"/>
      <c r="HK716" s="99"/>
      <c r="HL716" s="149"/>
      <c r="HM716" s="134"/>
      <c r="HN716" s="134"/>
      <c r="HO716" s="137"/>
      <c r="HP716" s="150"/>
      <c r="HQ716" s="137"/>
      <c r="HR716" s="137"/>
      <c r="HS716" s="3"/>
      <c r="HT716" s="138"/>
      <c r="HU716" s="2"/>
      <c r="HV716" s="139"/>
      <c r="HW716" s="3"/>
      <c r="HX716" s="3"/>
      <c r="HY716" s="3"/>
      <c r="HZ716" s="3"/>
      <c r="IA716" s="3"/>
      <c r="IB716" s="3"/>
      <c r="IC716" s="3"/>
      <c r="ID716" s="3"/>
      <c r="IE716" s="3"/>
      <c r="IF716" s="3"/>
      <c r="IG716" s="131"/>
      <c r="IH716" s="15"/>
      <c r="II716" s="99"/>
      <c r="IJ716" s="149"/>
      <c r="IK716" s="134"/>
      <c r="IL716" s="134"/>
      <c r="IM716" s="137"/>
      <c r="IN716" s="150"/>
      <c r="IO716" s="137"/>
      <c r="IP716" s="137"/>
      <c r="IQ716" s="3"/>
      <c r="IR716" s="138"/>
      <c r="IS716" s="2"/>
      <c r="IT716" s="139"/>
      <c r="IU716" s="3"/>
      <c r="IV716" s="3"/>
    </row>
    <row r="717" spans="1:256" s="125" customFormat="1">
      <c r="A717" s="86">
        <v>4</v>
      </c>
      <c r="B717" s="56">
        <v>43013</v>
      </c>
      <c r="C717" s="18"/>
      <c r="D717" s="19" t="s">
        <v>841</v>
      </c>
      <c r="E717" s="20" t="s">
        <v>424</v>
      </c>
      <c r="F717" s="24" t="s">
        <v>933</v>
      </c>
      <c r="G717" s="238">
        <v>1708</v>
      </c>
      <c r="H717" s="121">
        <f>111600+3329400</f>
        <v>3441000</v>
      </c>
      <c r="I717" s="24">
        <v>3277143</v>
      </c>
      <c r="J717" s="199"/>
      <c r="K717" s="24">
        <f t="shared" si="67"/>
        <v>3277143</v>
      </c>
      <c r="L717" s="24"/>
      <c r="M717" s="24">
        <f>K717*L717</f>
        <v>0</v>
      </c>
      <c r="N717" s="129">
        <f t="shared" si="68"/>
        <v>3277143</v>
      </c>
      <c r="O717" s="108" t="s">
        <v>900</v>
      </c>
      <c r="P717" s="3"/>
      <c r="Q717" s="140"/>
      <c r="R717" s="3"/>
      <c r="S717" s="3"/>
      <c r="T717" s="3"/>
      <c r="U717" s="3"/>
      <c r="V717" s="3"/>
      <c r="W717" s="3"/>
      <c r="X717" s="3"/>
      <c r="Y717" s="131"/>
      <c r="Z717" s="15"/>
      <c r="AA717" s="99"/>
      <c r="AB717" s="149"/>
      <c r="AC717" s="134"/>
      <c r="AD717" s="134"/>
      <c r="AE717" s="137"/>
      <c r="AF717" s="150"/>
      <c r="AG717" s="137"/>
      <c r="AH717" s="137"/>
      <c r="AI717" s="3"/>
      <c r="AJ717" s="138"/>
      <c r="AK717" s="2"/>
      <c r="AL717" s="139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131"/>
      <c r="AX717" s="15"/>
      <c r="AY717" s="99"/>
      <c r="AZ717" s="149"/>
      <c r="BA717" s="134"/>
      <c r="BB717" s="134"/>
      <c r="BC717" s="137"/>
      <c r="BD717" s="150"/>
      <c r="BE717" s="137"/>
      <c r="BF717" s="137"/>
      <c r="BG717" s="3"/>
      <c r="BH717" s="138"/>
      <c r="BI717" s="2"/>
      <c r="BJ717" s="139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131"/>
      <c r="BV717" s="15"/>
      <c r="BW717" s="99"/>
      <c r="BX717" s="149"/>
      <c r="BY717" s="134"/>
      <c r="BZ717" s="134"/>
      <c r="CA717" s="137"/>
      <c r="CB717" s="150"/>
      <c r="CC717" s="137"/>
      <c r="CD717" s="137"/>
      <c r="CE717" s="3"/>
      <c r="CF717" s="138"/>
      <c r="CG717" s="2"/>
      <c r="CH717" s="139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131"/>
      <c r="CT717" s="15"/>
      <c r="CU717" s="99"/>
      <c r="CV717" s="149"/>
      <c r="CW717" s="134"/>
      <c r="CX717" s="134"/>
      <c r="CY717" s="137"/>
      <c r="CZ717" s="150"/>
      <c r="DA717" s="137"/>
      <c r="DB717" s="137"/>
      <c r="DC717" s="3"/>
      <c r="DD717" s="138"/>
      <c r="DE717" s="2"/>
      <c r="DF717" s="139"/>
      <c r="DG717" s="3"/>
      <c r="DH717" s="3"/>
      <c r="DI717" s="3"/>
      <c r="DJ717" s="3"/>
      <c r="DK717" s="3"/>
      <c r="DL717" s="3"/>
      <c r="DM717" s="3"/>
      <c r="DN717" s="3"/>
      <c r="DO717" s="3"/>
      <c r="DP717" s="3"/>
      <c r="DQ717" s="131"/>
      <c r="DR717" s="15"/>
      <c r="DS717" s="99"/>
      <c r="DT717" s="149"/>
      <c r="DU717" s="134"/>
      <c r="DV717" s="134"/>
      <c r="DW717" s="137"/>
      <c r="DX717" s="150"/>
      <c r="DY717" s="137"/>
      <c r="DZ717" s="137"/>
      <c r="EA717" s="3"/>
      <c r="EB717" s="138"/>
      <c r="EC717" s="2"/>
      <c r="ED717" s="139"/>
      <c r="EE717" s="3"/>
      <c r="EF717" s="3"/>
      <c r="EG717" s="3"/>
      <c r="EH717" s="3"/>
      <c r="EI717" s="3"/>
      <c r="EJ717" s="3"/>
      <c r="EK717" s="3"/>
      <c r="EL717" s="3"/>
      <c r="EM717" s="3"/>
      <c r="EN717" s="3"/>
      <c r="EO717" s="131"/>
      <c r="EP717" s="15"/>
      <c r="EQ717" s="99"/>
      <c r="ER717" s="149"/>
      <c r="ES717" s="134"/>
      <c r="ET717" s="134"/>
      <c r="EU717" s="137"/>
      <c r="EV717" s="150"/>
      <c r="EW717" s="137"/>
      <c r="EX717" s="137"/>
      <c r="EY717" s="3"/>
      <c r="EZ717" s="138"/>
      <c r="FA717" s="2"/>
      <c r="FB717" s="139"/>
      <c r="FC717" s="3"/>
      <c r="FD717" s="3"/>
      <c r="FE717" s="3"/>
      <c r="FF717" s="3"/>
      <c r="FG717" s="3"/>
      <c r="FH717" s="3"/>
      <c r="FI717" s="3"/>
      <c r="FJ717" s="3"/>
      <c r="FK717" s="3"/>
      <c r="FL717" s="3"/>
      <c r="FM717" s="131"/>
      <c r="FN717" s="15"/>
      <c r="FO717" s="99"/>
      <c r="FP717" s="149"/>
      <c r="FQ717" s="134"/>
      <c r="FR717" s="134"/>
      <c r="FS717" s="137"/>
      <c r="FT717" s="150"/>
      <c r="FU717" s="137"/>
      <c r="FV717" s="137"/>
      <c r="FW717" s="3"/>
      <c r="FX717" s="138"/>
      <c r="FY717" s="2"/>
      <c r="FZ717" s="139"/>
      <c r="GA717" s="3"/>
      <c r="GB717" s="3"/>
      <c r="GC717" s="3"/>
      <c r="GD717" s="3"/>
      <c r="GE717" s="3"/>
      <c r="GF717" s="3"/>
      <c r="GG717" s="3"/>
      <c r="GH717" s="3"/>
      <c r="GI717" s="3"/>
      <c r="GJ717" s="3"/>
      <c r="GK717" s="131"/>
      <c r="GL717" s="15"/>
      <c r="GM717" s="99"/>
      <c r="GN717" s="149"/>
      <c r="GO717" s="134"/>
      <c r="GP717" s="134"/>
      <c r="GQ717" s="137"/>
      <c r="GR717" s="150"/>
      <c r="GS717" s="137"/>
      <c r="GT717" s="137"/>
      <c r="GU717" s="3"/>
      <c r="GV717" s="138"/>
      <c r="GW717" s="2"/>
      <c r="GX717" s="139"/>
      <c r="GY717" s="3"/>
      <c r="GZ717" s="3"/>
      <c r="HA717" s="3"/>
      <c r="HB717" s="3"/>
      <c r="HC717" s="3"/>
      <c r="HD717" s="3"/>
      <c r="HE717" s="3"/>
      <c r="HF717" s="3"/>
      <c r="HG717" s="3"/>
      <c r="HH717" s="3"/>
      <c r="HI717" s="131"/>
      <c r="HJ717" s="15"/>
      <c r="HK717" s="99"/>
      <c r="HL717" s="149"/>
      <c r="HM717" s="134"/>
      <c r="HN717" s="134"/>
      <c r="HO717" s="137"/>
      <c r="HP717" s="150"/>
      <c r="HQ717" s="137"/>
      <c r="HR717" s="137"/>
      <c r="HS717" s="3"/>
      <c r="HT717" s="138"/>
      <c r="HU717" s="2"/>
      <c r="HV717" s="139"/>
      <c r="HW717" s="3"/>
      <c r="HX717" s="3"/>
      <c r="HY717" s="3"/>
      <c r="HZ717" s="3"/>
      <c r="IA717" s="3"/>
      <c r="IB717" s="3"/>
      <c r="IC717" s="3"/>
      <c r="ID717" s="3"/>
      <c r="IE717" s="3"/>
      <c r="IF717" s="3"/>
      <c r="IG717" s="131"/>
      <c r="IH717" s="15"/>
      <c r="II717" s="99"/>
      <c r="IJ717" s="149"/>
      <c r="IK717" s="134"/>
      <c r="IL717" s="134"/>
      <c r="IM717" s="137"/>
      <c r="IN717" s="150"/>
      <c r="IO717" s="137"/>
      <c r="IP717" s="137"/>
      <c r="IQ717" s="3"/>
      <c r="IR717" s="138"/>
      <c r="IS717" s="2"/>
      <c r="IT717" s="139"/>
      <c r="IU717" s="3"/>
      <c r="IV717" s="3"/>
    </row>
    <row r="718" spans="1:256" s="125" customFormat="1">
      <c r="A718" s="86">
        <v>5</v>
      </c>
      <c r="B718" s="56">
        <v>42887</v>
      </c>
      <c r="C718" s="18"/>
      <c r="D718" s="19" t="s">
        <v>841</v>
      </c>
      <c r="E718" s="20" t="s">
        <v>420</v>
      </c>
      <c r="F718" s="24" t="s">
        <v>934</v>
      </c>
      <c r="G718" s="238">
        <v>1703</v>
      </c>
      <c r="H718" s="121"/>
      <c r="I718" s="24">
        <v>3666857</v>
      </c>
      <c r="J718" s="199"/>
      <c r="K718" s="24">
        <f t="shared" si="67"/>
        <v>3666857</v>
      </c>
      <c r="L718" s="24"/>
      <c r="M718" s="24">
        <f>K718*L718</f>
        <v>0</v>
      </c>
      <c r="N718" s="129">
        <f t="shared" si="68"/>
        <v>3666857</v>
      </c>
      <c r="O718" s="108" t="s">
        <v>900</v>
      </c>
      <c r="P718" s="3"/>
      <c r="Q718" s="140"/>
      <c r="R718" s="3"/>
      <c r="S718" s="3"/>
      <c r="T718" s="3"/>
      <c r="U718" s="3"/>
      <c r="V718" s="3"/>
      <c r="W718" s="3"/>
      <c r="X718" s="3"/>
      <c r="Y718" s="131"/>
      <c r="Z718" s="15"/>
      <c r="AA718" s="99"/>
      <c r="AB718" s="149"/>
      <c r="AC718" s="134"/>
      <c r="AD718" s="134"/>
      <c r="AE718" s="137"/>
      <c r="AF718" s="150"/>
      <c r="AG718" s="137"/>
      <c r="AH718" s="137"/>
      <c r="AI718" s="3"/>
      <c r="AJ718" s="138"/>
      <c r="AK718" s="2"/>
      <c r="AL718" s="139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131"/>
      <c r="AX718" s="15"/>
      <c r="AY718" s="99"/>
      <c r="AZ718" s="149"/>
      <c r="BA718" s="134"/>
      <c r="BB718" s="134"/>
      <c r="BC718" s="137"/>
      <c r="BD718" s="150"/>
      <c r="BE718" s="137"/>
      <c r="BF718" s="137"/>
      <c r="BG718" s="3"/>
      <c r="BH718" s="138"/>
      <c r="BI718" s="2"/>
      <c r="BJ718" s="139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131"/>
      <c r="BV718" s="15"/>
      <c r="BW718" s="99"/>
      <c r="BX718" s="149"/>
      <c r="BY718" s="134"/>
      <c r="BZ718" s="134"/>
      <c r="CA718" s="137"/>
      <c r="CB718" s="150"/>
      <c r="CC718" s="137"/>
      <c r="CD718" s="137"/>
      <c r="CE718" s="3"/>
      <c r="CF718" s="138"/>
      <c r="CG718" s="2"/>
      <c r="CH718" s="139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131"/>
      <c r="CT718" s="15"/>
      <c r="CU718" s="99"/>
      <c r="CV718" s="149"/>
      <c r="CW718" s="134"/>
      <c r="CX718" s="134"/>
      <c r="CY718" s="137"/>
      <c r="CZ718" s="150"/>
      <c r="DA718" s="137"/>
      <c r="DB718" s="137"/>
      <c r="DC718" s="3"/>
      <c r="DD718" s="138"/>
      <c r="DE718" s="2"/>
      <c r="DF718" s="139"/>
      <c r="DG718" s="3"/>
      <c r="DH718" s="3"/>
      <c r="DI718" s="3"/>
      <c r="DJ718" s="3"/>
      <c r="DK718" s="3"/>
      <c r="DL718" s="3"/>
      <c r="DM718" s="3"/>
      <c r="DN718" s="3"/>
      <c r="DO718" s="3"/>
      <c r="DP718" s="3"/>
      <c r="DQ718" s="131"/>
      <c r="DR718" s="15"/>
      <c r="DS718" s="99"/>
      <c r="DT718" s="149"/>
      <c r="DU718" s="134"/>
      <c r="DV718" s="134"/>
      <c r="DW718" s="137"/>
      <c r="DX718" s="150"/>
      <c r="DY718" s="137"/>
      <c r="DZ718" s="137"/>
      <c r="EA718" s="3"/>
      <c r="EB718" s="138"/>
      <c r="EC718" s="2"/>
      <c r="ED718" s="139"/>
      <c r="EE718" s="3"/>
      <c r="EF718" s="3"/>
      <c r="EG718" s="3"/>
      <c r="EH718" s="3"/>
      <c r="EI718" s="3"/>
      <c r="EJ718" s="3"/>
      <c r="EK718" s="3"/>
      <c r="EL718" s="3"/>
      <c r="EM718" s="3"/>
      <c r="EN718" s="3"/>
      <c r="EO718" s="131"/>
      <c r="EP718" s="15"/>
      <c r="EQ718" s="99"/>
      <c r="ER718" s="149"/>
      <c r="ES718" s="134"/>
      <c r="ET718" s="134"/>
      <c r="EU718" s="137"/>
      <c r="EV718" s="150"/>
      <c r="EW718" s="137"/>
      <c r="EX718" s="137"/>
      <c r="EY718" s="3"/>
      <c r="EZ718" s="138"/>
      <c r="FA718" s="2"/>
      <c r="FB718" s="139"/>
      <c r="FC718" s="3"/>
      <c r="FD718" s="3"/>
      <c r="FE718" s="3"/>
      <c r="FF718" s="3"/>
      <c r="FG718" s="3"/>
      <c r="FH718" s="3"/>
      <c r="FI718" s="3"/>
      <c r="FJ718" s="3"/>
      <c r="FK718" s="3"/>
      <c r="FL718" s="3"/>
      <c r="FM718" s="131"/>
      <c r="FN718" s="15"/>
      <c r="FO718" s="99"/>
      <c r="FP718" s="149"/>
      <c r="FQ718" s="134"/>
      <c r="FR718" s="134"/>
      <c r="FS718" s="137"/>
      <c r="FT718" s="150"/>
      <c r="FU718" s="137"/>
      <c r="FV718" s="137"/>
      <c r="FW718" s="3"/>
      <c r="FX718" s="138"/>
      <c r="FY718" s="2"/>
      <c r="FZ718" s="139"/>
      <c r="GA718" s="3"/>
      <c r="GB718" s="3"/>
      <c r="GC718" s="3"/>
      <c r="GD718" s="3"/>
      <c r="GE718" s="3"/>
      <c r="GF718" s="3"/>
      <c r="GG718" s="3"/>
      <c r="GH718" s="3"/>
      <c r="GI718" s="3"/>
      <c r="GJ718" s="3"/>
      <c r="GK718" s="131"/>
      <c r="GL718" s="15"/>
      <c r="GM718" s="99"/>
      <c r="GN718" s="149"/>
      <c r="GO718" s="134"/>
      <c r="GP718" s="134"/>
      <c r="GQ718" s="137"/>
      <c r="GR718" s="150"/>
      <c r="GS718" s="137"/>
      <c r="GT718" s="137"/>
      <c r="GU718" s="3"/>
      <c r="GV718" s="138"/>
      <c r="GW718" s="2"/>
      <c r="GX718" s="139"/>
      <c r="GY718" s="3"/>
      <c r="GZ718" s="3"/>
      <c r="HA718" s="3"/>
      <c r="HB718" s="3"/>
      <c r="HC718" s="3"/>
      <c r="HD718" s="3"/>
      <c r="HE718" s="3"/>
      <c r="HF718" s="3"/>
      <c r="HG718" s="3"/>
      <c r="HH718" s="3"/>
      <c r="HI718" s="131"/>
      <c r="HJ718" s="15"/>
      <c r="HK718" s="99"/>
      <c r="HL718" s="149"/>
      <c r="HM718" s="134"/>
      <c r="HN718" s="134"/>
      <c r="HO718" s="137"/>
      <c r="HP718" s="150"/>
      <c r="HQ718" s="137"/>
      <c r="HR718" s="137"/>
      <c r="HS718" s="3"/>
      <c r="HT718" s="138"/>
      <c r="HU718" s="2"/>
      <c r="HV718" s="139"/>
      <c r="HW718" s="3"/>
      <c r="HX718" s="3"/>
      <c r="HY718" s="3"/>
      <c r="HZ718" s="3"/>
      <c r="IA718" s="3"/>
      <c r="IB718" s="3"/>
      <c r="IC718" s="3"/>
      <c r="ID718" s="3"/>
      <c r="IE718" s="3"/>
      <c r="IF718" s="3"/>
      <c r="IG718" s="131"/>
      <c r="IH718" s="15"/>
      <c r="II718" s="99"/>
      <c r="IJ718" s="149"/>
      <c r="IK718" s="134"/>
      <c r="IL718" s="134"/>
      <c r="IM718" s="137"/>
      <c r="IN718" s="150"/>
      <c r="IO718" s="137"/>
      <c r="IP718" s="137"/>
      <c r="IQ718" s="3"/>
      <c r="IR718" s="138"/>
      <c r="IS718" s="2"/>
      <c r="IT718" s="139"/>
      <c r="IU718" s="3"/>
      <c r="IV718" s="3"/>
    </row>
    <row r="719" spans="1:256" s="125" customFormat="1">
      <c r="A719" s="86">
        <v>6</v>
      </c>
      <c r="B719" s="56">
        <v>42979</v>
      </c>
      <c r="C719" s="18"/>
      <c r="D719" s="19" t="s">
        <v>841</v>
      </c>
      <c r="E719" s="20" t="s">
        <v>420</v>
      </c>
      <c r="F719" s="24" t="s">
        <v>935</v>
      </c>
      <c r="G719" s="238" t="s">
        <v>936</v>
      </c>
      <c r="H719" s="121">
        <v>3807000</v>
      </c>
      <c r="I719" s="24">
        <v>3625714</v>
      </c>
      <c r="J719" s="199"/>
      <c r="K719" s="24">
        <f t="shared" si="67"/>
        <v>3625714</v>
      </c>
      <c r="L719" s="24"/>
      <c r="M719" s="24">
        <f>K719*L719</f>
        <v>0</v>
      </c>
      <c r="N719" s="129">
        <f t="shared" si="68"/>
        <v>3625714</v>
      </c>
      <c r="O719" s="108" t="s">
        <v>900</v>
      </c>
      <c r="P719" s="3"/>
      <c r="Q719" s="140"/>
      <c r="R719" s="3"/>
      <c r="S719" s="3"/>
      <c r="T719" s="3"/>
      <c r="U719" s="3"/>
      <c r="V719" s="3"/>
      <c r="W719" s="3"/>
      <c r="X719" s="3"/>
      <c r="Y719" s="131"/>
      <c r="Z719" s="15"/>
      <c r="AA719" s="99"/>
      <c r="AB719" s="149"/>
      <c r="AC719" s="134"/>
      <c r="AD719" s="134"/>
      <c r="AE719" s="137"/>
      <c r="AF719" s="150"/>
      <c r="AG719" s="137"/>
      <c r="AH719" s="137"/>
      <c r="AI719" s="3"/>
      <c r="AJ719" s="138"/>
      <c r="AK719" s="2"/>
      <c r="AL719" s="139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131"/>
      <c r="AX719" s="15"/>
      <c r="AY719" s="99"/>
      <c r="AZ719" s="149"/>
      <c r="BA719" s="134"/>
      <c r="BB719" s="134"/>
      <c r="BC719" s="137"/>
      <c r="BD719" s="150"/>
      <c r="BE719" s="137"/>
      <c r="BF719" s="137"/>
      <c r="BG719" s="3"/>
      <c r="BH719" s="138"/>
      <c r="BI719" s="2"/>
      <c r="BJ719" s="139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131"/>
      <c r="BV719" s="15"/>
      <c r="BW719" s="99"/>
      <c r="BX719" s="149"/>
      <c r="BY719" s="134"/>
      <c r="BZ719" s="134"/>
      <c r="CA719" s="137"/>
      <c r="CB719" s="150"/>
      <c r="CC719" s="137"/>
      <c r="CD719" s="137"/>
      <c r="CE719" s="3"/>
      <c r="CF719" s="138"/>
      <c r="CG719" s="2"/>
      <c r="CH719" s="139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131"/>
      <c r="CT719" s="15"/>
      <c r="CU719" s="99"/>
      <c r="CV719" s="149"/>
      <c r="CW719" s="134"/>
      <c r="CX719" s="134"/>
      <c r="CY719" s="137"/>
      <c r="CZ719" s="150"/>
      <c r="DA719" s="137"/>
      <c r="DB719" s="137"/>
      <c r="DC719" s="3"/>
      <c r="DD719" s="138"/>
      <c r="DE719" s="2"/>
      <c r="DF719" s="139"/>
      <c r="DG719" s="3"/>
      <c r="DH719" s="3"/>
      <c r="DI719" s="3"/>
      <c r="DJ719" s="3"/>
      <c r="DK719" s="3"/>
      <c r="DL719" s="3"/>
      <c r="DM719" s="3"/>
      <c r="DN719" s="3"/>
      <c r="DO719" s="3"/>
      <c r="DP719" s="3"/>
      <c r="DQ719" s="131"/>
      <c r="DR719" s="15"/>
      <c r="DS719" s="99"/>
      <c r="DT719" s="149"/>
      <c r="DU719" s="134"/>
      <c r="DV719" s="134"/>
      <c r="DW719" s="137"/>
      <c r="DX719" s="150"/>
      <c r="DY719" s="137"/>
      <c r="DZ719" s="137"/>
      <c r="EA719" s="3"/>
      <c r="EB719" s="138"/>
      <c r="EC719" s="2"/>
      <c r="ED719" s="139"/>
      <c r="EE719" s="3"/>
      <c r="EF719" s="3"/>
      <c r="EG719" s="3"/>
      <c r="EH719" s="3"/>
      <c r="EI719" s="3"/>
      <c r="EJ719" s="3"/>
      <c r="EK719" s="3"/>
      <c r="EL719" s="3"/>
      <c r="EM719" s="3"/>
      <c r="EN719" s="3"/>
      <c r="EO719" s="131"/>
      <c r="EP719" s="15"/>
      <c r="EQ719" s="99"/>
      <c r="ER719" s="149"/>
      <c r="ES719" s="134"/>
      <c r="ET719" s="134"/>
      <c r="EU719" s="137"/>
      <c r="EV719" s="150"/>
      <c r="EW719" s="137"/>
      <c r="EX719" s="137"/>
      <c r="EY719" s="3"/>
      <c r="EZ719" s="138"/>
      <c r="FA719" s="2"/>
      <c r="FB719" s="139"/>
      <c r="FC719" s="3"/>
      <c r="FD719" s="3"/>
      <c r="FE719" s="3"/>
      <c r="FF719" s="3"/>
      <c r="FG719" s="3"/>
      <c r="FH719" s="3"/>
      <c r="FI719" s="3"/>
      <c r="FJ719" s="3"/>
      <c r="FK719" s="3"/>
      <c r="FL719" s="3"/>
      <c r="FM719" s="131"/>
      <c r="FN719" s="15"/>
      <c r="FO719" s="99"/>
      <c r="FP719" s="149"/>
      <c r="FQ719" s="134"/>
      <c r="FR719" s="134"/>
      <c r="FS719" s="137"/>
      <c r="FT719" s="150"/>
      <c r="FU719" s="137"/>
      <c r="FV719" s="137"/>
      <c r="FW719" s="3"/>
      <c r="FX719" s="138"/>
      <c r="FY719" s="2"/>
      <c r="FZ719" s="139"/>
      <c r="GA719" s="3"/>
      <c r="GB719" s="3"/>
      <c r="GC719" s="3"/>
      <c r="GD719" s="3"/>
      <c r="GE719" s="3"/>
      <c r="GF719" s="3"/>
      <c r="GG719" s="3"/>
      <c r="GH719" s="3"/>
      <c r="GI719" s="3"/>
      <c r="GJ719" s="3"/>
      <c r="GK719" s="131"/>
      <c r="GL719" s="15"/>
      <c r="GM719" s="99"/>
      <c r="GN719" s="149"/>
      <c r="GO719" s="134"/>
      <c r="GP719" s="134"/>
      <c r="GQ719" s="137"/>
      <c r="GR719" s="150"/>
      <c r="GS719" s="137"/>
      <c r="GT719" s="137"/>
      <c r="GU719" s="3"/>
      <c r="GV719" s="138"/>
      <c r="GW719" s="2"/>
      <c r="GX719" s="139"/>
      <c r="GY719" s="3"/>
      <c r="GZ719" s="3"/>
      <c r="HA719" s="3"/>
      <c r="HB719" s="3"/>
      <c r="HC719" s="3"/>
      <c r="HD719" s="3"/>
      <c r="HE719" s="3"/>
      <c r="HF719" s="3"/>
      <c r="HG719" s="3"/>
      <c r="HH719" s="3"/>
      <c r="HI719" s="131"/>
      <c r="HJ719" s="15"/>
      <c r="HK719" s="99"/>
      <c r="HL719" s="149"/>
      <c r="HM719" s="134"/>
      <c r="HN719" s="134"/>
      <c r="HO719" s="137"/>
      <c r="HP719" s="150"/>
      <c r="HQ719" s="137"/>
      <c r="HR719" s="137"/>
      <c r="HS719" s="3"/>
      <c r="HT719" s="138"/>
      <c r="HU719" s="2"/>
      <c r="HV719" s="139"/>
      <c r="HW719" s="3"/>
      <c r="HX719" s="3"/>
      <c r="HY719" s="3"/>
      <c r="HZ719" s="3"/>
      <c r="IA719" s="3"/>
      <c r="IB719" s="3"/>
      <c r="IC719" s="3"/>
      <c r="ID719" s="3"/>
      <c r="IE719" s="3"/>
      <c r="IF719" s="3"/>
      <c r="IG719" s="131"/>
      <c r="IH719" s="15"/>
      <c r="II719" s="99"/>
      <c r="IJ719" s="149"/>
      <c r="IK719" s="134"/>
      <c r="IL719" s="134"/>
      <c r="IM719" s="137"/>
      <c r="IN719" s="150"/>
      <c r="IO719" s="137"/>
      <c r="IP719" s="137"/>
      <c r="IQ719" s="3"/>
      <c r="IR719" s="138"/>
      <c r="IS719" s="2"/>
      <c r="IT719" s="139"/>
      <c r="IU719" s="3"/>
      <c r="IV719" s="3"/>
    </row>
    <row r="720" spans="1:256" s="125" customFormat="1">
      <c r="A720" s="86">
        <v>7</v>
      </c>
      <c r="B720" s="56">
        <v>43034</v>
      </c>
      <c r="C720" s="18"/>
      <c r="D720" s="19" t="s">
        <v>841</v>
      </c>
      <c r="E720" s="20" t="s">
        <v>360</v>
      </c>
      <c r="F720" s="24" t="s">
        <v>937</v>
      </c>
      <c r="G720" s="238">
        <v>1707</v>
      </c>
      <c r="H720" s="121">
        <v>3629000</v>
      </c>
      <c r="I720" s="24"/>
      <c r="J720" s="199">
        <f>SUM(H720)/1.05</f>
        <v>3456190.4761904762</v>
      </c>
      <c r="K720" s="24">
        <f t="shared" si="67"/>
        <v>3456190.4761904762</v>
      </c>
      <c r="L720" s="24"/>
      <c r="M720" s="24">
        <f>K720*L720</f>
        <v>0</v>
      </c>
      <c r="N720" s="129">
        <f t="shared" si="68"/>
        <v>3456190.4761904762</v>
      </c>
      <c r="O720" s="108" t="s">
        <v>938</v>
      </c>
      <c r="P720" s="3"/>
      <c r="Q720" s="140"/>
      <c r="R720" s="3"/>
      <c r="S720" s="3"/>
      <c r="T720" s="3"/>
      <c r="U720" s="3"/>
      <c r="V720" s="3"/>
      <c r="W720" s="3"/>
      <c r="X720" s="3"/>
      <c r="Y720" s="131"/>
      <c r="Z720" s="15"/>
      <c r="AA720" s="99"/>
      <c r="AB720" s="149"/>
      <c r="AC720" s="134"/>
      <c r="AD720" s="134"/>
      <c r="AE720" s="137"/>
      <c r="AF720" s="150"/>
      <c r="AG720" s="137"/>
      <c r="AH720" s="137"/>
      <c r="AI720" s="3"/>
      <c r="AJ720" s="138"/>
      <c r="AK720" s="2"/>
      <c r="AL720" s="139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131"/>
      <c r="AX720" s="15"/>
      <c r="AY720" s="99"/>
      <c r="AZ720" s="149"/>
      <c r="BA720" s="134"/>
      <c r="BB720" s="134"/>
      <c r="BC720" s="137"/>
      <c r="BD720" s="150"/>
      <c r="BE720" s="137"/>
      <c r="BF720" s="137"/>
      <c r="BG720" s="3"/>
      <c r="BH720" s="138"/>
      <c r="BI720" s="2"/>
      <c r="BJ720" s="139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131"/>
      <c r="BV720" s="15"/>
      <c r="BW720" s="99"/>
      <c r="BX720" s="149"/>
      <c r="BY720" s="134"/>
      <c r="BZ720" s="134"/>
      <c r="CA720" s="137"/>
      <c r="CB720" s="150"/>
      <c r="CC720" s="137"/>
      <c r="CD720" s="137"/>
      <c r="CE720" s="3"/>
      <c r="CF720" s="138"/>
      <c r="CG720" s="2"/>
      <c r="CH720" s="139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131"/>
      <c r="CT720" s="15"/>
      <c r="CU720" s="99"/>
      <c r="CV720" s="149"/>
      <c r="CW720" s="134"/>
      <c r="CX720" s="134"/>
      <c r="CY720" s="137"/>
      <c r="CZ720" s="150"/>
      <c r="DA720" s="137"/>
      <c r="DB720" s="137"/>
      <c r="DC720" s="3"/>
      <c r="DD720" s="138"/>
      <c r="DE720" s="2"/>
      <c r="DF720" s="139"/>
      <c r="DG720" s="3"/>
      <c r="DH720" s="3"/>
      <c r="DI720" s="3"/>
      <c r="DJ720" s="3"/>
      <c r="DK720" s="3"/>
      <c r="DL720" s="3"/>
      <c r="DM720" s="3"/>
      <c r="DN720" s="3"/>
      <c r="DO720" s="3"/>
      <c r="DP720" s="3"/>
      <c r="DQ720" s="131"/>
      <c r="DR720" s="15"/>
      <c r="DS720" s="99"/>
      <c r="DT720" s="149"/>
      <c r="DU720" s="134"/>
      <c r="DV720" s="134"/>
      <c r="DW720" s="137"/>
      <c r="DX720" s="150"/>
      <c r="DY720" s="137"/>
      <c r="DZ720" s="137"/>
      <c r="EA720" s="3"/>
      <c r="EB720" s="138"/>
      <c r="EC720" s="2"/>
      <c r="ED720" s="139"/>
      <c r="EE720" s="3"/>
      <c r="EF720" s="3"/>
      <c r="EG720" s="3"/>
      <c r="EH720" s="3"/>
      <c r="EI720" s="3"/>
      <c r="EJ720" s="3"/>
      <c r="EK720" s="3"/>
      <c r="EL720" s="3"/>
      <c r="EM720" s="3"/>
      <c r="EN720" s="3"/>
      <c r="EO720" s="131"/>
      <c r="EP720" s="15"/>
      <c r="EQ720" s="99"/>
      <c r="ER720" s="149"/>
      <c r="ES720" s="134"/>
      <c r="ET720" s="134"/>
      <c r="EU720" s="137"/>
      <c r="EV720" s="150"/>
      <c r="EW720" s="137"/>
      <c r="EX720" s="137"/>
      <c r="EY720" s="3"/>
      <c r="EZ720" s="138"/>
      <c r="FA720" s="2"/>
      <c r="FB720" s="139"/>
      <c r="FC720" s="3"/>
      <c r="FD720" s="3"/>
      <c r="FE720" s="3"/>
      <c r="FF720" s="3"/>
      <c r="FG720" s="3"/>
      <c r="FH720" s="3"/>
      <c r="FI720" s="3"/>
      <c r="FJ720" s="3"/>
      <c r="FK720" s="3"/>
      <c r="FL720" s="3"/>
      <c r="FM720" s="131"/>
      <c r="FN720" s="15"/>
      <c r="FO720" s="99"/>
      <c r="FP720" s="149"/>
      <c r="FQ720" s="134"/>
      <c r="FR720" s="134"/>
      <c r="FS720" s="137"/>
      <c r="FT720" s="150"/>
      <c r="FU720" s="137"/>
      <c r="FV720" s="137"/>
      <c r="FW720" s="3"/>
      <c r="FX720" s="138"/>
      <c r="FY720" s="2"/>
      <c r="FZ720" s="139"/>
      <c r="GA720" s="3"/>
      <c r="GB720" s="3"/>
      <c r="GC720" s="3"/>
      <c r="GD720" s="3"/>
      <c r="GE720" s="3"/>
      <c r="GF720" s="3"/>
      <c r="GG720" s="3"/>
      <c r="GH720" s="3"/>
      <c r="GI720" s="3"/>
      <c r="GJ720" s="3"/>
      <c r="GK720" s="131"/>
      <c r="GL720" s="15"/>
      <c r="GM720" s="99"/>
      <c r="GN720" s="149"/>
      <c r="GO720" s="134"/>
      <c r="GP720" s="134"/>
      <c r="GQ720" s="137"/>
      <c r="GR720" s="150"/>
      <c r="GS720" s="137"/>
      <c r="GT720" s="137"/>
      <c r="GU720" s="3"/>
      <c r="GV720" s="138"/>
      <c r="GW720" s="2"/>
      <c r="GX720" s="139"/>
      <c r="GY720" s="3"/>
      <c r="GZ720" s="3"/>
      <c r="HA720" s="3"/>
      <c r="HB720" s="3"/>
      <c r="HC720" s="3"/>
      <c r="HD720" s="3"/>
      <c r="HE720" s="3"/>
      <c r="HF720" s="3"/>
      <c r="HG720" s="3"/>
      <c r="HH720" s="3"/>
      <c r="HI720" s="131"/>
      <c r="HJ720" s="15"/>
      <c r="HK720" s="99"/>
      <c r="HL720" s="149"/>
      <c r="HM720" s="134"/>
      <c r="HN720" s="134"/>
      <c r="HO720" s="137"/>
      <c r="HP720" s="150"/>
      <c r="HQ720" s="137"/>
      <c r="HR720" s="137"/>
      <c r="HS720" s="3"/>
      <c r="HT720" s="138"/>
      <c r="HU720" s="2"/>
      <c r="HV720" s="139"/>
      <c r="HW720" s="3"/>
      <c r="HX720" s="3"/>
      <c r="HY720" s="3"/>
      <c r="HZ720" s="3"/>
      <c r="IA720" s="3"/>
      <c r="IB720" s="3"/>
      <c r="IC720" s="3"/>
      <c r="ID720" s="3"/>
      <c r="IE720" s="3"/>
      <c r="IF720" s="3"/>
      <c r="IG720" s="131"/>
      <c r="IH720" s="15"/>
      <c r="II720" s="99"/>
      <c r="IJ720" s="149"/>
      <c r="IK720" s="134"/>
      <c r="IL720" s="134"/>
      <c r="IM720" s="137"/>
      <c r="IN720" s="150"/>
      <c r="IO720" s="137"/>
      <c r="IP720" s="137"/>
      <c r="IQ720" s="3"/>
      <c r="IR720" s="138"/>
      <c r="IS720" s="2"/>
      <c r="IT720" s="139"/>
      <c r="IU720" s="3"/>
      <c r="IV720" s="3"/>
    </row>
    <row r="721" spans="1:256" s="125" customFormat="1">
      <c r="A721" s="86">
        <v>8</v>
      </c>
      <c r="B721" s="56">
        <v>43034</v>
      </c>
      <c r="C721" s="18"/>
      <c r="D721" s="19" t="s">
        <v>841</v>
      </c>
      <c r="E721" s="20" t="s">
        <v>363</v>
      </c>
      <c r="F721" s="24" t="s">
        <v>939</v>
      </c>
      <c r="G721" s="238">
        <v>1707</v>
      </c>
      <c r="H721" s="121">
        <v>3534000</v>
      </c>
      <c r="I721" s="24"/>
      <c r="J721" s="199">
        <f>SUM(H721)/1.05</f>
        <v>3365714.2857142854</v>
      </c>
      <c r="K721" s="24">
        <f t="shared" si="67"/>
        <v>3365714.2857142854</v>
      </c>
      <c r="L721" s="24"/>
      <c r="M721" s="24">
        <f>K721*L721</f>
        <v>0</v>
      </c>
      <c r="N721" s="129">
        <f t="shared" si="68"/>
        <v>3365714.2857142854</v>
      </c>
      <c r="O721" s="108" t="s">
        <v>940</v>
      </c>
      <c r="P721" s="3"/>
      <c r="Q721" s="140"/>
      <c r="R721" s="3"/>
      <c r="S721" s="3"/>
      <c r="T721" s="3"/>
      <c r="U721" s="3"/>
      <c r="V721" s="3"/>
      <c r="W721" s="3"/>
      <c r="X721" s="3"/>
      <c r="Y721" s="131"/>
      <c r="Z721" s="15"/>
      <c r="AA721" s="99"/>
      <c r="AB721" s="149"/>
      <c r="AC721" s="134"/>
      <c r="AD721" s="134"/>
      <c r="AE721" s="137"/>
      <c r="AF721" s="150"/>
      <c r="AG721" s="137"/>
      <c r="AH721" s="137"/>
      <c r="AI721" s="3"/>
      <c r="AJ721" s="138"/>
      <c r="AK721" s="2"/>
      <c r="AL721" s="139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131"/>
      <c r="AX721" s="15"/>
      <c r="AY721" s="99"/>
      <c r="AZ721" s="149"/>
      <c r="BA721" s="134"/>
      <c r="BB721" s="134"/>
      <c r="BC721" s="137"/>
      <c r="BD721" s="150"/>
      <c r="BE721" s="137"/>
      <c r="BF721" s="137"/>
      <c r="BG721" s="3"/>
      <c r="BH721" s="138"/>
      <c r="BI721" s="2"/>
      <c r="BJ721" s="139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131"/>
      <c r="BV721" s="15"/>
      <c r="BW721" s="99"/>
      <c r="BX721" s="149"/>
      <c r="BY721" s="134"/>
      <c r="BZ721" s="134"/>
      <c r="CA721" s="137"/>
      <c r="CB721" s="150"/>
      <c r="CC721" s="137"/>
      <c r="CD721" s="137"/>
      <c r="CE721" s="3"/>
      <c r="CF721" s="138"/>
      <c r="CG721" s="2"/>
      <c r="CH721" s="139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131"/>
      <c r="CT721" s="15"/>
      <c r="CU721" s="99"/>
      <c r="CV721" s="149"/>
      <c r="CW721" s="134"/>
      <c r="CX721" s="134"/>
      <c r="CY721" s="137"/>
      <c r="CZ721" s="150"/>
      <c r="DA721" s="137"/>
      <c r="DB721" s="137"/>
      <c r="DC721" s="3"/>
      <c r="DD721" s="138"/>
      <c r="DE721" s="2"/>
      <c r="DF721" s="139"/>
      <c r="DG721" s="3"/>
      <c r="DH721" s="3"/>
      <c r="DI721" s="3"/>
      <c r="DJ721" s="3"/>
      <c r="DK721" s="3"/>
      <c r="DL721" s="3"/>
      <c r="DM721" s="3"/>
      <c r="DN721" s="3"/>
      <c r="DO721" s="3"/>
      <c r="DP721" s="3"/>
      <c r="DQ721" s="131"/>
      <c r="DR721" s="15"/>
      <c r="DS721" s="99"/>
      <c r="DT721" s="149"/>
      <c r="DU721" s="134"/>
      <c r="DV721" s="134"/>
      <c r="DW721" s="137"/>
      <c r="DX721" s="150"/>
      <c r="DY721" s="137"/>
      <c r="DZ721" s="137"/>
      <c r="EA721" s="3"/>
      <c r="EB721" s="138"/>
      <c r="EC721" s="2"/>
      <c r="ED721" s="139"/>
      <c r="EE721" s="3"/>
      <c r="EF721" s="3"/>
      <c r="EG721" s="3"/>
      <c r="EH721" s="3"/>
      <c r="EI721" s="3"/>
      <c r="EJ721" s="3"/>
      <c r="EK721" s="3"/>
      <c r="EL721" s="3"/>
      <c r="EM721" s="3"/>
      <c r="EN721" s="3"/>
      <c r="EO721" s="131"/>
      <c r="EP721" s="15"/>
      <c r="EQ721" s="99"/>
      <c r="ER721" s="149"/>
      <c r="ES721" s="134"/>
      <c r="ET721" s="134"/>
      <c r="EU721" s="137"/>
      <c r="EV721" s="150"/>
      <c r="EW721" s="137"/>
      <c r="EX721" s="137"/>
      <c r="EY721" s="3"/>
      <c r="EZ721" s="138"/>
      <c r="FA721" s="2"/>
      <c r="FB721" s="139"/>
      <c r="FC721" s="3"/>
      <c r="FD721" s="3"/>
      <c r="FE721" s="3"/>
      <c r="FF721" s="3"/>
      <c r="FG721" s="3"/>
      <c r="FH721" s="3"/>
      <c r="FI721" s="3"/>
      <c r="FJ721" s="3"/>
      <c r="FK721" s="3"/>
      <c r="FL721" s="3"/>
      <c r="FM721" s="131"/>
      <c r="FN721" s="15"/>
      <c r="FO721" s="99"/>
      <c r="FP721" s="149"/>
      <c r="FQ721" s="134"/>
      <c r="FR721" s="134"/>
      <c r="FS721" s="137"/>
      <c r="FT721" s="150"/>
      <c r="FU721" s="137"/>
      <c r="FV721" s="137"/>
      <c r="FW721" s="3"/>
      <c r="FX721" s="138"/>
      <c r="FY721" s="2"/>
      <c r="FZ721" s="139"/>
      <c r="GA721" s="3"/>
      <c r="GB721" s="3"/>
      <c r="GC721" s="3"/>
      <c r="GD721" s="3"/>
      <c r="GE721" s="3"/>
      <c r="GF721" s="3"/>
      <c r="GG721" s="3"/>
      <c r="GH721" s="3"/>
      <c r="GI721" s="3"/>
      <c r="GJ721" s="3"/>
      <c r="GK721" s="131"/>
      <c r="GL721" s="15"/>
      <c r="GM721" s="99"/>
      <c r="GN721" s="149"/>
      <c r="GO721" s="134"/>
      <c r="GP721" s="134"/>
      <c r="GQ721" s="137"/>
      <c r="GR721" s="150"/>
      <c r="GS721" s="137"/>
      <c r="GT721" s="137"/>
      <c r="GU721" s="3"/>
      <c r="GV721" s="138"/>
      <c r="GW721" s="2"/>
      <c r="GX721" s="139"/>
      <c r="GY721" s="3"/>
      <c r="GZ721" s="3"/>
      <c r="HA721" s="3"/>
      <c r="HB721" s="3"/>
      <c r="HC721" s="3"/>
      <c r="HD721" s="3"/>
      <c r="HE721" s="3"/>
      <c r="HF721" s="3"/>
      <c r="HG721" s="3"/>
      <c r="HH721" s="3"/>
      <c r="HI721" s="131"/>
      <c r="HJ721" s="15"/>
      <c r="HK721" s="99"/>
      <c r="HL721" s="149"/>
      <c r="HM721" s="134"/>
      <c r="HN721" s="134"/>
      <c r="HO721" s="137"/>
      <c r="HP721" s="150"/>
      <c r="HQ721" s="137"/>
      <c r="HR721" s="137"/>
      <c r="HS721" s="3"/>
      <c r="HT721" s="138"/>
      <c r="HU721" s="2"/>
      <c r="HV721" s="139"/>
      <c r="HW721" s="3"/>
      <c r="HX721" s="3"/>
      <c r="HY721" s="3"/>
      <c r="HZ721" s="3"/>
      <c r="IA721" s="3"/>
      <c r="IB721" s="3"/>
      <c r="IC721" s="3"/>
      <c r="ID721" s="3"/>
      <c r="IE721" s="3"/>
      <c r="IF721" s="3"/>
      <c r="IG721" s="131"/>
      <c r="IH721" s="15"/>
      <c r="II721" s="99"/>
      <c r="IJ721" s="149"/>
      <c r="IK721" s="134"/>
      <c r="IL721" s="134"/>
      <c r="IM721" s="137"/>
      <c r="IN721" s="150"/>
      <c r="IO721" s="137"/>
      <c r="IP721" s="137"/>
      <c r="IQ721" s="3"/>
      <c r="IR721" s="138"/>
      <c r="IS721" s="2"/>
      <c r="IT721" s="139"/>
      <c r="IU721" s="3"/>
      <c r="IV721" s="3"/>
    </row>
    <row r="722" spans="1:256" s="125" customFormat="1">
      <c r="A722" s="86">
        <v>1</v>
      </c>
      <c r="B722" s="56"/>
      <c r="C722" s="18"/>
      <c r="D722" s="19" t="s">
        <v>841</v>
      </c>
      <c r="E722" s="20" t="s">
        <v>372</v>
      </c>
      <c r="F722" s="82" t="s">
        <v>941</v>
      </c>
      <c r="G722" s="63"/>
      <c r="H722" s="121">
        <v>4531500</v>
      </c>
      <c r="I722" s="24"/>
      <c r="J722" s="24">
        <f>SUM(H722)/1.05</f>
        <v>4315714.2857142854</v>
      </c>
      <c r="K722" s="24">
        <f t="shared" si="67"/>
        <v>4315714.2857142854</v>
      </c>
      <c r="L722" s="123"/>
      <c r="M722" s="24"/>
      <c r="N722" s="129">
        <f t="shared" si="68"/>
        <v>4315714.2857142854</v>
      </c>
      <c r="O722" s="87" t="s">
        <v>155</v>
      </c>
      <c r="P722" s="3"/>
      <c r="Q722" s="140"/>
      <c r="R722" s="3"/>
      <c r="S722" s="3"/>
      <c r="T722" s="3"/>
      <c r="U722" s="3"/>
      <c r="V722" s="3"/>
      <c r="W722" s="3"/>
      <c r="X722" s="3"/>
      <c r="Y722" s="131"/>
      <c r="Z722" s="15"/>
      <c r="AA722" s="99"/>
      <c r="AB722" s="149"/>
      <c r="AC722" s="134"/>
      <c r="AD722" s="134"/>
      <c r="AE722" s="137"/>
      <c r="AF722" s="150"/>
      <c r="AG722" s="137"/>
      <c r="AH722" s="137"/>
      <c r="AI722" s="3"/>
      <c r="AJ722" s="138"/>
      <c r="AK722" s="2"/>
      <c r="AL722" s="139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131"/>
      <c r="AX722" s="15"/>
      <c r="AY722" s="99"/>
      <c r="AZ722" s="149"/>
      <c r="BA722" s="134"/>
      <c r="BB722" s="134"/>
      <c r="BC722" s="137"/>
      <c r="BD722" s="150"/>
      <c r="BE722" s="137"/>
      <c r="BF722" s="137"/>
      <c r="BG722" s="3"/>
      <c r="BH722" s="138"/>
      <c r="BI722" s="2"/>
      <c r="BJ722" s="139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131"/>
      <c r="BV722" s="15"/>
      <c r="BW722" s="99"/>
      <c r="BX722" s="149"/>
      <c r="BY722" s="134"/>
      <c r="BZ722" s="134"/>
      <c r="CA722" s="137"/>
      <c r="CB722" s="150"/>
      <c r="CC722" s="137"/>
      <c r="CD722" s="137"/>
      <c r="CE722" s="3"/>
      <c r="CF722" s="138"/>
      <c r="CG722" s="2"/>
      <c r="CH722" s="139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131"/>
      <c r="CT722" s="15"/>
      <c r="CU722" s="99"/>
      <c r="CV722" s="149"/>
      <c r="CW722" s="134"/>
      <c r="CX722" s="134"/>
      <c r="CY722" s="137"/>
      <c r="CZ722" s="150"/>
      <c r="DA722" s="137"/>
      <c r="DB722" s="137"/>
      <c r="DC722" s="3"/>
      <c r="DD722" s="138"/>
      <c r="DE722" s="2"/>
      <c r="DF722" s="139"/>
      <c r="DG722" s="3"/>
      <c r="DH722" s="3"/>
      <c r="DI722" s="3"/>
      <c r="DJ722" s="3"/>
      <c r="DK722" s="3"/>
      <c r="DL722" s="3"/>
      <c r="DM722" s="3"/>
      <c r="DN722" s="3"/>
      <c r="DO722" s="3"/>
      <c r="DP722" s="3"/>
      <c r="DQ722" s="131"/>
      <c r="DR722" s="15"/>
      <c r="DS722" s="99"/>
      <c r="DT722" s="149"/>
      <c r="DU722" s="134"/>
      <c r="DV722" s="134"/>
      <c r="DW722" s="137"/>
      <c r="DX722" s="150"/>
      <c r="DY722" s="137"/>
      <c r="DZ722" s="137"/>
      <c r="EA722" s="3"/>
      <c r="EB722" s="138"/>
      <c r="EC722" s="2"/>
      <c r="ED722" s="139"/>
      <c r="EE722" s="3"/>
      <c r="EF722" s="3"/>
      <c r="EG722" s="3"/>
      <c r="EH722" s="3"/>
      <c r="EI722" s="3"/>
      <c r="EJ722" s="3"/>
      <c r="EK722" s="3"/>
      <c r="EL722" s="3"/>
      <c r="EM722" s="3"/>
      <c r="EN722" s="3"/>
      <c r="EO722" s="131"/>
      <c r="EP722" s="15"/>
      <c r="EQ722" s="99"/>
      <c r="ER722" s="149"/>
      <c r="ES722" s="134"/>
      <c r="ET722" s="134"/>
      <c r="EU722" s="137"/>
      <c r="EV722" s="150"/>
      <c r="EW722" s="137"/>
      <c r="EX722" s="137"/>
      <c r="EY722" s="3"/>
      <c r="EZ722" s="138"/>
      <c r="FA722" s="2"/>
      <c r="FB722" s="139"/>
      <c r="FC722" s="3"/>
      <c r="FD722" s="3"/>
      <c r="FE722" s="3"/>
      <c r="FF722" s="3"/>
      <c r="FG722" s="3"/>
      <c r="FH722" s="3"/>
      <c r="FI722" s="3"/>
      <c r="FJ722" s="3"/>
      <c r="FK722" s="3"/>
      <c r="FL722" s="3"/>
      <c r="FM722" s="131"/>
      <c r="FN722" s="15"/>
      <c r="FO722" s="99"/>
      <c r="FP722" s="149"/>
      <c r="FQ722" s="134"/>
      <c r="FR722" s="134"/>
      <c r="FS722" s="137"/>
      <c r="FT722" s="150"/>
      <c r="FU722" s="137"/>
      <c r="FV722" s="137"/>
      <c r="FW722" s="3"/>
      <c r="FX722" s="138"/>
      <c r="FY722" s="2"/>
      <c r="FZ722" s="139"/>
      <c r="GA722" s="3"/>
      <c r="GB722" s="3"/>
      <c r="GC722" s="3"/>
      <c r="GD722" s="3"/>
      <c r="GE722" s="3"/>
      <c r="GF722" s="3"/>
      <c r="GG722" s="3"/>
      <c r="GH722" s="3"/>
      <c r="GI722" s="3"/>
      <c r="GJ722" s="3"/>
      <c r="GK722" s="131"/>
      <c r="GL722" s="15"/>
      <c r="GM722" s="99"/>
      <c r="GN722" s="149"/>
      <c r="GO722" s="134"/>
      <c r="GP722" s="134"/>
      <c r="GQ722" s="137"/>
      <c r="GR722" s="150"/>
      <c r="GS722" s="137"/>
      <c r="GT722" s="137"/>
      <c r="GU722" s="3"/>
      <c r="GV722" s="138"/>
      <c r="GW722" s="2"/>
      <c r="GX722" s="139"/>
      <c r="GY722" s="3"/>
      <c r="GZ722" s="3"/>
      <c r="HA722" s="3"/>
      <c r="HB722" s="3"/>
      <c r="HC722" s="3"/>
      <c r="HD722" s="3"/>
      <c r="HE722" s="3"/>
      <c r="HF722" s="3"/>
      <c r="HG722" s="3"/>
      <c r="HH722" s="3"/>
      <c r="HI722" s="131"/>
      <c r="HJ722" s="15"/>
      <c r="HK722" s="99"/>
      <c r="HL722" s="149"/>
      <c r="HM722" s="134"/>
      <c r="HN722" s="134"/>
      <c r="HO722" s="137"/>
      <c r="HP722" s="150"/>
      <c r="HQ722" s="137"/>
      <c r="HR722" s="137"/>
      <c r="HS722" s="3"/>
      <c r="HT722" s="138"/>
      <c r="HU722" s="2"/>
      <c r="HV722" s="139"/>
      <c r="HW722" s="3"/>
      <c r="HX722" s="3"/>
      <c r="HY722" s="3"/>
      <c r="HZ722" s="3"/>
      <c r="IA722" s="3"/>
      <c r="IB722" s="3"/>
      <c r="IC722" s="3"/>
      <c r="ID722" s="3"/>
      <c r="IE722" s="3"/>
      <c r="IF722" s="3"/>
      <c r="IG722" s="131"/>
      <c r="IH722" s="15"/>
      <c r="II722" s="99"/>
      <c r="IJ722" s="149"/>
      <c r="IK722" s="134"/>
      <c r="IL722" s="134"/>
      <c r="IM722" s="137"/>
      <c r="IN722" s="150"/>
      <c r="IO722" s="137"/>
      <c r="IP722" s="137"/>
      <c r="IQ722" s="3"/>
      <c r="IR722" s="138"/>
      <c r="IS722" s="2"/>
      <c r="IT722" s="139"/>
      <c r="IU722" s="3"/>
      <c r="IV722" s="3"/>
    </row>
    <row r="723" spans="1:256" s="125" customFormat="1">
      <c r="A723" s="86">
        <v>2</v>
      </c>
      <c r="B723" s="56">
        <v>43025</v>
      </c>
      <c r="C723" s="18"/>
      <c r="D723" s="19" t="s">
        <v>841</v>
      </c>
      <c r="E723" s="20" t="s">
        <v>372</v>
      </c>
      <c r="F723" s="24" t="s">
        <v>942</v>
      </c>
      <c r="G723" s="238">
        <v>1707</v>
      </c>
      <c r="H723" s="121">
        <v>4788000</v>
      </c>
      <c r="I723" s="24"/>
      <c r="J723" s="199">
        <f>SUM(H723)/1.05</f>
        <v>4560000</v>
      </c>
      <c r="K723" s="24">
        <f t="shared" si="67"/>
        <v>4560000</v>
      </c>
      <c r="L723" s="24"/>
      <c r="M723" s="24">
        <f>K723*L723</f>
        <v>0</v>
      </c>
      <c r="N723" s="129">
        <f t="shared" si="68"/>
        <v>4560000</v>
      </c>
      <c r="O723" s="108" t="s">
        <v>943</v>
      </c>
      <c r="P723" s="3"/>
      <c r="Q723" s="140"/>
      <c r="R723" s="3"/>
      <c r="S723" s="3"/>
      <c r="T723" s="3"/>
      <c r="U723" s="3"/>
      <c r="V723" s="3"/>
      <c r="W723" s="3"/>
      <c r="X723" s="3"/>
      <c r="Y723" s="131"/>
      <c r="Z723" s="15"/>
      <c r="AA723" s="99"/>
      <c r="AB723" s="149"/>
      <c r="AC723" s="134"/>
      <c r="AD723" s="134"/>
      <c r="AE723" s="137"/>
      <c r="AF723" s="150"/>
      <c r="AG723" s="137"/>
      <c r="AH723" s="137"/>
      <c r="AI723" s="3"/>
      <c r="AJ723" s="138"/>
      <c r="AK723" s="2"/>
      <c r="AL723" s="139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131"/>
      <c r="AX723" s="15"/>
      <c r="AY723" s="99"/>
      <c r="AZ723" s="149"/>
      <c r="BA723" s="134"/>
      <c r="BB723" s="134"/>
      <c r="BC723" s="137"/>
      <c r="BD723" s="150"/>
      <c r="BE723" s="137"/>
      <c r="BF723" s="137"/>
      <c r="BG723" s="3"/>
      <c r="BH723" s="138"/>
      <c r="BI723" s="2"/>
      <c r="BJ723" s="139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131"/>
      <c r="BV723" s="15"/>
      <c r="BW723" s="99"/>
      <c r="BX723" s="149"/>
      <c r="BY723" s="134"/>
      <c r="BZ723" s="134"/>
      <c r="CA723" s="137"/>
      <c r="CB723" s="150"/>
      <c r="CC723" s="137"/>
      <c r="CD723" s="137"/>
      <c r="CE723" s="3"/>
      <c r="CF723" s="138"/>
      <c r="CG723" s="2"/>
      <c r="CH723" s="139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131"/>
      <c r="CT723" s="15"/>
      <c r="CU723" s="99"/>
      <c r="CV723" s="149"/>
      <c r="CW723" s="134"/>
      <c r="CX723" s="134"/>
      <c r="CY723" s="137"/>
      <c r="CZ723" s="150"/>
      <c r="DA723" s="137"/>
      <c r="DB723" s="137"/>
      <c r="DC723" s="3"/>
      <c r="DD723" s="138"/>
      <c r="DE723" s="2"/>
      <c r="DF723" s="139"/>
      <c r="DG723" s="3"/>
      <c r="DH723" s="3"/>
      <c r="DI723" s="3"/>
      <c r="DJ723" s="3"/>
      <c r="DK723" s="3"/>
      <c r="DL723" s="3"/>
      <c r="DM723" s="3"/>
      <c r="DN723" s="3"/>
      <c r="DO723" s="3"/>
      <c r="DP723" s="3"/>
      <c r="DQ723" s="131"/>
      <c r="DR723" s="15"/>
      <c r="DS723" s="99"/>
      <c r="DT723" s="149"/>
      <c r="DU723" s="134"/>
      <c r="DV723" s="134"/>
      <c r="DW723" s="137"/>
      <c r="DX723" s="150"/>
      <c r="DY723" s="137"/>
      <c r="DZ723" s="137"/>
      <c r="EA723" s="3"/>
      <c r="EB723" s="138"/>
      <c r="EC723" s="2"/>
      <c r="ED723" s="139"/>
      <c r="EE723" s="3"/>
      <c r="EF723" s="3"/>
      <c r="EG723" s="3"/>
      <c r="EH723" s="3"/>
      <c r="EI723" s="3"/>
      <c r="EJ723" s="3"/>
      <c r="EK723" s="3"/>
      <c r="EL723" s="3"/>
      <c r="EM723" s="3"/>
      <c r="EN723" s="3"/>
      <c r="EO723" s="131"/>
      <c r="EP723" s="15"/>
      <c r="EQ723" s="99"/>
      <c r="ER723" s="149"/>
      <c r="ES723" s="134"/>
      <c r="ET723" s="134"/>
      <c r="EU723" s="137"/>
      <c r="EV723" s="150"/>
      <c r="EW723" s="137"/>
      <c r="EX723" s="137"/>
      <c r="EY723" s="3"/>
      <c r="EZ723" s="138"/>
      <c r="FA723" s="2"/>
      <c r="FB723" s="139"/>
      <c r="FC723" s="3"/>
      <c r="FD723" s="3"/>
      <c r="FE723" s="3"/>
      <c r="FF723" s="3"/>
      <c r="FG723" s="3"/>
      <c r="FH723" s="3"/>
      <c r="FI723" s="3"/>
      <c r="FJ723" s="3"/>
      <c r="FK723" s="3"/>
      <c r="FL723" s="3"/>
      <c r="FM723" s="131"/>
      <c r="FN723" s="15"/>
      <c r="FO723" s="99"/>
      <c r="FP723" s="149"/>
      <c r="FQ723" s="134"/>
      <c r="FR723" s="134"/>
      <c r="FS723" s="137"/>
      <c r="FT723" s="150"/>
      <c r="FU723" s="137"/>
      <c r="FV723" s="137"/>
      <c r="FW723" s="3"/>
      <c r="FX723" s="138"/>
      <c r="FY723" s="2"/>
      <c r="FZ723" s="139"/>
      <c r="GA723" s="3"/>
      <c r="GB723" s="3"/>
      <c r="GC723" s="3"/>
      <c r="GD723" s="3"/>
      <c r="GE723" s="3"/>
      <c r="GF723" s="3"/>
      <c r="GG723" s="3"/>
      <c r="GH723" s="3"/>
      <c r="GI723" s="3"/>
      <c r="GJ723" s="3"/>
      <c r="GK723" s="131"/>
      <c r="GL723" s="15"/>
      <c r="GM723" s="99"/>
      <c r="GN723" s="149"/>
      <c r="GO723" s="134"/>
      <c r="GP723" s="134"/>
      <c r="GQ723" s="137"/>
      <c r="GR723" s="150"/>
      <c r="GS723" s="137"/>
      <c r="GT723" s="137"/>
      <c r="GU723" s="3"/>
      <c r="GV723" s="138"/>
      <c r="GW723" s="2"/>
      <c r="GX723" s="139"/>
      <c r="GY723" s="3"/>
      <c r="GZ723" s="3"/>
      <c r="HA723" s="3"/>
      <c r="HB723" s="3"/>
      <c r="HC723" s="3"/>
      <c r="HD723" s="3"/>
      <c r="HE723" s="3"/>
      <c r="HF723" s="3"/>
      <c r="HG723" s="3"/>
      <c r="HH723" s="3"/>
      <c r="HI723" s="131"/>
      <c r="HJ723" s="15"/>
      <c r="HK723" s="99"/>
      <c r="HL723" s="149"/>
      <c r="HM723" s="134"/>
      <c r="HN723" s="134"/>
      <c r="HO723" s="137"/>
      <c r="HP723" s="150"/>
      <c r="HQ723" s="137"/>
      <c r="HR723" s="137"/>
      <c r="HS723" s="3"/>
      <c r="HT723" s="138"/>
      <c r="HU723" s="2"/>
      <c r="HV723" s="139"/>
      <c r="HW723" s="3"/>
      <c r="HX723" s="3"/>
      <c r="HY723" s="3"/>
      <c r="HZ723" s="3"/>
      <c r="IA723" s="3"/>
      <c r="IB723" s="3"/>
      <c r="IC723" s="3"/>
      <c r="ID723" s="3"/>
      <c r="IE723" s="3"/>
      <c r="IF723" s="3"/>
      <c r="IG723" s="131"/>
      <c r="IH723" s="15"/>
      <c r="II723" s="99"/>
      <c r="IJ723" s="149"/>
      <c r="IK723" s="134"/>
      <c r="IL723" s="134"/>
      <c r="IM723" s="137"/>
      <c r="IN723" s="150"/>
      <c r="IO723" s="137"/>
      <c r="IP723" s="137"/>
      <c r="IQ723" s="3"/>
      <c r="IR723" s="138"/>
      <c r="IS723" s="2"/>
      <c r="IT723" s="139"/>
      <c r="IU723" s="3"/>
      <c r="IV723" s="3"/>
    </row>
    <row r="724" spans="1:256" s="125" customFormat="1">
      <c r="A724" s="86">
        <v>3</v>
      </c>
      <c r="B724" s="56">
        <v>43038</v>
      </c>
      <c r="C724" s="18"/>
      <c r="D724" s="19" t="s">
        <v>841</v>
      </c>
      <c r="E724" s="20" t="s">
        <v>372</v>
      </c>
      <c r="F724" s="24" t="s">
        <v>944</v>
      </c>
      <c r="G724" s="238">
        <v>1708</v>
      </c>
      <c r="H724" s="121">
        <v>4788000</v>
      </c>
      <c r="I724" s="24"/>
      <c r="J724" s="199">
        <f>SUM(H724)/1.05</f>
        <v>4560000</v>
      </c>
      <c r="K724" s="24">
        <f t="shared" si="67"/>
        <v>4560000</v>
      </c>
      <c r="L724" s="24"/>
      <c r="M724" s="24">
        <f>K724*L724</f>
        <v>0</v>
      </c>
      <c r="N724" s="129">
        <f t="shared" si="68"/>
        <v>4560000</v>
      </c>
      <c r="O724" s="108" t="s">
        <v>945</v>
      </c>
      <c r="P724" s="3"/>
      <c r="Q724" s="140"/>
      <c r="R724" s="3"/>
      <c r="S724" s="3"/>
      <c r="T724" s="3"/>
      <c r="U724" s="3"/>
      <c r="V724" s="3"/>
      <c r="W724" s="3"/>
      <c r="X724" s="3"/>
      <c r="Y724" s="131"/>
      <c r="Z724" s="15"/>
      <c r="AA724" s="99"/>
      <c r="AB724" s="149"/>
      <c r="AC724" s="134"/>
      <c r="AD724" s="134"/>
      <c r="AE724" s="137"/>
      <c r="AF724" s="150"/>
      <c r="AG724" s="137"/>
      <c r="AH724" s="137"/>
      <c r="AI724" s="3"/>
      <c r="AJ724" s="138"/>
      <c r="AK724" s="2"/>
      <c r="AL724" s="139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131"/>
      <c r="AX724" s="15"/>
      <c r="AY724" s="99"/>
      <c r="AZ724" s="149"/>
      <c r="BA724" s="134"/>
      <c r="BB724" s="134"/>
      <c r="BC724" s="137"/>
      <c r="BD724" s="150"/>
      <c r="BE724" s="137"/>
      <c r="BF724" s="137"/>
      <c r="BG724" s="3"/>
      <c r="BH724" s="138"/>
      <c r="BI724" s="2"/>
      <c r="BJ724" s="139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131"/>
      <c r="BV724" s="15"/>
      <c r="BW724" s="99"/>
      <c r="BX724" s="149"/>
      <c r="BY724" s="134"/>
      <c r="BZ724" s="134"/>
      <c r="CA724" s="137"/>
      <c r="CB724" s="150"/>
      <c r="CC724" s="137"/>
      <c r="CD724" s="137"/>
      <c r="CE724" s="3"/>
      <c r="CF724" s="138"/>
      <c r="CG724" s="2"/>
      <c r="CH724" s="139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131"/>
      <c r="CT724" s="15"/>
      <c r="CU724" s="99"/>
      <c r="CV724" s="149"/>
      <c r="CW724" s="134"/>
      <c r="CX724" s="134"/>
      <c r="CY724" s="137"/>
      <c r="CZ724" s="150"/>
      <c r="DA724" s="137"/>
      <c r="DB724" s="137"/>
      <c r="DC724" s="3"/>
      <c r="DD724" s="138"/>
      <c r="DE724" s="2"/>
      <c r="DF724" s="139"/>
      <c r="DG724" s="3"/>
      <c r="DH724" s="3"/>
      <c r="DI724" s="3"/>
      <c r="DJ724" s="3"/>
      <c r="DK724" s="3"/>
      <c r="DL724" s="3"/>
      <c r="DM724" s="3"/>
      <c r="DN724" s="3"/>
      <c r="DO724" s="3"/>
      <c r="DP724" s="3"/>
      <c r="DQ724" s="131"/>
      <c r="DR724" s="15"/>
      <c r="DS724" s="99"/>
      <c r="DT724" s="149"/>
      <c r="DU724" s="134"/>
      <c r="DV724" s="134"/>
      <c r="DW724" s="137"/>
      <c r="DX724" s="150"/>
      <c r="DY724" s="137"/>
      <c r="DZ724" s="137"/>
      <c r="EA724" s="3"/>
      <c r="EB724" s="138"/>
      <c r="EC724" s="2"/>
      <c r="ED724" s="139"/>
      <c r="EE724" s="3"/>
      <c r="EF724" s="3"/>
      <c r="EG724" s="3"/>
      <c r="EH724" s="3"/>
      <c r="EI724" s="3"/>
      <c r="EJ724" s="3"/>
      <c r="EK724" s="3"/>
      <c r="EL724" s="3"/>
      <c r="EM724" s="3"/>
      <c r="EN724" s="3"/>
      <c r="EO724" s="131"/>
      <c r="EP724" s="15"/>
      <c r="EQ724" s="99"/>
      <c r="ER724" s="149"/>
      <c r="ES724" s="134"/>
      <c r="ET724" s="134"/>
      <c r="EU724" s="137"/>
      <c r="EV724" s="150"/>
      <c r="EW724" s="137"/>
      <c r="EX724" s="137"/>
      <c r="EY724" s="3"/>
      <c r="EZ724" s="138"/>
      <c r="FA724" s="2"/>
      <c r="FB724" s="139"/>
      <c r="FC724" s="3"/>
      <c r="FD724" s="3"/>
      <c r="FE724" s="3"/>
      <c r="FF724" s="3"/>
      <c r="FG724" s="3"/>
      <c r="FH724" s="3"/>
      <c r="FI724" s="3"/>
      <c r="FJ724" s="3"/>
      <c r="FK724" s="3"/>
      <c r="FL724" s="3"/>
      <c r="FM724" s="131"/>
      <c r="FN724" s="15"/>
      <c r="FO724" s="99"/>
      <c r="FP724" s="149"/>
      <c r="FQ724" s="134"/>
      <c r="FR724" s="134"/>
      <c r="FS724" s="137"/>
      <c r="FT724" s="150"/>
      <c r="FU724" s="137"/>
      <c r="FV724" s="137"/>
      <c r="FW724" s="3"/>
      <c r="FX724" s="138"/>
      <c r="FY724" s="2"/>
      <c r="FZ724" s="139"/>
      <c r="GA724" s="3"/>
      <c r="GB724" s="3"/>
      <c r="GC724" s="3"/>
      <c r="GD724" s="3"/>
      <c r="GE724" s="3"/>
      <c r="GF724" s="3"/>
      <c r="GG724" s="3"/>
      <c r="GH724" s="3"/>
      <c r="GI724" s="3"/>
      <c r="GJ724" s="3"/>
      <c r="GK724" s="131"/>
      <c r="GL724" s="15"/>
      <c r="GM724" s="99"/>
      <c r="GN724" s="149"/>
      <c r="GO724" s="134"/>
      <c r="GP724" s="134"/>
      <c r="GQ724" s="137"/>
      <c r="GR724" s="150"/>
      <c r="GS724" s="137"/>
      <c r="GT724" s="137"/>
      <c r="GU724" s="3"/>
      <c r="GV724" s="138"/>
      <c r="GW724" s="2"/>
      <c r="GX724" s="139"/>
      <c r="GY724" s="3"/>
      <c r="GZ724" s="3"/>
      <c r="HA724" s="3"/>
      <c r="HB724" s="3"/>
      <c r="HC724" s="3"/>
      <c r="HD724" s="3"/>
      <c r="HE724" s="3"/>
      <c r="HF724" s="3"/>
      <c r="HG724" s="3"/>
      <c r="HH724" s="3"/>
      <c r="HI724" s="131"/>
      <c r="HJ724" s="15"/>
      <c r="HK724" s="99"/>
      <c r="HL724" s="149"/>
      <c r="HM724" s="134"/>
      <c r="HN724" s="134"/>
      <c r="HO724" s="137"/>
      <c r="HP724" s="150"/>
      <c r="HQ724" s="137"/>
      <c r="HR724" s="137"/>
      <c r="HS724" s="3"/>
      <c r="HT724" s="138"/>
      <c r="HU724" s="2"/>
      <c r="HV724" s="139"/>
      <c r="HW724" s="3"/>
      <c r="HX724" s="3"/>
      <c r="HY724" s="3"/>
      <c r="HZ724" s="3"/>
      <c r="IA724" s="3"/>
      <c r="IB724" s="3"/>
      <c r="IC724" s="3"/>
      <c r="ID724" s="3"/>
      <c r="IE724" s="3"/>
      <c r="IF724" s="3"/>
      <c r="IG724" s="131"/>
      <c r="IH724" s="15"/>
      <c r="II724" s="99"/>
      <c r="IJ724" s="149"/>
      <c r="IK724" s="134"/>
      <c r="IL724" s="134"/>
      <c r="IM724" s="137"/>
      <c r="IN724" s="150"/>
      <c r="IO724" s="137"/>
      <c r="IP724" s="137"/>
      <c r="IQ724" s="3"/>
      <c r="IR724" s="138"/>
      <c r="IS724" s="2"/>
      <c r="IT724" s="139"/>
      <c r="IU724" s="3"/>
      <c r="IV724" s="3"/>
    </row>
    <row r="725" spans="1:256" s="125" customFormat="1">
      <c r="A725" s="86">
        <v>4</v>
      </c>
      <c r="B725" s="56">
        <v>42814</v>
      </c>
      <c r="C725" s="18"/>
      <c r="D725" s="19" t="s">
        <v>841</v>
      </c>
      <c r="E725" s="20" t="s">
        <v>946</v>
      </c>
      <c r="F725" s="24" t="s">
        <v>947</v>
      </c>
      <c r="G725" s="238">
        <v>1701</v>
      </c>
      <c r="H725" s="121"/>
      <c r="I725" s="24">
        <v>2196571</v>
      </c>
      <c r="J725" s="199"/>
      <c r="K725" s="24">
        <f t="shared" si="67"/>
        <v>2196571</v>
      </c>
      <c r="L725" s="24"/>
      <c r="M725" s="24">
        <f>K725*L725</f>
        <v>0</v>
      </c>
      <c r="N725" s="129">
        <f t="shared" si="68"/>
        <v>2196571</v>
      </c>
      <c r="O725" s="108" t="s">
        <v>900</v>
      </c>
      <c r="P725" s="3"/>
      <c r="Q725" s="140"/>
      <c r="R725" s="3"/>
      <c r="S725" s="3"/>
      <c r="T725" s="3"/>
      <c r="U725" s="3"/>
      <c r="V725" s="3"/>
      <c r="W725" s="3"/>
      <c r="X725" s="3"/>
      <c r="Y725" s="131"/>
      <c r="Z725" s="15"/>
      <c r="AA725" s="99"/>
      <c r="AB725" s="149"/>
      <c r="AC725" s="134"/>
      <c r="AD725" s="134"/>
      <c r="AE725" s="137"/>
      <c r="AF725" s="150"/>
      <c r="AG725" s="137"/>
      <c r="AH725" s="137"/>
      <c r="AI725" s="3"/>
      <c r="AJ725" s="138"/>
      <c r="AK725" s="2"/>
      <c r="AL725" s="139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131"/>
      <c r="AX725" s="15"/>
      <c r="AY725" s="99"/>
      <c r="AZ725" s="149"/>
      <c r="BA725" s="134"/>
      <c r="BB725" s="134"/>
      <c r="BC725" s="137"/>
      <c r="BD725" s="150"/>
      <c r="BE725" s="137"/>
      <c r="BF725" s="137"/>
      <c r="BG725" s="3"/>
      <c r="BH725" s="138"/>
      <c r="BI725" s="2"/>
      <c r="BJ725" s="139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131"/>
      <c r="BV725" s="15"/>
      <c r="BW725" s="99"/>
      <c r="BX725" s="149"/>
      <c r="BY725" s="134"/>
      <c r="BZ725" s="134"/>
      <c r="CA725" s="137"/>
      <c r="CB725" s="150"/>
      <c r="CC725" s="137"/>
      <c r="CD725" s="137"/>
      <c r="CE725" s="3"/>
      <c r="CF725" s="138"/>
      <c r="CG725" s="2"/>
      <c r="CH725" s="139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131"/>
      <c r="CT725" s="15"/>
      <c r="CU725" s="99"/>
      <c r="CV725" s="149"/>
      <c r="CW725" s="134"/>
      <c r="CX725" s="134"/>
      <c r="CY725" s="137"/>
      <c r="CZ725" s="150"/>
      <c r="DA725" s="137"/>
      <c r="DB725" s="137"/>
      <c r="DC725" s="3"/>
      <c r="DD725" s="138"/>
      <c r="DE725" s="2"/>
      <c r="DF725" s="139"/>
      <c r="DG725" s="3"/>
      <c r="DH725" s="3"/>
      <c r="DI725" s="3"/>
      <c r="DJ725" s="3"/>
      <c r="DK725" s="3"/>
      <c r="DL725" s="3"/>
      <c r="DM725" s="3"/>
      <c r="DN725" s="3"/>
      <c r="DO725" s="3"/>
      <c r="DP725" s="3"/>
      <c r="DQ725" s="131"/>
      <c r="DR725" s="15"/>
      <c r="DS725" s="99"/>
      <c r="DT725" s="149"/>
      <c r="DU725" s="134"/>
      <c r="DV725" s="134"/>
      <c r="DW725" s="137"/>
      <c r="DX725" s="150"/>
      <c r="DY725" s="137"/>
      <c r="DZ725" s="137"/>
      <c r="EA725" s="3"/>
      <c r="EB725" s="138"/>
      <c r="EC725" s="2"/>
      <c r="ED725" s="139"/>
      <c r="EE725" s="3"/>
      <c r="EF725" s="3"/>
      <c r="EG725" s="3"/>
      <c r="EH725" s="3"/>
      <c r="EI725" s="3"/>
      <c r="EJ725" s="3"/>
      <c r="EK725" s="3"/>
      <c r="EL725" s="3"/>
      <c r="EM725" s="3"/>
      <c r="EN725" s="3"/>
      <c r="EO725" s="131"/>
      <c r="EP725" s="15"/>
      <c r="EQ725" s="99"/>
      <c r="ER725" s="149"/>
      <c r="ES725" s="134"/>
      <c r="ET725" s="134"/>
      <c r="EU725" s="137"/>
      <c r="EV725" s="150"/>
      <c r="EW725" s="137"/>
      <c r="EX725" s="137"/>
      <c r="EY725" s="3"/>
      <c r="EZ725" s="138"/>
      <c r="FA725" s="2"/>
      <c r="FB725" s="139"/>
      <c r="FC725" s="3"/>
      <c r="FD725" s="3"/>
      <c r="FE725" s="3"/>
      <c r="FF725" s="3"/>
      <c r="FG725" s="3"/>
      <c r="FH725" s="3"/>
      <c r="FI725" s="3"/>
      <c r="FJ725" s="3"/>
      <c r="FK725" s="3"/>
      <c r="FL725" s="3"/>
      <c r="FM725" s="131"/>
      <c r="FN725" s="15"/>
      <c r="FO725" s="99"/>
      <c r="FP725" s="149"/>
      <c r="FQ725" s="134"/>
      <c r="FR725" s="134"/>
      <c r="FS725" s="137"/>
      <c r="FT725" s="150"/>
      <c r="FU725" s="137"/>
      <c r="FV725" s="137"/>
      <c r="FW725" s="3"/>
      <c r="FX725" s="138"/>
      <c r="FY725" s="2"/>
      <c r="FZ725" s="139"/>
      <c r="GA725" s="3"/>
      <c r="GB725" s="3"/>
      <c r="GC725" s="3"/>
      <c r="GD725" s="3"/>
      <c r="GE725" s="3"/>
      <c r="GF725" s="3"/>
      <c r="GG725" s="3"/>
      <c r="GH725" s="3"/>
      <c r="GI725" s="3"/>
      <c r="GJ725" s="3"/>
      <c r="GK725" s="131"/>
      <c r="GL725" s="15"/>
      <c r="GM725" s="99"/>
      <c r="GN725" s="149"/>
      <c r="GO725" s="134"/>
      <c r="GP725" s="134"/>
      <c r="GQ725" s="137"/>
      <c r="GR725" s="150"/>
      <c r="GS725" s="137"/>
      <c r="GT725" s="137"/>
      <c r="GU725" s="3"/>
      <c r="GV725" s="138"/>
      <c r="GW725" s="2"/>
      <c r="GX725" s="139"/>
      <c r="GY725" s="3"/>
      <c r="GZ725" s="3"/>
      <c r="HA725" s="3"/>
      <c r="HB725" s="3"/>
      <c r="HC725" s="3"/>
      <c r="HD725" s="3"/>
      <c r="HE725" s="3"/>
      <c r="HF725" s="3"/>
      <c r="HG725" s="3"/>
      <c r="HH725" s="3"/>
      <c r="HI725" s="131"/>
      <c r="HJ725" s="15"/>
      <c r="HK725" s="99"/>
      <c r="HL725" s="149"/>
      <c r="HM725" s="134"/>
      <c r="HN725" s="134"/>
      <c r="HO725" s="137"/>
      <c r="HP725" s="150"/>
      <c r="HQ725" s="137"/>
      <c r="HR725" s="137"/>
      <c r="HS725" s="3"/>
      <c r="HT725" s="138"/>
      <c r="HU725" s="2"/>
      <c r="HV725" s="139"/>
      <c r="HW725" s="3"/>
      <c r="HX725" s="3"/>
      <c r="HY725" s="3"/>
      <c r="HZ725" s="3"/>
      <c r="IA725" s="3"/>
      <c r="IB725" s="3"/>
      <c r="IC725" s="3"/>
      <c r="ID725" s="3"/>
      <c r="IE725" s="3"/>
      <c r="IF725" s="3"/>
      <c r="IG725" s="131"/>
      <c r="IH725" s="15"/>
      <c r="II725" s="99"/>
      <c r="IJ725" s="149"/>
      <c r="IK725" s="134"/>
      <c r="IL725" s="134"/>
      <c r="IM725" s="137"/>
      <c r="IN725" s="150"/>
      <c r="IO725" s="137"/>
      <c r="IP725" s="137"/>
      <c r="IQ725" s="3"/>
      <c r="IR725" s="138"/>
      <c r="IS725" s="2"/>
      <c r="IT725" s="139"/>
      <c r="IU725" s="3"/>
      <c r="IV725" s="3"/>
    </row>
    <row r="726" spans="1:256" s="125" customFormat="1">
      <c r="A726" s="86">
        <v>5</v>
      </c>
      <c r="B726" s="56">
        <v>42986</v>
      </c>
      <c r="C726" s="18"/>
      <c r="D726" s="19" t="s">
        <v>841</v>
      </c>
      <c r="E726" s="20" t="s">
        <v>428</v>
      </c>
      <c r="F726" s="24" t="s">
        <v>948</v>
      </c>
      <c r="G726" s="238">
        <v>1707</v>
      </c>
      <c r="H726" s="121">
        <v>3152700</v>
      </c>
      <c r="I726" s="24">
        <v>3002571</v>
      </c>
      <c r="J726" s="199"/>
      <c r="K726" s="24">
        <f t="shared" si="67"/>
        <v>3002571</v>
      </c>
      <c r="L726" s="24"/>
      <c r="M726" s="24">
        <f>K726*L726</f>
        <v>0</v>
      </c>
      <c r="N726" s="129">
        <f t="shared" si="68"/>
        <v>3002571</v>
      </c>
      <c r="O726" s="108" t="s">
        <v>900</v>
      </c>
      <c r="P726" s="3"/>
      <c r="Q726" s="140"/>
      <c r="R726" s="3"/>
      <c r="S726" s="3"/>
      <c r="T726" s="3"/>
      <c r="U726" s="3"/>
      <c r="V726" s="3"/>
      <c r="W726" s="3"/>
      <c r="X726" s="3"/>
      <c r="Y726" s="131"/>
      <c r="Z726" s="15"/>
      <c r="AA726" s="99"/>
      <c r="AB726" s="149"/>
      <c r="AC726" s="134"/>
      <c r="AD726" s="134"/>
      <c r="AE726" s="137"/>
      <c r="AF726" s="150"/>
      <c r="AG726" s="137"/>
      <c r="AH726" s="137"/>
      <c r="AI726" s="3"/>
      <c r="AJ726" s="138"/>
      <c r="AK726" s="2"/>
      <c r="AL726" s="139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131"/>
      <c r="AX726" s="15"/>
      <c r="AY726" s="99"/>
      <c r="AZ726" s="149"/>
      <c r="BA726" s="134"/>
      <c r="BB726" s="134"/>
      <c r="BC726" s="137"/>
      <c r="BD726" s="150"/>
      <c r="BE726" s="137"/>
      <c r="BF726" s="137"/>
      <c r="BG726" s="3"/>
      <c r="BH726" s="138"/>
      <c r="BI726" s="2"/>
      <c r="BJ726" s="139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131"/>
      <c r="BV726" s="15"/>
      <c r="BW726" s="99"/>
      <c r="BX726" s="149"/>
      <c r="BY726" s="134"/>
      <c r="BZ726" s="134"/>
      <c r="CA726" s="137"/>
      <c r="CB726" s="150"/>
      <c r="CC726" s="137"/>
      <c r="CD726" s="137"/>
      <c r="CE726" s="3"/>
      <c r="CF726" s="138"/>
      <c r="CG726" s="2"/>
      <c r="CH726" s="139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131"/>
      <c r="CT726" s="15"/>
      <c r="CU726" s="99"/>
      <c r="CV726" s="149"/>
      <c r="CW726" s="134"/>
      <c r="CX726" s="134"/>
      <c r="CY726" s="137"/>
      <c r="CZ726" s="150"/>
      <c r="DA726" s="137"/>
      <c r="DB726" s="137"/>
      <c r="DC726" s="3"/>
      <c r="DD726" s="138"/>
      <c r="DE726" s="2"/>
      <c r="DF726" s="139"/>
      <c r="DG726" s="3"/>
      <c r="DH726" s="3"/>
      <c r="DI726" s="3"/>
      <c r="DJ726" s="3"/>
      <c r="DK726" s="3"/>
      <c r="DL726" s="3"/>
      <c r="DM726" s="3"/>
      <c r="DN726" s="3"/>
      <c r="DO726" s="3"/>
      <c r="DP726" s="3"/>
      <c r="DQ726" s="131"/>
      <c r="DR726" s="15"/>
      <c r="DS726" s="99"/>
      <c r="DT726" s="149"/>
      <c r="DU726" s="134"/>
      <c r="DV726" s="134"/>
      <c r="DW726" s="137"/>
      <c r="DX726" s="150"/>
      <c r="DY726" s="137"/>
      <c r="DZ726" s="137"/>
      <c r="EA726" s="3"/>
      <c r="EB726" s="138"/>
      <c r="EC726" s="2"/>
      <c r="ED726" s="139"/>
      <c r="EE726" s="3"/>
      <c r="EF726" s="3"/>
      <c r="EG726" s="3"/>
      <c r="EH726" s="3"/>
      <c r="EI726" s="3"/>
      <c r="EJ726" s="3"/>
      <c r="EK726" s="3"/>
      <c r="EL726" s="3"/>
      <c r="EM726" s="3"/>
      <c r="EN726" s="3"/>
      <c r="EO726" s="131"/>
      <c r="EP726" s="15"/>
      <c r="EQ726" s="99"/>
      <c r="ER726" s="149"/>
      <c r="ES726" s="134"/>
      <c r="ET726" s="134"/>
      <c r="EU726" s="137"/>
      <c r="EV726" s="150"/>
      <c r="EW726" s="137"/>
      <c r="EX726" s="137"/>
      <c r="EY726" s="3"/>
      <c r="EZ726" s="138"/>
      <c r="FA726" s="2"/>
      <c r="FB726" s="139"/>
      <c r="FC726" s="3"/>
      <c r="FD726" s="3"/>
      <c r="FE726" s="3"/>
      <c r="FF726" s="3"/>
      <c r="FG726" s="3"/>
      <c r="FH726" s="3"/>
      <c r="FI726" s="3"/>
      <c r="FJ726" s="3"/>
      <c r="FK726" s="3"/>
      <c r="FL726" s="3"/>
      <c r="FM726" s="131"/>
      <c r="FN726" s="15"/>
      <c r="FO726" s="99"/>
      <c r="FP726" s="149"/>
      <c r="FQ726" s="134"/>
      <c r="FR726" s="134"/>
      <c r="FS726" s="137"/>
      <c r="FT726" s="150"/>
      <c r="FU726" s="137"/>
      <c r="FV726" s="137"/>
      <c r="FW726" s="3"/>
      <c r="FX726" s="138"/>
      <c r="FY726" s="2"/>
      <c r="FZ726" s="139"/>
      <c r="GA726" s="3"/>
      <c r="GB726" s="3"/>
      <c r="GC726" s="3"/>
      <c r="GD726" s="3"/>
      <c r="GE726" s="3"/>
      <c r="GF726" s="3"/>
      <c r="GG726" s="3"/>
      <c r="GH726" s="3"/>
      <c r="GI726" s="3"/>
      <c r="GJ726" s="3"/>
      <c r="GK726" s="131"/>
      <c r="GL726" s="15"/>
      <c r="GM726" s="99"/>
      <c r="GN726" s="149"/>
      <c r="GO726" s="134"/>
      <c r="GP726" s="134"/>
      <c r="GQ726" s="137"/>
      <c r="GR726" s="150"/>
      <c r="GS726" s="137"/>
      <c r="GT726" s="137"/>
      <c r="GU726" s="3"/>
      <c r="GV726" s="138"/>
      <c r="GW726" s="2"/>
      <c r="GX726" s="139"/>
      <c r="GY726" s="3"/>
      <c r="GZ726" s="3"/>
      <c r="HA726" s="3"/>
      <c r="HB726" s="3"/>
      <c r="HC726" s="3"/>
      <c r="HD726" s="3"/>
      <c r="HE726" s="3"/>
      <c r="HF726" s="3"/>
      <c r="HG726" s="3"/>
      <c r="HH726" s="3"/>
      <c r="HI726" s="131"/>
      <c r="HJ726" s="15"/>
      <c r="HK726" s="99"/>
      <c r="HL726" s="149"/>
      <c r="HM726" s="134"/>
      <c r="HN726" s="134"/>
      <c r="HO726" s="137"/>
      <c r="HP726" s="150"/>
      <c r="HQ726" s="137"/>
      <c r="HR726" s="137"/>
      <c r="HS726" s="3"/>
      <c r="HT726" s="138"/>
      <c r="HU726" s="2"/>
      <c r="HV726" s="139"/>
      <c r="HW726" s="3"/>
      <c r="HX726" s="3"/>
      <c r="HY726" s="3"/>
      <c r="HZ726" s="3"/>
      <c r="IA726" s="3"/>
      <c r="IB726" s="3"/>
      <c r="IC726" s="3"/>
      <c r="ID726" s="3"/>
      <c r="IE726" s="3"/>
      <c r="IF726" s="3"/>
      <c r="IG726" s="131"/>
      <c r="IH726" s="15"/>
      <c r="II726" s="99"/>
      <c r="IJ726" s="149"/>
      <c r="IK726" s="134"/>
      <c r="IL726" s="134"/>
      <c r="IM726" s="137"/>
      <c r="IN726" s="150"/>
      <c r="IO726" s="137"/>
      <c r="IP726" s="137"/>
      <c r="IQ726" s="3"/>
      <c r="IR726" s="138"/>
      <c r="IS726" s="2"/>
      <c r="IT726" s="139"/>
      <c r="IU726" s="3"/>
      <c r="IV726" s="3"/>
    </row>
    <row r="727" spans="1:256" s="125" customFormat="1">
      <c r="A727" s="86">
        <v>6</v>
      </c>
      <c r="B727" s="56"/>
      <c r="C727" s="18"/>
      <c r="D727" s="19" t="s">
        <v>841</v>
      </c>
      <c r="E727" s="20" t="s">
        <v>949</v>
      </c>
      <c r="F727" s="82" t="s">
        <v>950</v>
      </c>
      <c r="G727" s="58"/>
      <c r="H727" s="121"/>
      <c r="I727" s="24">
        <v>2267429</v>
      </c>
      <c r="J727" s="24"/>
      <c r="K727" s="199">
        <f t="shared" si="67"/>
        <v>2267429</v>
      </c>
      <c r="L727" s="26"/>
      <c r="M727" s="24"/>
      <c r="N727" s="129">
        <f t="shared" si="68"/>
        <v>2267429</v>
      </c>
      <c r="O727" s="108"/>
      <c r="P727" s="3"/>
      <c r="Q727" s="140"/>
      <c r="R727" s="3"/>
      <c r="S727" s="3"/>
      <c r="T727" s="3"/>
      <c r="U727" s="3"/>
      <c r="V727" s="3"/>
      <c r="W727" s="3"/>
      <c r="X727" s="3"/>
      <c r="Y727" s="131"/>
      <c r="Z727" s="15"/>
      <c r="AA727" s="99"/>
      <c r="AB727" s="149"/>
      <c r="AC727" s="134"/>
      <c r="AD727" s="134"/>
      <c r="AE727" s="137"/>
      <c r="AF727" s="150"/>
      <c r="AG727" s="137"/>
      <c r="AH727" s="137"/>
      <c r="AI727" s="3"/>
      <c r="AJ727" s="138"/>
      <c r="AK727" s="2"/>
      <c r="AL727" s="139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131"/>
      <c r="AX727" s="15"/>
      <c r="AY727" s="99"/>
      <c r="AZ727" s="149"/>
      <c r="BA727" s="134"/>
      <c r="BB727" s="134"/>
      <c r="BC727" s="137"/>
      <c r="BD727" s="150"/>
      <c r="BE727" s="137"/>
      <c r="BF727" s="137"/>
      <c r="BG727" s="3"/>
      <c r="BH727" s="138"/>
      <c r="BI727" s="2"/>
      <c r="BJ727" s="139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131"/>
      <c r="BV727" s="15"/>
      <c r="BW727" s="99"/>
      <c r="BX727" s="149"/>
      <c r="BY727" s="134"/>
      <c r="BZ727" s="134"/>
      <c r="CA727" s="137"/>
      <c r="CB727" s="150"/>
      <c r="CC727" s="137"/>
      <c r="CD727" s="137"/>
      <c r="CE727" s="3"/>
      <c r="CF727" s="138"/>
      <c r="CG727" s="2"/>
      <c r="CH727" s="139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131"/>
      <c r="CT727" s="15"/>
      <c r="CU727" s="99"/>
      <c r="CV727" s="149"/>
      <c r="CW727" s="134"/>
      <c r="CX727" s="134"/>
      <c r="CY727" s="137"/>
      <c r="CZ727" s="150"/>
      <c r="DA727" s="137"/>
      <c r="DB727" s="137"/>
      <c r="DC727" s="3"/>
      <c r="DD727" s="138"/>
      <c r="DE727" s="2"/>
      <c r="DF727" s="139"/>
      <c r="DG727" s="3"/>
      <c r="DH727" s="3"/>
      <c r="DI727" s="3"/>
      <c r="DJ727" s="3"/>
      <c r="DK727" s="3"/>
      <c r="DL727" s="3"/>
      <c r="DM727" s="3"/>
      <c r="DN727" s="3"/>
      <c r="DO727" s="3"/>
      <c r="DP727" s="3"/>
      <c r="DQ727" s="131"/>
      <c r="DR727" s="15"/>
      <c r="DS727" s="99"/>
      <c r="DT727" s="149"/>
      <c r="DU727" s="134"/>
      <c r="DV727" s="134"/>
      <c r="DW727" s="137"/>
      <c r="DX727" s="150"/>
      <c r="DY727" s="137"/>
      <c r="DZ727" s="137"/>
      <c r="EA727" s="3"/>
      <c r="EB727" s="138"/>
      <c r="EC727" s="2"/>
      <c r="ED727" s="139"/>
      <c r="EE727" s="3"/>
      <c r="EF727" s="3"/>
      <c r="EG727" s="3"/>
      <c r="EH727" s="3"/>
      <c r="EI727" s="3"/>
      <c r="EJ727" s="3"/>
      <c r="EK727" s="3"/>
      <c r="EL727" s="3"/>
      <c r="EM727" s="3"/>
      <c r="EN727" s="3"/>
      <c r="EO727" s="131"/>
      <c r="EP727" s="15"/>
      <c r="EQ727" s="99"/>
      <c r="ER727" s="149"/>
      <c r="ES727" s="134"/>
      <c r="ET727" s="134"/>
      <c r="EU727" s="137"/>
      <c r="EV727" s="150"/>
      <c r="EW727" s="137"/>
      <c r="EX727" s="137"/>
      <c r="EY727" s="3"/>
      <c r="EZ727" s="138"/>
      <c r="FA727" s="2"/>
      <c r="FB727" s="139"/>
      <c r="FC727" s="3"/>
      <c r="FD727" s="3"/>
      <c r="FE727" s="3"/>
      <c r="FF727" s="3"/>
      <c r="FG727" s="3"/>
      <c r="FH727" s="3"/>
      <c r="FI727" s="3"/>
      <c r="FJ727" s="3"/>
      <c r="FK727" s="3"/>
      <c r="FL727" s="3"/>
      <c r="FM727" s="131"/>
      <c r="FN727" s="15"/>
      <c r="FO727" s="99"/>
      <c r="FP727" s="149"/>
      <c r="FQ727" s="134"/>
      <c r="FR727" s="134"/>
      <c r="FS727" s="137"/>
      <c r="FT727" s="150"/>
      <c r="FU727" s="137"/>
      <c r="FV727" s="137"/>
      <c r="FW727" s="3"/>
      <c r="FX727" s="138"/>
      <c r="FY727" s="2"/>
      <c r="FZ727" s="139"/>
      <c r="GA727" s="3"/>
      <c r="GB727" s="3"/>
      <c r="GC727" s="3"/>
      <c r="GD727" s="3"/>
      <c r="GE727" s="3"/>
      <c r="GF727" s="3"/>
      <c r="GG727" s="3"/>
      <c r="GH727" s="3"/>
      <c r="GI727" s="3"/>
      <c r="GJ727" s="3"/>
      <c r="GK727" s="131"/>
      <c r="GL727" s="15"/>
      <c r="GM727" s="99"/>
      <c r="GN727" s="149"/>
      <c r="GO727" s="134"/>
      <c r="GP727" s="134"/>
      <c r="GQ727" s="137"/>
      <c r="GR727" s="150"/>
      <c r="GS727" s="137"/>
      <c r="GT727" s="137"/>
      <c r="GU727" s="3"/>
      <c r="GV727" s="138"/>
      <c r="GW727" s="2"/>
      <c r="GX727" s="139"/>
      <c r="GY727" s="3"/>
      <c r="GZ727" s="3"/>
      <c r="HA727" s="3"/>
      <c r="HB727" s="3"/>
      <c r="HC727" s="3"/>
      <c r="HD727" s="3"/>
      <c r="HE727" s="3"/>
      <c r="HF727" s="3"/>
      <c r="HG727" s="3"/>
      <c r="HH727" s="3"/>
      <c r="HI727" s="131"/>
      <c r="HJ727" s="15"/>
      <c r="HK727" s="99"/>
      <c r="HL727" s="149"/>
      <c r="HM727" s="134"/>
      <c r="HN727" s="134"/>
      <c r="HO727" s="137"/>
      <c r="HP727" s="150"/>
      <c r="HQ727" s="137"/>
      <c r="HR727" s="137"/>
      <c r="HS727" s="3"/>
      <c r="HT727" s="138"/>
      <c r="HU727" s="2"/>
      <c r="HV727" s="139"/>
      <c r="HW727" s="3"/>
      <c r="HX727" s="3"/>
      <c r="HY727" s="3"/>
      <c r="HZ727" s="3"/>
      <c r="IA727" s="3"/>
      <c r="IB727" s="3"/>
      <c r="IC727" s="3"/>
      <c r="ID727" s="3"/>
      <c r="IE727" s="3"/>
      <c r="IF727" s="3"/>
      <c r="IG727" s="131"/>
      <c r="IH727" s="15"/>
      <c r="II727" s="99"/>
      <c r="IJ727" s="149"/>
      <c r="IK727" s="134"/>
      <c r="IL727" s="134"/>
      <c r="IM727" s="137"/>
      <c r="IN727" s="150"/>
      <c r="IO727" s="137"/>
      <c r="IP727" s="137"/>
      <c r="IQ727" s="3"/>
      <c r="IR727" s="138"/>
      <c r="IS727" s="2"/>
      <c r="IT727" s="139"/>
      <c r="IU727" s="3"/>
      <c r="IV727" s="3"/>
    </row>
    <row r="728" spans="1:256" s="125" customFormat="1">
      <c r="A728" s="86">
        <v>7</v>
      </c>
      <c r="B728" s="56"/>
      <c r="C728" s="18"/>
      <c r="D728" s="19" t="s">
        <v>841</v>
      </c>
      <c r="E728" s="265" t="s">
        <v>602</v>
      </c>
      <c r="F728" s="24" t="s">
        <v>951</v>
      </c>
      <c r="G728" s="238"/>
      <c r="H728" s="121"/>
      <c r="I728" s="24"/>
      <c r="J728" s="24">
        <v>4924571</v>
      </c>
      <c r="K728" s="24">
        <v>4924571</v>
      </c>
      <c r="L728" s="24"/>
      <c r="M728" s="24"/>
      <c r="N728" s="129">
        <v>4924571</v>
      </c>
      <c r="O728" s="87" t="s">
        <v>155</v>
      </c>
      <c r="P728" s="3"/>
      <c r="Q728" s="140"/>
      <c r="R728" s="3"/>
      <c r="S728" s="3"/>
      <c r="T728" s="3"/>
      <c r="U728" s="3"/>
      <c r="V728" s="3"/>
      <c r="W728" s="3"/>
      <c r="X728" s="3"/>
      <c r="Y728" s="131"/>
      <c r="Z728" s="15"/>
      <c r="AA728" s="99"/>
      <c r="AB728" s="149"/>
      <c r="AC728" s="134"/>
      <c r="AD728" s="134"/>
      <c r="AE728" s="137"/>
      <c r="AF728" s="150"/>
      <c r="AG728" s="137"/>
      <c r="AH728" s="137"/>
      <c r="AI728" s="3"/>
      <c r="AJ728" s="138"/>
      <c r="AK728" s="2"/>
      <c r="AL728" s="139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131"/>
      <c r="AX728" s="15"/>
      <c r="AY728" s="99"/>
      <c r="AZ728" s="149"/>
      <c r="BA728" s="134"/>
      <c r="BB728" s="134"/>
      <c r="BC728" s="137"/>
      <c r="BD728" s="150"/>
      <c r="BE728" s="137"/>
      <c r="BF728" s="137"/>
      <c r="BG728" s="3"/>
      <c r="BH728" s="138"/>
      <c r="BI728" s="2"/>
      <c r="BJ728" s="139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131"/>
      <c r="BV728" s="15"/>
      <c r="BW728" s="99"/>
      <c r="BX728" s="149"/>
      <c r="BY728" s="134"/>
      <c r="BZ728" s="134"/>
      <c r="CA728" s="137"/>
      <c r="CB728" s="150"/>
      <c r="CC728" s="137"/>
      <c r="CD728" s="137"/>
      <c r="CE728" s="3"/>
      <c r="CF728" s="138"/>
      <c r="CG728" s="2"/>
      <c r="CH728" s="139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131"/>
      <c r="CT728" s="15"/>
      <c r="CU728" s="99"/>
      <c r="CV728" s="149"/>
      <c r="CW728" s="134"/>
      <c r="CX728" s="134"/>
      <c r="CY728" s="137"/>
      <c r="CZ728" s="150"/>
      <c r="DA728" s="137"/>
      <c r="DB728" s="137"/>
      <c r="DC728" s="3"/>
      <c r="DD728" s="138"/>
      <c r="DE728" s="2"/>
      <c r="DF728" s="139"/>
      <c r="DG728" s="3"/>
      <c r="DH728" s="3"/>
      <c r="DI728" s="3"/>
      <c r="DJ728" s="3"/>
      <c r="DK728" s="3"/>
      <c r="DL728" s="3"/>
      <c r="DM728" s="3"/>
      <c r="DN728" s="3"/>
      <c r="DO728" s="3"/>
      <c r="DP728" s="3"/>
      <c r="DQ728" s="131"/>
      <c r="DR728" s="15"/>
      <c r="DS728" s="99"/>
      <c r="DT728" s="149"/>
      <c r="DU728" s="134"/>
      <c r="DV728" s="134"/>
      <c r="DW728" s="137"/>
      <c r="DX728" s="150"/>
      <c r="DY728" s="137"/>
      <c r="DZ728" s="137"/>
      <c r="EA728" s="3"/>
      <c r="EB728" s="138"/>
      <c r="EC728" s="2"/>
      <c r="ED728" s="139"/>
      <c r="EE728" s="3"/>
      <c r="EF728" s="3"/>
      <c r="EG728" s="3"/>
      <c r="EH728" s="3"/>
      <c r="EI728" s="3"/>
      <c r="EJ728" s="3"/>
      <c r="EK728" s="3"/>
      <c r="EL728" s="3"/>
      <c r="EM728" s="3"/>
      <c r="EN728" s="3"/>
      <c r="EO728" s="131"/>
      <c r="EP728" s="15"/>
      <c r="EQ728" s="99"/>
      <c r="ER728" s="149"/>
      <c r="ES728" s="134"/>
      <c r="ET728" s="134"/>
      <c r="EU728" s="137"/>
      <c r="EV728" s="150"/>
      <c r="EW728" s="137"/>
      <c r="EX728" s="137"/>
      <c r="EY728" s="3"/>
      <c r="EZ728" s="138"/>
      <c r="FA728" s="2"/>
      <c r="FB728" s="139"/>
      <c r="FC728" s="3"/>
      <c r="FD728" s="3"/>
      <c r="FE728" s="3"/>
      <c r="FF728" s="3"/>
      <c r="FG728" s="3"/>
      <c r="FH728" s="3"/>
      <c r="FI728" s="3"/>
      <c r="FJ728" s="3"/>
      <c r="FK728" s="3"/>
      <c r="FL728" s="3"/>
      <c r="FM728" s="131"/>
      <c r="FN728" s="15"/>
      <c r="FO728" s="99"/>
      <c r="FP728" s="149"/>
      <c r="FQ728" s="134"/>
      <c r="FR728" s="134"/>
      <c r="FS728" s="137"/>
      <c r="FT728" s="150"/>
      <c r="FU728" s="137"/>
      <c r="FV728" s="137"/>
      <c r="FW728" s="3"/>
      <c r="FX728" s="138"/>
      <c r="FY728" s="2"/>
      <c r="FZ728" s="139"/>
      <c r="GA728" s="3"/>
      <c r="GB728" s="3"/>
      <c r="GC728" s="3"/>
      <c r="GD728" s="3"/>
      <c r="GE728" s="3"/>
      <c r="GF728" s="3"/>
      <c r="GG728" s="3"/>
      <c r="GH728" s="3"/>
      <c r="GI728" s="3"/>
      <c r="GJ728" s="3"/>
      <c r="GK728" s="131"/>
      <c r="GL728" s="15"/>
      <c r="GM728" s="99"/>
      <c r="GN728" s="149"/>
      <c r="GO728" s="134"/>
      <c r="GP728" s="134"/>
      <c r="GQ728" s="137"/>
      <c r="GR728" s="150"/>
      <c r="GS728" s="137"/>
      <c r="GT728" s="137"/>
      <c r="GU728" s="3"/>
      <c r="GV728" s="138"/>
      <c r="GW728" s="2"/>
      <c r="GX728" s="139"/>
      <c r="GY728" s="3"/>
      <c r="GZ728" s="3"/>
      <c r="HA728" s="3"/>
      <c r="HB728" s="3"/>
      <c r="HC728" s="3"/>
      <c r="HD728" s="3"/>
      <c r="HE728" s="3"/>
      <c r="HF728" s="3"/>
      <c r="HG728" s="3"/>
      <c r="HH728" s="3"/>
      <c r="HI728" s="131"/>
      <c r="HJ728" s="15"/>
      <c r="HK728" s="99"/>
      <c r="HL728" s="149"/>
      <c r="HM728" s="134"/>
      <c r="HN728" s="134"/>
      <c r="HO728" s="137"/>
      <c r="HP728" s="150"/>
      <c r="HQ728" s="137"/>
      <c r="HR728" s="137"/>
      <c r="HS728" s="3"/>
      <c r="HT728" s="138"/>
      <c r="HU728" s="2"/>
      <c r="HV728" s="139"/>
      <c r="HW728" s="3"/>
      <c r="HX728" s="3"/>
      <c r="HY728" s="3"/>
      <c r="HZ728" s="3"/>
      <c r="IA728" s="3"/>
      <c r="IB728" s="3"/>
      <c r="IC728" s="3"/>
      <c r="ID728" s="3"/>
      <c r="IE728" s="3"/>
      <c r="IF728" s="3"/>
      <c r="IG728" s="131"/>
      <c r="IH728" s="15"/>
      <c r="II728" s="99"/>
      <c r="IJ728" s="149"/>
      <c r="IK728" s="134"/>
      <c r="IL728" s="134"/>
      <c r="IM728" s="137"/>
      <c r="IN728" s="150"/>
      <c r="IO728" s="137"/>
      <c r="IP728" s="137"/>
      <c r="IQ728" s="3"/>
      <c r="IR728" s="138"/>
      <c r="IS728" s="2"/>
      <c r="IT728" s="139"/>
      <c r="IU728" s="3"/>
      <c r="IV728" s="3"/>
    </row>
    <row r="729" spans="1:256" s="125" customFormat="1">
      <c r="A729" s="86">
        <v>8</v>
      </c>
      <c r="B729" s="56"/>
      <c r="C729" s="18"/>
      <c r="D729" s="19" t="s">
        <v>841</v>
      </c>
      <c r="E729" s="20" t="s">
        <v>441</v>
      </c>
      <c r="F729" s="82" t="s">
        <v>952</v>
      </c>
      <c r="G729" s="58"/>
      <c r="H729" s="121"/>
      <c r="I729" s="24">
        <v>2300762</v>
      </c>
      <c r="J729" s="24"/>
      <c r="K729" s="199">
        <f>I729+J729</f>
        <v>2300762</v>
      </c>
      <c r="L729" s="26"/>
      <c r="M729" s="24"/>
      <c r="N729" s="129">
        <f>K729-M729</f>
        <v>2300762</v>
      </c>
      <c r="O729" s="87" t="s">
        <v>155</v>
      </c>
      <c r="P729" s="3"/>
      <c r="Q729" s="140"/>
      <c r="R729" s="3"/>
      <c r="S729" s="3"/>
      <c r="T729" s="3"/>
      <c r="U729" s="3"/>
      <c r="V729" s="3"/>
      <c r="W729" s="3"/>
      <c r="X729" s="3"/>
      <c r="Y729" s="131"/>
      <c r="Z729" s="15"/>
      <c r="AA729" s="99"/>
      <c r="AB729" s="149"/>
      <c r="AC729" s="134"/>
      <c r="AD729" s="134"/>
      <c r="AE729" s="137"/>
      <c r="AF729" s="150"/>
      <c r="AG729" s="137"/>
      <c r="AH729" s="137"/>
      <c r="AI729" s="3"/>
      <c r="AJ729" s="138"/>
      <c r="AK729" s="2"/>
      <c r="AL729" s="139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131"/>
      <c r="AX729" s="15"/>
      <c r="AY729" s="99"/>
      <c r="AZ729" s="149"/>
      <c r="BA729" s="134"/>
      <c r="BB729" s="134"/>
      <c r="BC729" s="137"/>
      <c r="BD729" s="150"/>
      <c r="BE729" s="137"/>
      <c r="BF729" s="137"/>
      <c r="BG729" s="3"/>
      <c r="BH729" s="138"/>
      <c r="BI729" s="2"/>
      <c r="BJ729" s="139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131"/>
      <c r="BV729" s="15"/>
      <c r="BW729" s="99"/>
      <c r="BX729" s="149"/>
      <c r="BY729" s="134"/>
      <c r="BZ729" s="134"/>
      <c r="CA729" s="137"/>
      <c r="CB729" s="150"/>
      <c r="CC729" s="137"/>
      <c r="CD729" s="137"/>
      <c r="CE729" s="3"/>
      <c r="CF729" s="138"/>
      <c r="CG729" s="2"/>
      <c r="CH729" s="139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131"/>
      <c r="CT729" s="15"/>
      <c r="CU729" s="99"/>
      <c r="CV729" s="149"/>
      <c r="CW729" s="134"/>
      <c r="CX729" s="134"/>
      <c r="CY729" s="137"/>
      <c r="CZ729" s="150"/>
      <c r="DA729" s="137"/>
      <c r="DB729" s="137"/>
      <c r="DC729" s="3"/>
      <c r="DD729" s="138"/>
      <c r="DE729" s="2"/>
      <c r="DF729" s="139"/>
      <c r="DG729" s="3"/>
      <c r="DH729" s="3"/>
      <c r="DI729" s="3"/>
      <c r="DJ729" s="3"/>
      <c r="DK729" s="3"/>
      <c r="DL729" s="3"/>
      <c r="DM729" s="3"/>
      <c r="DN729" s="3"/>
      <c r="DO729" s="3"/>
      <c r="DP729" s="3"/>
      <c r="DQ729" s="131"/>
      <c r="DR729" s="15"/>
      <c r="DS729" s="99"/>
      <c r="DT729" s="149"/>
      <c r="DU729" s="134"/>
      <c r="DV729" s="134"/>
      <c r="DW729" s="137"/>
      <c r="DX729" s="150"/>
      <c r="DY729" s="137"/>
      <c r="DZ729" s="137"/>
      <c r="EA729" s="3"/>
      <c r="EB729" s="138"/>
      <c r="EC729" s="2"/>
      <c r="ED729" s="139"/>
      <c r="EE729" s="3"/>
      <c r="EF729" s="3"/>
      <c r="EG729" s="3"/>
      <c r="EH729" s="3"/>
      <c r="EI729" s="3"/>
      <c r="EJ729" s="3"/>
      <c r="EK729" s="3"/>
      <c r="EL729" s="3"/>
      <c r="EM729" s="3"/>
      <c r="EN729" s="3"/>
      <c r="EO729" s="131"/>
      <c r="EP729" s="15"/>
      <c r="EQ729" s="99"/>
      <c r="ER729" s="149"/>
      <c r="ES729" s="134"/>
      <c r="ET729" s="134"/>
      <c r="EU729" s="137"/>
      <c r="EV729" s="150"/>
      <c r="EW729" s="137"/>
      <c r="EX729" s="137"/>
      <c r="EY729" s="3"/>
      <c r="EZ729" s="138"/>
      <c r="FA729" s="2"/>
      <c r="FB729" s="139"/>
      <c r="FC729" s="3"/>
      <c r="FD729" s="3"/>
      <c r="FE729" s="3"/>
      <c r="FF729" s="3"/>
      <c r="FG729" s="3"/>
      <c r="FH729" s="3"/>
      <c r="FI729" s="3"/>
      <c r="FJ729" s="3"/>
      <c r="FK729" s="3"/>
      <c r="FL729" s="3"/>
      <c r="FM729" s="131"/>
      <c r="FN729" s="15"/>
      <c r="FO729" s="99"/>
      <c r="FP729" s="149"/>
      <c r="FQ729" s="134"/>
      <c r="FR729" s="134"/>
      <c r="FS729" s="137"/>
      <c r="FT729" s="150"/>
      <c r="FU729" s="137"/>
      <c r="FV729" s="137"/>
      <c r="FW729" s="3"/>
      <c r="FX729" s="138"/>
      <c r="FY729" s="2"/>
      <c r="FZ729" s="139"/>
      <c r="GA729" s="3"/>
      <c r="GB729" s="3"/>
      <c r="GC729" s="3"/>
      <c r="GD729" s="3"/>
      <c r="GE729" s="3"/>
      <c r="GF729" s="3"/>
      <c r="GG729" s="3"/>
      <c r="GH729" s="3"/>
      <c r="GI729" s="3"/>
      <c r="GJ729" s="3"/>
      <c r="GK729" s="131"/>
      <c r="GL729" s="15"/>
      <c r="GM729" s="99"/>
      <c r="GN729" s="149"/>
      <c r="GO729" s="134"/>
      <c r="GP729" s="134"/>
      <c r="GQ729" s="137"/>
      <c r="GR729" s="150"/>
      <c r="GS729" s="137"/>
      <c r="GT729" s="137"/>
      <c r="GU729" s="3"/>
      <c r="GV729" s="138"/>
      <c r="GW729" s="2"/>
      <c r="GX729" s="139"/>
      <c r="GY729" s="3"/>
      <c r="GZ729" s="3"/>
      <c r="HA729" s="3"/>
      <c r="HB729" s="3"/>
      <c r="HC729" s="3"/>
      <c r="HD729" s="3"/>
      <c r="HE729" s="3"/>
      <c r="HF729" s="3"/>
      <c r="HG729" s="3"/>
      <c r="HH729" s="3"/>
      <c r="HI729" s="131"/>
      <c r="HJ729" s="15"/>
      <c r="HK729" s="99"/>
      <c r="HL729" s="149"/>
      <c r="HM729" s="134"/>
      <c r="HN729" s="134"/>
      <c r="HO729" s="137"/>
      <c r="HP729" s="150"/>
      <c r="HQ729" s="137"/>
      <c r="HR729" s="137"/>
      <c r="HS729" s="3"/>
      <c r="HT729" s="138"/>
      <c r="HU729" s="2"/>
      <c r="HV729" s="139"/>
      <c r="HW729" s="3"/>
      <c r="HX729" s="3"/>
      <c r="HY729" s="3"/>
      <c r="HZ729" s="3"/>
      <c r="IA729" s="3"/>
      <c r="IB729" s="3"/>
      <c r="IC729" s="3"/>
      <c r="ID729" s="3"/>
      <c r="IE729" s="3"/>
      <c r="IF729" s="3"/>
      <c r="IG729" s="131"/>
      <c r="IH729" s="15"/>
      <c r="II729" s="99"/>
      <c r="IJ729" s="149"/>
      <c r="IK729" s="134"/>
      <c r="IL729" s="134"/>
      <c r="IM729" s="137"/>
      <c r="IN729" s="150"/>
      <c r="IO729" s="137"/>
      <c r="IP729" s="137"/>
      <c r="IQ729" s="3"/>
      <c r="IR729" s="138"/>
      <c r="IS729" s="2"/>
      <c r="IT729" s="139"/>
      <c r="IU729" s="3"/>
      <c r="IV729" s="3"/>
    </row>
    <row r="730" spans="1:256" s="125" customFormat="1">
      <c r="A730" s="86">
        <v>9</v>
      </c>
      <c r="B730" s="56"/>
      <c r="C730" s="18"/>
      <c r="D730" s="19" t="s">
        <v>841</v>
      </c>
      <c r="E730" s="20" t="s">
        <v>441</v>
      </c>
      <c r="F730" s="82" t="s">
        <v>953</v>
      </c>
      <c r="G730" s="58"/>
      <c r="H730" s="121"/>
      <c r="I730" s="24">
        <v>1579619</v>
      </c>
      <c r="J730" s="24"/>
      <c r="K730" s="199">
        <f>I730+J730</f>
        <v>1579619</v>
      </c>
      <c r="L730" s="26"/>
      <c r="M730" s="24"/>
      <c r="N730" s="129">
        <f>K730-M730</f>
        <v>1579619</v>
      </c>
      <c r="O730" s="108"/>
      <c r="P730" s="3"/>
      <c r="Q730" s="140"/>
      <c r="R730" s="3"/>
      <c r="S730" s="3"/>
      <c r="T730" s="3"/>
      <c r="U730" s="3"/>
      <c r="V730" s="3"/>
      <c r="W730" s="3"/>
      <c r="X730" s="3"/>
      <c r="Y730" s="131"/>
      <c r="Z730" s="15"/>
      <c r="AA730" s="99"/>
      <c r="AB730" s="149"/>
      <c r="AC730" s="134"/>
      <c r="AD730" s="134"/>
      <c r="AE730" s="137"/>
      <c r="AF730" s="150"/>
      <c r="AG730" s="137"/>
      <c r="AH730" s="137"/>
      <c r="AI730" s="3"/>
      <c r="AJ730" s="138"/>
      <c r="AK730" s="2"/>
      <c r="AL730" s="139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131"/>
      <c r="AX730" s="15"/>
      <c r="AY730" s="99"/>
      <c r="AZ730" s="149"/>
      <c r="BA730" s="134"/>
      <c r="BB730" s="134"/>
      <c r="BC730" s="137"/>
      <c r="BD730" s="150"/>
      <c r="BE730" s="137"/>
      <c r="BF730" s="137"/>
      <c r="BG730" s="3"/>
      <c r="BH730" s="138"/>
      <c r="BI730" s="2"/>
      <c r="BJ730" s="139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131"/>
      <c r="BV730" s="15"/>
      <c r="BW730" s="99"/>
      <c r="BX730" s="149"/>
      <c r="BY730" s="134"/>
      <c r="BZ730" s="134"/>
      <c r="CA730" s="137"/>
      <c r="CB730" s="150"/>
      <c r="CC730" s="137"/>
      <c r="CD730" s="137"/>
      <c r="CE730" s="3"/>
      <c r="CF730" s="138"/>
      <c r="CG730" s="2"/>
      <c r="CH730" s="139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131"/>
      <c r="CT730" s="15"/>
      <c r="CU730" s="99"/>
      <c r="CV730" s="149"/>
      <c r="CW730" s="134"/>
      <c r="CX730" s="134"/>
      <c r="CY730" s="137"/>
      <c r="CZ730" s="150"/>
      <c r="DA730" s="137"/>
      <c r="DB730" s="137"/>
      <c r="DC730" s="3"/>
      <c r="DD730" s="138"/>
      <c r="DE730" s="2"/>
      <c r="DF730" s="139"/>
      <c r="DG730" s="3"/>
      <c r="DH730" s="3"/>
      <c r="DI730" s="3"/>
      <c r="DJ730" s="3"/>
      <c r="DK730" s="3"/>
      <c r="DL730" s="3"/>
      <c r="DM730" s="3"/>
      <c r="DN730" s="3"/>
      <c r="DO730" s="3"/>
      <c r="DP730" s="3"/>
      <c r="DQ730" s="131"/>
      <c r="DR730" s="15"/>
      <c r="DS730" s="99"/>
      <c r="DT730" s="149"/>
      <c r="DU730" s="134"/>
      <c r="DV730" s="134"/>
      <c r="DW730" s="137"/>
      <c r="DX730" s="150"/>
      <c r="DY730" s="137"/>
      <c r="DZ730" s="137"/>
      <c r="EA730" s="3"/>
      <c r="EB730" s="138"/>
      <c r="EC730" s="2"/>
      <c r="ED730" s="139"/>
      <c r="EE730" s="3"/>
      <c r="EF730" s="3"/>
      <c r="EG730" s="3"/>
      <c r="EH730" s="3"/>
      <c r="EI730" s="3"/>
      <c r="EJ730" s="3"/>
      <c r="EK730" s="3"/>
      <c r="EL730" s="3"/>
      <c r="EM730" s="3"/>
      <c r="EN730" s="3"/>
      <c r="EO730" s="131"/>
      <c r="EP730" s="15"/>
      <c r="EQ730" s="99"/>
      <c r="ER730" s="149"/>
      <c r="ES730" s="134"/>
      <c r="ET730" s="134"/>
      <c r="EU730" s="137"/>
      <c r="EV730" s="150"/>
      <c r="EW730" s="137"/>
      <c r="EX730" s="137"/>
      <c r="EY730" s="3"/>
      <c r="EZ730" s="138"/>
      <c r="FA730" s="2"/>
      <c r="FB730" s="139"/>
      <c r="FC730" s="3"/>
      <c r="FD730" s="3"/>
      <c r="FE730" s="3"/>
      <c r="FF730" s="3"/>
      <c r="FG730" s="3"/>
      <c r="FH730" s="3"/>
      <c r="FI730" s="3"/>
      <c r="FJ730" s="3"/>
      <c r="FK730" s="3"/>
      <c r="FL730" s="3"/>
      <c r="FM730" s="131"/>
      <c r="FN730" s="15"/>
      <c r="FO730" s="99"/>
      <c r="FP730" s="149"/>
      <c r="FQ730" s="134"/>
      <c r="FR730" s="134"/>
      <c r="FS730" s="137"/>
      <c r="FT730" s="150"/>
      <c r="FU730" s="137"/>
      <c r="FV730" s="137"/>
      <c r="FW730" s="3"/>
      <c r="FX730" s="138"/>
      <c r="FY730" s="2"/>
      <c r="FZ730" s="139"/>
      <c r="GA730" s="3"/>
      <c r="GB730" s="3"/>
      <c r="GC730" s="3"/>
      <c r="GD730" s="3"/>
      <c r="GE730" s="3"/>
      <c r="GF730" s="3"/>
      <c r="GG730" s="3"/>
      <c r="GH730" s="3"/>
      <c r="GI730" s="3"/>
      <c r="GJ730" s="3"/>
      <c r="GK730" s="131"/>
      <c r="GL730" s="15"/>
      <c r="GM730" s="99"/>
      <c r="GN730" s="149"/>
      <c r="GO730" s="134"/>
      <c r="GP730" s="134"/>
      <c r="GQ730" s="137"/>
      <c r="GR730" s="150"/>
      <c r="GS730" s="137"/>
      <c r="GT730" s="137"/>
      <c r="GU730" s="3"/>
      <c r="GV730" s="138"/>
      <c r="GW730" s="2"/>
      <c r="GX730" s="139"/>
      <c r="GY730" s="3"/>
      <c r="GZ730" s="3"/>
      <c r="HA730" s="3"/>
      <c r="HB730" s="3"/>
      <c r="HC730" s="3"/>
      <c r="HD730" s="3"/>
      <c r="HE730" s="3"/>
      <c r="HF730" s="3"/>
      <c r="HG730" s="3"/>
      <c r="HH730" s="3"/>
      <c r="HI730" s="131"/>
      <c r="HJ730" s="15"/>
      <c r="HK730" s="99"/>
      <c r="HL730" s="149"/>
      <c r="HM730" s="134"/>
      <c r="HN730" s="134"/>
      <c r="HO730" s="137"/>
      <c r="HP730" s="150"/>
      <c r="HQ730" s="137"/>
      <c r="HR730" s="137"/>
      <c r="HS730" s="3"/>
      <c r="HT730" s="138"/>
      <c r="HU730" s="2"/>
      <c r="HV730" s="139"/>
      <c r="HW730" s="3"/>
      <c r="HX730" s="3"/>
      <c r="HY730" s="3"/>
      <c r="HZ730" s="3"/>
      <c r="IA730" s="3"/>
      <c r="IB730" s="3"/>
      <c r="IC730" s="3"/>
      <c r="ID730" s="3"/>
      <c r="IE730" s="3"/>
      <c r="IF730" s="3"/>
      <c r="IG730" s="131"/>
      <c r="IH730" s="15"/>
      <c r="II730" s="99"/>
      <c r="IJ730" s="149"/>
      <c r="IK730" s="134"/>
      <c r="IL730" s="134"/>
      <c r="IM730" s="137"/>
      <c r="IN730" s="150"/>
      <c r="IO730" s="137"/>
      <c r="IP730" s="137"/>
      <c r="IQ730" s="3"/>
      <c r="IR730" s="138"/>
      <c r="IS730" s="2"/>
      <c r="IT730" s="139"/>
      <c r="IU730" s="3"/>
      <c r="IV730" s="3"/>
    </row>
    <row r="731" spans="1:256" s="125" customFormat="1">
      <c r="A731" s="86">
        <v>10</v>
      </c>
      <c r="B731" s="56"/>
      <c r="C731" s="18"/>
      <c r="D731" s="19" t="s">
        <v>841</v>
      </c>
      <c r="E731" s="20" t="s">
        <v>954</v>
      </c>
      <c r="F731" s="24" t="s">
        <v>955</v>
      </c>
      <c r="G731" s="238"/>
      <c r="H731" s="121"/>
      <c r="I731" s="24">
        <v>1709714</v>
      </c>
      <c r="J731" s="24"/>
      <c r="K731" s="24">
        <v>1709714</v>
      </c>
      <c r="L731" s="24"/>
      <c r="M731" s="24"/>
      <c r="N731" s="129">
        <v>1709714</v>
      </c>
      <c r="O731" s="87" t="s">
        <v>155</v>
      </c>
      <c r="P731" s="3"/>
      <c r="Q731" s="140"/>
      <c r="R731" s="3"/>
      <c r="S731" s="3"/>
      <c r="T731" s="3"/>
      <c r="U731" s="3"/>
      <c r="V731" s="3"/>
      <c r="W731" s="3"/>
      <c r="X731" s="3"/>
      <c r="Y731" s="131"/>
      <c r="Z731" s="15"/>
      <c r="AA731" s="99"/>
      <c r="AB731" s="149"/>
      <c r="AC731" s="134"/>
      <c r="AD731" s="134"/>
      <c r="AE731" s="137"/>
      <c r="AF731" s="150"/>
      <c r="AG731" s="137"/>
      <c r="AH731" s="137"/>
      <c r="AI731" s="3"/>
      <c r="AJ731" s="138"/>
      <c r="AK731" s="2"/>
      <c r="AL731" s="139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131"/>
      <c r="AX731" s="15"/>
      <c r="AY731" s="99"/>
      <c r="AZ731" s="149"/>
      <c r="BA731" s="134"/>
      <c r="BB731" s="134"/>
      <c r="BC731" s="137"/>
      <c r="BD731" s="150"/>
      <c r="BE731" s="137"/>
      <c r="BF731" s="137"/>
      <c r="BG731" s="3"/>
      <c r="BH731" s="138"/>
      <c r="BI731" s="2"/>
      <c r="BJ731" s="139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131"/>
      <c r="BV731" s="15"/>
      <c r="BW731" s="99"/>
      <c r="BX731" s="149"/>
      <c r="BY731" s="134"/>
      <c r="BZ731" s="134"/>
      <c r="CA731" s="137"/>
      <c r="CB731" s="150"/>
      <c r="CC731" s="137"/>
      <c r="CD731" s="137"/>
      <c r="CE731" s="3"/>
      <c r="CF731" s="138"/>
      <c r="CG731" s="2"/>
      <c r="CH731" s="139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131"/>
      <c r="CT731" s="15"/>
      <c r="CU731" s="99"/>
      <c r="CV731" s="149"/>
      <c r="CW731" s="134"/>
      <c r="CX731" s="134"/>
      <c r="CY731" s="137"/>
      <c r="CZ731" s="150"/>
      <c r="DA731" s="137"/>
      <c r="DB731" s="137"/>
      <c r="DC731" s="3"/>
      <c r="DD731" s="138"/>
      <c r="DE731" s="2"/>
      <c r="DF731" s="139"/>
      <c r="DG731" s="3"/>
      <c r="DH731" s="3"/>
      <c r="DI731" s="3"/>
      <c r="DJ731" s="3"/>
      <c r="DK731" s="3"/>
      <c r="DL731" s="3"/>
      <c r="DM731" s="3"/>
      <c r="DN731" s="3"/>
      <c r="DO731" s="3"/>
      <c r="DP731" s="3"/>
      <c r="DQ731" s="131"/>
      <c r="DR731" s="15"/>
      <c r="DS731" s="99"/>
      <c r="DT731" s="149"/>
      <c r="DU731" s="134"/>
      <c r="DV731" s="134"/>
      <c r="DW731" s="137"/>
      <c r="DX731" s="150"/>
      <c r="DY731" s="137"/>
      <c r="DZ731" s="137"/>
      <c r="EA731" s="3"/>
      <c r="EB731" s="138"/>
      <c r="EC731" s="2"/>
      <c r="ED731" s="139"/>
      <c r="EE731" s="3"/>
      <c r="EF731" s="3"/>
      <c r="EG731" s="3"/>
      <c r="EH731" s="3"/>
      <c r="EI731" s="3"/>
      <c r="EJ731" s="3"/>
      <c r="EK731" s="3"/>
      <c r="EL731" s="3"/>
      <c r="EM731" s="3"/>
      <c r="EN731" s="3"/>
      <c r="EO731" s="131"/>
      <c r="EP731" s="15"/>
      <c r="EQ731" s="99"/>
      <c r="ER731" s="149"/>
      <c r="ES731" s="134"/>
      <c r="ET731" s="134"/>
      <c r="EU731" s="137"/>
      <c r="EV731" s="150"/>
      <c r="EW731" s="137"/>
      <c r="EX731" s="137"/>
      <c r="EY731" s="3"/>
      <c r="EZ731" s="138"/>
      <c r="FA731" s="2"/>
      <c r="FB731" s="139"/>
      <c r="FC731" s="3"/>
      <c r="FD731" s="3"/>
      <c r="FE731" s="3"/>
      <c r="FF731" s="3"/>
      <c r="FG731" s="3"/>
      <c r="FH731" s="3"/>
      <c r="FI731" s="3"/>
      <c r="FJ731" s="3"/>
      <c r="FK731" s="3"/>
      <c r="FL731" s="3"/>
      <c r="FM731" s="131"/>
      <c r="FN731" s="15"/>
      <c r="FO731" s="99"/>
      <c r="FP731" s="149"/>
      <c r="FQ731" s="134"/>
      <c r="FR731" s="134"/>
      <c r="FS731" s="137"/>
      <c r="FT731" s="150"/>
      <c r="FU731" s="137"/>
      <c r="FV731" s="137"/>
      <c r="FW731" s="3"/>
      <c r="FX731" s="138"/>
      <c r="FY731" s="2"/>
      <c r="FZ731" s="139"/>
      <c r="GA731" s="3"/>
      <c r="GB731" s="3"/>
      <c r="GC731" s="3"/>
      <c r="GD731" s="3"/>
      <c r="GE731" s="3"/>
      <c r="GF731" s="3"/>
      <c r="GG731" s="3"/>
      <c r="GH731" s="3"/>
      <c r="GI731" s="3"/>
      <c r="GJ731" s="3"/>
      <c r="GK731" s="131"/>
      <c r="GL731" s="15"/>
      <c r="GM731" s="99"/>
      <c r="GN731" s="149"/>
      <c r="GO731" s="134"/>
      <c r="GP731" s="134"/>
      <c r="GQ731" s="137"/>
      <c r="GR731" s="150"/>
      <c r="GS731" s="137"/>
      <c r="GT731" s="137"/>
      <c r="GU731" s="3"/>
      <c r="GV731" s="138"/>
      <c r="GW731" s="2"/>
      <c r="GX731" s="139"/>
      <c r="GY731" s="3"/>
      <c r="GZ731" s="3"/>
      <c r="HA731" s="3"/>
      <c r="HB731" s="3"/>
      <c r="HC731" s="3"/>
      <c r="HD731" s="3"/>
      <c r="HE731" s="3"/>
      <c r="HF731" s="3"/>
      <c r="HG731" s="3"/>
      <c r="HH731" s="3"/>
      <c r="HI731" s="131"/>
      <c r="HJ731" s="15"/>
      <c r="HK731" s="99"/>
      <c r="HL731" s="149"/>
      <c r="HM731" s="134"/>
      <c r="HN731" s="134"/>
      <c r="HO731" s="137"/>
      <c r="HP731" s="150"/>
      <c r="HQ731" s="137"/>
      <c r="HR731" s="137"/>
      <c r="HS731" s="3"/>
      <c r="HT731" s="138"/>
      <c r="HU731" s="2"/>
      <c r="HV731" s="139"/>
      <c r="HW731" s="3"/>
      <c r="HX731" s="3"/>
      <c r="HY731" s="3"/>
      <c r="HZ731" s="3"/>
      <c r="IA731" s="3"/>
      <c r="IB731" s="3"/>
      <c r="IC731" s="3"/>
      <c r="ID731" s="3"/>
      <c r="IE731" s="3"/>
      <c r="IF731" s="3"/>
      <c r="IG731" s="131"/>
      <c r="IH731" s="15"/>
      <c r="II731" s="99"/>
      <c r="IJ731" s="149"/>
      <c r="IK731" s="134"/>
      <c r="IL731" s="134"/>
      <c r="IM731" s="137"/>
      <c r="IN731" s="150"/>
      <c r="IO731" s="137"/>
      <c r="IP731" s="137"/>
      <c r="IQ731" s="3"/>
      <c r="IR731" s="138"/>
      <c r="IS731" s="2"/>
      <c r="IT731" s="139"/>
      <c r="IU731" s="3"/>
      <c r="IV731" s="3"/>
    </row>
    <row r="732" spans="1:256" s="125" customFormat="1">
      <c r="A732" s="86">
        <v>11</v>
      </c>
      <c r="B732" s="56">
        <v>43035</v>
      </c>
      <c r="C732" s="18"/>
      <c r="D732" s="19" t="s">
        <v>841</v>
      </c>
      <c r="E732" s="20" t="s">
        <v>447</v>
      </c>
      <c r="F732" s="24" t="s">
        <v>956</v>
      </c>
      <c r="G732" s="238">
        <v>1708</v>
      </c>
      <c r="H732" s="121">
        <v>1627500</v>
      </c>
      <c r="I732" s="24"/>
      <c r="J732" s="199">
        <f>SUM(H732)/1.05</f>
        <v>1550000</v>
      </c>
      <c r="K732" s="24">
        <f>I732+J732</f>
        <v>1550000</v>
      </c>
      <c r="L732" s="24"/>
      <c r="M732" s="24">
        <f>K732*L732</f>
        <v>0</v>
      </c>
      <c r="N732" s="129">
        <f>K732-M732</f>
        <v>1550000</v>
      </c>
      <c r="O732" s="108" t="s">
        <v>957</v>
      </c>
      <c r="P732" s="3"/>
      <c r="Q732" s="140"/>
      <c r="R732" s="3"/>
      <c r="S732" s="3"/>
      <c r="T732" s="3"/>
      <c r="U732" s="3"/>
      <c r="V732" s="3"/>
      <c r="W732" s="3"/>
      <c r="X732" s="3"/>
      <c r="Y732" s="131"/>
      <c r="Z732" s="15"/>
      <c r="AA732" s="99"/>
      <c r="AB732" s="149"/>
      <c r="AC732" s="134"/>
      <c r="AD732" s="134"/>
      <c r="AE732" s="137"/>
      <c r="AF732" s="150"/>
      <c r="AG732" s="137"/>
      <c r="AH732" s="137"/>
      <c r="AI732" s="3"/>
      <c r="AJ732" s="138"/>
      <c r="AK732" s="2"/>
      <c r="AL732" s="139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131"/>
      <c r="AX732" s="15"/>
      <c r="AY732" s="99"/>
      <c r="AZ732" s="149"/>
      <c r="BA732" s="134"/>
      <c r="BB732" s="134"/>
      <c r="BC732" s="137"/>
      <c r="BD732" s="150"/>
      <c r="BE732" s="137"/>
      <c r="BF732" s="137"/>
      <c r="BG732" s="3"/>
      <c r="BH732" s="138"/>
      <c r="BI732" s="2"/>
      <c r="BJ732" s="139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131"/>
      <c r="BV732" s="15"/>
      <c r="BW732" s="99"/>
      <c r="BX732" s="149"/>
      <c r="BY732" s="134"/>
      <c r="BZ732" s="134"/>
      <c r="CA732" s="137"/>
      <c r="CB732" s="150"/>
      <c r="CC732" s="137"/>
      <c r="CD732" s="137"/>
      <c r="CE732" s="3"/>
      <c r="CF732" s="138"/>
      <c r="CG732" s="2"/>
      <c r="CH732" s="139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131"/>
      <c r="CT732" s="15"/>
      <c r="CU732" s="99"/>
      <c r="CV732" s="149"/>
      <c r="CW732" s="134"/>
      <c r="CX732" s="134"/>
      <c r="CY732" s="137"/>
      <c r="CZ732" s="150"/>
      <c r="DA732" s="137"/>
      <c r="DB732" s="137"/>
      <c r="DC732" s="3"/>
      <c r="DD732" s="138"/>
      <c r="DE732" s="2"/>
      <c r="DF732" s="139"/>
      <c r="DG732" s="3"/>
      <c r="DH732" s="3"/>
      <c r="DI732" s="3"/>
      <c r="DJ732" s="3"/>
      <c r="DK732" s="3"/>
      <c r="DL732" s="3"/>
      <c r="DM732" s="3"/>
      <c r="DN732" s="3"/>
      <c r="DO732" s="3"/>
      <c r="DP732" s="3"/>
      <c r="DQ732" s="131"/>
      <c r="DR732" s="15"/>
      <c r="DS732" s="99"/>
      <c r="DT732" s="149"/>
      <c r="DU732" s="134"/>
      <c r="DV732" s="134"/>
      <c r="DW732" s="137"/>
      <c r="DX732" s="150"/>
      <c r="DY732" s="137"/>
      <c r="DZ732" s="137"/>
      <c r="EA732" s="3"/>
      <c r="EB732" s="138"/>
      <c r="EC732" s="2"/>
      <c r="ED732" s="139"/>
      <c r="EE732" s="3"/>
      <c r="EF732" s="3"/>
      <c r="EG732" s="3"/>
      <c r="EH732" s="3"/>
      <c r="EI732" s="3"/>
      <c r="EJ732" s="3"/>
      <c r="EK732" s="3"/>
      <c r="EL732" s="3"/>
      <c r="EM732" s="3"/>
      <c r="EN732" s="3"/>
      <c r="EO732" s="131"/>
      <c r="EP732" s="15"/>
      <c r="EQ732" s="99"/>
      <c r="ER732" s="149"/>
      <c r="ES732" s="134"/>
      <c r="ET732" s="134"/>
      <c r="EU732" s="137"/>
      <c r="EV732" s="150"/>
      <c r="EW732" s="137"/>
      <c r="EX732" s="137"/>
      <c r="EY732" s="3"/>
      <c r="EZ732" s="138"/>
      <c r="FA732" s="2"/>
      <c r="FB732" s="139"/>
      <c r="FC732" s="3"/>
      <c r="FD732" s="3"/>
      <c r="FE732" s="3"/>
      <c r="FF732" s="3"/>
      <c r="FG732" s="3"/>
      <c r="FH732" s="3"/>
      <c r="FI732" s="3"/>
      <c r="FJ732" s="3"/>
      <c r="FK732" s="3"/>
      <c r="FL732" s="3"/>
      <c r="FM732" s="131"/>
      <c r="FN732" s="15"/>
      <c r="FO732" s="99"/>
      <c r="FP732" s="149"/>
      <c r="FQ732" s="134"/>
      <c r="FR732" s="134"/>
      <c r="FS732" s="137"/>
      <c r="FT732" s="150"/>
      <c r="FU732" s="137"/>
      <c r="FV732" s="137"/>
      <c r="FW732" s="3"/>
      <c r="FX732" s="138"/>
      <c r="FY732" s="2"/>
      <c r="FZ732" s="139"/>
      <c r="GA732" s="3"/>
      <c r="GB732" s="3"/>
      <c r="GC732" s="3"/>
      <c r="GD732" s="3"/>
      <c r="GE732" s="3"/>
      <c r="GF732" s="3"/>
      <c r="GG732" s="3"/>
      <c r="GH732" s="3"/>
      <c r="GI732" s="3"/>
      <c r="GJ732" s="3"/>
      <c r="GK732" s="131"/>
      <c r="GL732" s="15"/>
      <c r="GM732" s="99"/>
      <c r="GN732" s="149"/>
      <c r="GO732" s="134"/>
      <c r="GP732" s="134"/>
      <c r="GQ732" s="137"/>
      <c r="GR732" s="150"/>
      <c r="GS732" s="137"/>
      <c r="GT732" s="137"/>
      <c r="GU732" s="3"/>
      <c r="GV732" s="138"/>
      <c r="GW732" s="2"/>
      <c r="GX732" s="139"/>
      <c r="GY732" s="3"/>
      <c r="GZ732" s="3"/>
      <c r="HA732" s="3"/>
      <c r="HB732" s="3"/>
      <c r="HC732" s="3"/>
      <c r="HD732" s="3"/>
      <c r="HE732" s="3"/>
      <c r="HF732" s="3"/>
      <c r="HG732" s="3"/>
      <c r="HH732" s="3"/>
      <c r="HI732" s="131"/>
      <c r="HJ732" s="15"/>
      <c r="HK732" s="99"/>
      <c r="HL732" s="149"/>
      <c r="HM732" s="134"/>
      <c r="HN732" s="134"/>
      <c r="HO732" s="137"/>
      <c r="HP732" s="150"/>
      <c r="HQ732" s="137"/>
      <c r="HR732" s="137"/>
      <c r="HS732" s="3"/>
      <c r="HT732" s="138"/>
      <c r="HU732" s="2"/>
      <c r="HV732" s="139"/>
      <c r="HW732" s="3"/>
      <c r="HX732" s="3"/>
      <c r="HY732" s="3"/>
      <c r="HZ732" s="3"/>
      <c r="IA732" s="3"/>
      <c r="IB732" s="3"/>
      <c r="IC732" s="3"/>
      <c r="ID732" s="3"/>
      <c r="IE732" s="3"/>
      <c r="IF732" s="3"/>
      <c r="IG732" s="131"/>
      <c r="IH732" s="15"/>
      <c r="II732" s="99"/>
      <c r="IJ732" s="149"/>
      <c r="IK732" s="134"/>
      <c r="IL732" s="134"/>
      <c r="IM732" s="137"/>
      <c r="IN732" s="150"/>
      <c r="IO732" s="137"/>
      <c r="IP732" s="137"/>
      <c r="IQ732" s="3"/>
      <c r="IR732" s="138"/>
      <c r="IS732" s="2"/>
      <c r="IT732" s="139"/>
      <c r="IU732" s="3"/>
      <c r="IV732" s="3"/>
    </row>
    <row r="733" spans="1:256" s="125" customFormat="1">
      <c r="A733" s="86">
        <v>12</v>
      </c>
      <c r="B733" s="56">
        <v>43038</v>
      </c>
      <c r="C733" s="18"/>
      <c r="D733" s="19" t="s">
        <v>841</v>
      </c>
      <c r="E733" s="20" t="s">
        <v>454</v>
      </c>
      <c r="F733" s="24" t="s">
        <v>958</v>
      </c>
      <c r="G733" s="238">
        <v>1708</v>
      </c>
      <c r="H733" s="121">
        <v>1822800</v>
      </c>
      <c r="I733" s="24"/>
      <c r="J733" s="199">
        <f>SUM(H733)/1.05</f>
        <v>1736000</v>
      </c>
      <c r="K733" s="24">
        <f>I733+J733</f>
        <v>1736000</v>
      </c>
      <c r="L733" s="24"/>
      <c r="M733" s="24">
        <f>K733*L733</f>
        <v>0</v>
      </c>
      <c r="N733" s="129">
        <f>K733-M733</f>
        <v>1736000</v>
      </c>
      <c r="O733" s="108" t="s">
        <v>957</v>
      </c>
      <c r="P733" s="3"/>
      <c r="Q733" s="140"/>
      <c r="R733" s="3"/>
      <c r="S733" s="3"/>
      <c r="T733" s="3"/>
      <c r="U733" s="3"/>
      <c r="V733" s="3"/>
      <c r="W733" s="3"/>
      <c r="X733" s="3"/>
      <c r="Y733" s="131"/>
      <c r="Z733" s="15"/>
      <c r="AA733" s="99"/>
      <c r="AB733" s="149"/>
      <c r="AC733" s="134"/>
      <c r="AD733" s="134"/>
      <c r="AE733" s="137"/>
      <c r="AF733" s="150"/>
      <c r="AG733" s="137"/>
      <c r="AH733" s="137"/>
      <c r="AI733" s="3"/>
      <c r="AJ733" s="138"/>
      <c r="AK733" s="2"/>
      <c r="AL733" s="139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131"/>
      <c r="AX733" s="15"/>
      <c r="AY733" s="99"/>
      <c r="AZ733" s="149"/>
      <c r="BA733" s="134"/>
      <c r="BB733" s="134"/>
      <c r="BC733" s="137"/>
      <c r="BD733" s="150"/>
      <c r="BE733" s="137"/>
      <c r="BF733" s="137"/>
      <c r="BG733" s="3"/>
      <c r="BH733" s="138"/>
      <c r="BI733" s="2"/>
      <c r="BJ733" s="139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131"/>
      <c r="BV733" s="15"/>
      <c r="BW733" s="99"/>
      <c r="BX733" s="149"/>
      <c r="BY733" s="134"/>
      <c r="BZ733" s="134"/>
      <c r="CA733" s="137"/>
      <c r="CB733" s="150"/>
      <c r="CC733" s="137"/>
      <c r="CD733" s="137"/>
      <c r="CE733" s="3"/>
      <c r="CF733" s="138"/>
      <c r="CG733" s="2"/>
      <c r="CH733" s="139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131"/>
      <c r="CT733" s="15"/>
      <c r="CU733" s="99"/>
      <c r="CV733" s="149"/>
      <c r="CW733" s="134"/>
      <c r="CX733" s="134"/>
      <c r="CY733" s="137"/>
      <c r="CZ733" s="150"/>
      <c r="DA733" s="137"/>
      <c r="DB733" s="137"/>
      <c r="DC733" s="3"/>
      <c r="DD733" s="138"/>
      <c r="DE733" s="2"/>
      <c r="DF733" s="139"/>
      <c r="DG733" s="3"/>
      <c r="DH733" s="3"/>
      <c r="DI733" s="3"/>
      <c r="DJ733" s="3"/>
      <c r="DK733" s="3"/>
      <c r="DL733" s="3"/>
      <c r="DM733" s="3"/>
      <c r="DN733" s="3"/>
      <c r="DO733" s="3"/>
      <c r="DP733" s="3"/>
      <c r="DQ733" s="131"/>
      <c r="DR733" s="15"/>
      <c r="DS733" s="99"/>
      <c r="DT733" s="149"/>
      <c r="DU733" s="134"/>
      <c r="DV733" s="134"/>
      <c r="DW733" s="137"/>
      <c r="DX733" s="150"/>
      <c r="DY733" s="137"/>
      <c r="DZ733" s="137"/>
      <c r="EA733" s="3"/>
      <c r="EB733" s="138"/>
      <c r="EC733" s="2"/>
      <c r="ED733" s="139"/>
      <c r="EE733" s="3"/>
      <c r="EF733" s="3"/>
      <c r="EG733" s="3"/>
      <c r="EH733" s="3"/>
      <c r="EI733" s="3"/>
      <c r="EJ733" s="3"/>
      <c r="EK733" s="3"/>
      <c r="EL733" s="3"/>
      <c r="EM733" s="3"/>
      <c r="EN733" s="3"/>
      <c r="EO733" s="131"/>
      <c r="EP733" s="15"/>
      <c r="EQ733" s="99"/>
      <c r="ER733" s="149"/>
      <c r="ES733" s="134"/>
      <c r="ET733" s="134"/>
      <c r="EU733" s="137"/>
      <c r="EV733" s="150"/>
      <c r="EW733" s="137"/>
      <c r="EX733" s="137"/>
      <c r="EY733" s="3"/>
      <c r="EZ733" s="138"/>
      <c r="FA733" s="2"/>
      <c r="FB733" s="139"/>
      <c r="FC733" s="3"/>
      <c r="FD733" s="3"/>
      <c r="FE733" s="3"/>
      <c r="FF733" s="3"/>
      <c r="FG733" s="3"/>
      <c r="FH733" s="3"/>
      <c r="FI733" s="3"/>
      <c r="FJ733" s="3"/>
      <c r="FK733" s="3"/>
      <c r="FL733" s="3"/>
      <c r="FM733" s="131"/>
      <c r="FN733" s="15"/>
      <c r="FO733" s="99"/>
      <c r="FP733" s="149"/>
      <c r="FQ733" s="134"/>
      <c r="FR733" s="134"/>
      <c r="FS733" s="137"/>
      <c r="FT733" s="150"/>
      <c r="FU733" s="137"/>
      <c r="FV733" s="137"/>
      <c r="FW733" s="3"/>
      <c r="FX733" s="138"/>
      <c r="FY733" s="2"/>
      <c r="FZ733" s="139"/>
      <c r="GA733" s="3"/>
      <c r="GB733" s="3"/>
      <c r="GC733" s="3"/>
      <c r="GD733" s="3"/>
      <c r="GE733" s="3"/>
      <c r="GF733" s="3"/>
      <c r="GG733" s="3"/>
      <c r="GH733" s="3"/>
      <c r="GI733" s="3"/>
      <c r="GJ733" s="3"/>
      <c r="GK733" s="131"/>
      <c r="GL733" s="15"/>
      <c r="GM733" s="99"/>
      <c r="GN733" s="149"/>
      <c r="GO733" s="134"/>
      <c r="GP733" s="134"/>
      <c r="GQ733" s="137"/>
      <c r="GR733" s="150"/>
      <c r="GS733" s="137"/>
      <c r="GT733" s="137"/>
      <c r="GU733" s="3"/>
      <c r="GV733" s="138"/>
      <c r="GW733" s="2"/>
      <c r="GX733" s="139"/>
      <c r="GY733" s="3"/>
      <c r="GZ733" s="3"/>
      <c r="HA733" s="3"/>
      <c r="HB733" s="3"/>
      <c r="HC733" s="3"/>
      <c r="HD733" s="3"/>
      <c r="HE733" s="3"/>
      <c r="HF733" s="3"/>
      <c r="HG733" s="3"/>
      <c r="HH733" s="3"/>
      <c r="HI733" s="131"/>
      <c r="HJ733" s="15"/>
      <c r="HK733" s="99"/>
      <c r="HL733" s="149"/>
      <c r="HM733" s="134"/>
      <c r="HN733" s="134"/>
      <c r="HO733" s="137"/>
      <c r="HP733" s="150"/>
      <c r="HQ733" s="137"/>
      <c r="HR733" s="137"/>
      <c r="HS733" s="3"/>
      <c r="HT733" s="138"/>
      <c r="HU733" s="2"/>
      <c r="HV733" s="139"/>
      <c r="HW733" s="3"/>
      <c r="HX733" s="3"/>
      <c r="HY733" s="3"/>
      <c r="HZ733" s="3"/>
      <c r="IA733" s="3"/>
      <c r="IB733" s="3"/>
      <c r="IC733" s="3"/>
      <c r="ID733" s="3"/>
      <c r="IE733" s="3"/>
      <c r="IF733" s="3"/>
      <c r="IG733" s="131"/>
      <c r="IH733" s="15"/>
      <c r="II733" s="99"/>
      <c r="IJ733" s="149"/>
      <c r="IK733" s="134"/>
      <c r="IL733" s="134"/>
      <c r="IM733" s="137"/>
      <c r="IN733" s="150"/>
      <c r="IO733" s="137"/>
      <c r="IP733" s="137"/>
      <c r="IQ733" s="3"/>
      <c r="IR733" s="138"/>
      <c r="IS733" s="2"/>
      <c r="IT733" s="139"/>
      <c r="IU733" s="3"/>
      <c r="IV733" s="3"/>
    </row>
    <row r="734" spans="1:256" s="125" customFormat="1">
      <c r="A734" s="86">
        <v>13</v>
      </c>
      <c r="B734" s="56"/>
      <c r="C734" s="18"/>
      <c r="D734" s="19" t="s">
        <v>841</v>
      </c>
      <c r="E734" s="20" t="s">
        <v>461</v>
      </c>
      <c r="F734" s="82" t="s">
        <v>959</v>
      </c>
      <c r="G734" s="58"/>
      <c r="H734" s="121"/>
      <c r="I734" s="24">
        <v>1792000</v>
      </c>
      <c r="J734" s="24"/>
      <c r="K734" s="199">
        <f>I734+J734</f>
        <v>1792000</v>
      </c>
      <c r="L734" s="26"/>
      <c r="M734" s="24"/>
      <c r="N734" s="129">
        <f>K734-M734</f>
        <v>1792000</v>
      </c>
      <c r="O734" s="87" t="s">
        <v>155</v>
      </c>
      <c r="P734" s="3"/>
      <c r="Q734" s="140"/>
      <c r="R734" s="3"/>
      <c r="S734" s="3"/>
      <c r="T734" s="3"/>
      <c r="U734" s="3"/>
      <c r="V734" s="3"/>
      <c r="W734" s="3"/>
      <c r="X734" s="3"/>
      <c r="Y734" s="131"/>
      <c r="Z734" s="15"/>
      <c r="AA734" s="99"/>
      <c r="AB734" s="149"/>
      <c r="AC734" s="134"/>
      <c r="AD734" s="134"/>
      <c r="AE734" s="137"/>
      <c r="AF734" s="150"/>
      <c r="AG734" s="137"/>
      <c r="AH734" s="137"/>
      <c r="AI734" s="3"/>
      <c r="AJ734" s="138"/>
      <c r="AK734" s="2"/>
      <c r="AL734" s="139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131"/>
      <c r="AX734" s="15"/>
      <c r="AY734" s="99"/>
      <c r="AZ734" s="149"/>
      <c r="BA734" s="134"/>
      <c r="BB734" s="134"/>
      <c r="BC734" s="137"/>
      <c r="BD734" s="150"/>
      <c r="BE734" s="137"/>
      <c r="BF734" s="137"/>
      <c r="BG734" s="3"/>
      <c r="BH734" s="138"/>
      <c r="BI734" s="2"/>
      <c r="BJ734" s="139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131"/>
      <c r="BV734" s="15"/>
      <c r="BW734" s="99"/>
      <c r="BX734" s="149"/>
      <c r="BY734" s="134"/>
      <c r="BZ734" s="134"/>
      <c r="CA734" s="137"/>
      <c r="CB734" s="150"/>
      <c r="CC734" s="137"/>
      <c r="CD734" s="137"/>
      <c r="CE734" s="3"/>
      <c r="CF734" s="138"/>
      <c r="CG734" s="2"/>
      <c r="CH734" s="139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131"/>
      <c r="CT734" s="15"/>
      <c r="CU734" s="99"/>
      <c r="CV734" s="149"/>
      <c r="CW734" s="134"/>
      <c r="CX734" s="134"/>
      <c r="CY734" s="137"/>
      <c r="CZ734" s="150"/>
      <c r="DA734" s="137"/>
      <c r="DB734" s="137"/>
      <c r="DC734" s="3"/>
      <c r="DD734" s="138"/>
      <c r="DE734" s="2"/>
      <c r="DF734" s="139"/>
      <c r="DG734" s="3"/>
      <c r="DH734" s="3"/>
      <c r="DI734" s="3"/>
      <c r="DJ734" s="3"/>
      <c r="DK734" s="3"/>
      <c r="DL734" s="3"/>
      <c r="DM734" s="3"/>
      <c r="DN734" s="3"/>
      <c r="DO734" s="3"/>
      <c r="DP734" s="3"/>
      <c r="DQ734" s="131"/>
      <c r="DR734" s="15"/>
      <c r="DS734" s="99"/>
      <c r="DT734" s="149"/>
      <c r="DU734" s="134"/>
      <c r="DV734" s="134"/>
      <c r="DW734" s="137"/>
      <c r="DX734" s="150"/>
      <c r="DY734" s="137"/>
      <c r="DZ734" s="137"/>
      <c r="EA734" s="3"/>
      <c r="EB734" s="138"/>
      <c r="EC734" s="2"/>
      <c r="ED734" s="139"/>
      <c r="EE734" s="3"/>
      <c r="EF734" s="3"/>
      <c r="EG734" s="3"/>
      <c r="EH734" s="3"/>
      <c r="EI734" s="3"/>
      <c r="EJ734" s="3"/>
      <c r="EK734" s="3"/>
      <c r="EL734" s="3"/>
      <c r="EM734" s="3"/>
      <c r="EN734" s="3"/>
      <c r="EO734" s="131"/>
      <c r="EP734" s="15"/>
      <c r="EQ734" s="99"/>
      <c r="ER734" s="149"/>
      <c r="ES734" s="134"/>
      <c r="ET734" s="134"/>
      <c r="EU734" s="137"/>
      <c r="EV734" s="150"/>
      <c r="EW734" s="137"/>
      <c r="EX734" s="137"/>
      <c r="EY734" s="3"/>
      <c r="EZ734" s="138"/>
      <c r="FA734" s="2"/>
      <c r="FB734" s="139"/>
      <c r="FC734" s="3"/>
      <c r="FD734" s="3"/>
      <c r="FE734" s="3"/>
      <c r="FF734" s="3"/>
      <c r="FG734" s="3"/>
      <c r="FH734" s="3"/>
      <c r="FI734" s="3"/>
      <c r="FJ734" s="3"/>
      <c r="FK734" s="3"/>
      <c r="FL734" s="3"/>
      <c r="FM734" s="131"/>
      <c r="FN734" s="15"/>
      <c r="FO734" s="99"/>
      <c r="FP734" s="149"/>
      <c r="FQ734" s="134"/>
      <c r="FR734" s="134"/>
      <c r="FS734" s="137"/>
      <c r="FT734" s="150"/>
      <c r="FU734" s="137"/>
      <c r="FV734" s="137"/>
      <c r="FW734" s="3"/>
      <c r="FX734" s="138"/>
      <c r="FY734" s="2"/>
      <c r="FZ734" s="139"/>
      <c r="GA734" s="3"/>
      <c r="GB734" s="3"/>
      <c r="GC734" s="3"/>
      <c r="GD734" s="3"/>
      <c r="GE734" s="3"/>
      <c r="GF734" s="3"/>
      <c r="GG734" s="3"/>
      <c r="GH734" s="3"/>
      <c r="GI734" s="3"/>
      <c r="GJ734" s="3"/>
      <c r="GK734" s="131"/>
      <c r="GL734" s="15"/>
      <c r="GM734" s="99"/>
      <c r="GN734" s="149"/>
      <c r="GO734" s="134"/>
      <c r="GP734" s="134"/>
      <c r="GQ734" s="137"/>
      <c r="GR734" s="150"/>
      <c r="GS734" s="137"/>
      <c r="GT734" s="137"/>
      <c r="GU734" s="3"/>
      <c r="GV734" s="138"/>
      <c r="GW734" s="2"/>
      <c r="GX734" s="139"/>
      <c r="GY734" s="3"/>
      <c r="GZ734" s="3"/>
      <c r="HA734" s="3"/>
      <c r="HB734" s="3"/>
      <c r="HC734" s="3"/>
      <c r="HD734" s="3"/>
      <c r="HE734" s="3"/>
      <c r="HF734" s="3"/>
      <c r="HG734" s="3"/>
      <c r="HH734" s="3"/>
      <c r="HI734" s="131"/>
      <c r="HJ734" s="15"/>
      <c r="HK734" s="99"/>
      <c r="HL734" s="149"/>
      <c r="HM734" s="134"/>
      <c r="HN734" s="134"/>
      <c r="HO734" s="137"/>
      <c r="HP734" s="150"/>
      <c r="HQ734" s="137"/>
      <c r="HR734" s="137"/>
      <c r="HS734" s="3"/>
      <c r="HT734" s="138"/>
      <c r="HU734" s="2"/>
      <c r="HV734" s="139"/>
      <c r="HW734" s="3"/>
      <c r="HX734" s="3"/>
      <c r="HY734" s="3"/>
      <c r="HZ734" s="3"/>
      <c r="IA734" s="3"/>
      <c r="IB734" s="3"/>
      <c r="IC734" s="3"/>
      <c r="ID734" s="3"/>
      <c r="IE734" s="3"/>
      <c r="IF734" s="3"/>
      <c r="IG734" s="131"/>
      <c r="IH734" s="15"/>
      <c r="II734" s="99"/>
      <c r="IJ734" s="149"/>
      <c r="IK734" s="134"/>
      <c r="IL734" s="134"/>
      <c r="IM734" s="137"/>
      <c r="IN734" s="150"/>
      <c r="IO734" s="137"/>
      <c r="IP734" s="137"/>
      <c r="IQ734" s="3"/>
      <c r="IR734" s="138"/>
      <c r="IS734" s="2"/>
      <c r="IT734" s="139"/>
      <c r="IU734" s="3"/>
      <c r="IV734" s="3"/>
    </row>
    <row r="735" spans="1:256" s="125" customFormat="1">
      <c r="A735" s="86">
        <v>14</v>
      </c>
      <c r="B735" s="56"/>
      <c r="C735" s="18"/>
      <c r="D735" s="19" t="s">
        <v>841</v>
      </c>
      <c r="E735" s="20" t="s">
        <v>960</v>
      </c>
      <c r="F735" s="24" t="s">
        <v>961</v>
      </c>
      <c r="G735" s="238"/>
      <c r="H735" s="121"/>
      <c r="I735" s="24"/>
      <c r="J735" s="24">
        <v>2059048</v>
      </c>
      <c r="K735" s="24">
        <v>2059048</v>
      </c>
      <c r="L735" s="24"/>
      <c r="M735" s="24"/>
      <c r="N735" s="129">
        <v>2059048</v>
      </c>
      <c r="O735" s="87" t="s">
        <v>155</v>
      </c>
      <c r="P735" s="3"/>
      <c r="Q735" s="140"/>
      <c r="R735" s="3"/>
      <c r="S735" s="3"/>
      <c r="T735" s="3"/>
      <c r="U735" s="3"/>
      <c r="V735" s="3"/>
      <c r="W735" s="3"/>
      <c r="X735" s="3"/>
      <c r="Y735" s="131"/>
      <c r="Z735" s="15"/>
      <c r="AA735" s="99"/>
      <c r="AB735" s="149"/>
      <c r="AC735" s="134"/>
      <c r="AD735" s="134"/>
      <c r="AE735" s="137"/>
      <c r="AF735" s="150"/>
      <c r="AG735" s="137"/>
      <c r="AH735" s="137"/>
      <c r="AI735" s="3"/>
      <c r="AJ735" s="138"/>
      <c r="AK735" s="2"/>
      <c r="AL735" s="139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131"/>
      <c r="AX735" s="15"/>
      <c r="AY735" s="99"/>
      <c r="AZ735" s="149"/>
      <c r="BA735" s="134"/>
      <c r="BB735" s="134"/>
      <c r="BC735" s="137"/>
      <c r="BD735" s="150"/>
      <c r="BE735" s="137"/>
      <c r="BF735" s="137"/>
      <c r="BG735" s="3"/>
      <c r="BH735" s="138"/>
      <c r="BI735" s="2"/>
      <c r="BJ735" s="139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131"/>
      <c r="BV735" s="15"/>
      <c r="BW735" s="99"/>
      <c r="BX735" s="149"/>
      <c r="BY735" s="134"/>
      <c r="BZ735" s="134"/>
      <c r="CA735" s="137"/>
      <c r="CB735" s="150"/>
      <c r="CC735" s="137"/>
      <c r="CD735" s="137"/>
      <c r="CE735" s="3"/>
      <c r="CF735" s="138"/>
      <c r="CG735" s="2"/>
      <c r="CH735" s="139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131"/>
      <c r="CT735" s="15"/>
      <c r="CU735" s="99"/>
      <c r="CV735" s="149"/>
      <c r="CW735" s="134"/>
      <c r="CX735" s="134"/>
      <c r="CY735" s="137"/>
      <c r="CZ735" s="150"/>
      <c r="DA735" s="137"/>
      <c r="DB735" s="137"/>
      <c r="DC735" s="3"/>
      <c r="DD735" s="138"/>
      <c r="DE735" s="2"/>
      <c r="DF735" s="139"/>
      <c r="DG735" s="3"/>
      <c r="DH735" s="3"/>
      <c r="DI735" s="3"/>
      <c r="DJ735" s="3"/>
      <c r="DK735" s="3"/>
      <c r="DL735" s="3"/>
      <c r="DM735" s="3"/>
      <c r="DN735" s="3"/>
      <c r="DO735" s="3"/>
      <c r="DP735" s="3"/>
      <c r="DQ735" s="131"/>
      <c r="DR735" s="15"/>
      <c r="DS735" s="99"/>
      <c r="DT735" s="149"/>
      <c r="DU735" s="134"/>
      <c r="DV735" s="134"/>
      <c r="DW735" s="137"/>
      <c r="DX735" s="150"/>
      <c r="DY735" s="137"/>
      <c r="DZ735" s="137"/>
      <c r="EA735" s="3"/>
      <c r="EB735" s="138"/>
      <c r="EC735" s="2"/>
      <c r="ED735" s="139"/>
      <c r="EE735" s="3"/>
      <c r="EF735" s="3"/>
      <c r="EG735" s="3"/>
      <c r="EH735" s="3"/>
      <c r="EI735" s="3"/>
      <c r="EJ735" s="3"/>
      <c r="EK735" s="3"/>
      <c r="EL735" s="3"/>
      <c r="EM735" s="3"/>
      <c r="EN735" s="3"/>
      <c r="EO735" s="131"/>
      <c r="EP735" s="15"/>
      <c r="EQ735" s="99"/>
      <c r="ER735" s="149"/>
      <c r="ES735" s="134"/>
      <c r="ET735" s="134"/>
      <c r="EU735" s="137"/>
      <c r="EV735" s="150"/>
      <c r="EW735" s="137"/>
      <c r="EX735" s="137"/>
      <c r="EY735" s="3"/>
      <c r="EZ735" s="138"/>
      <c r="FA735" s="2"/>
      <c r="FB735" s="139"/>
      <c r="FC735" s="3"/>
      <c r="FD735" s="3"/>
      <c r="FE735" s="3"/>
      <c r="FF735" s="3"/>
      <c r="FG735" s="3"/>
      <c r="FH735" s="3"/>
      <c r="FI735" s="3"/>
      <c r="FJ735" s="3"/>
      <c r="FK735" s="3"/>
      <c r="FL735" s="3"/>
      <c r="FM735" s="131"/>
      <c r="FN735" s="15"/>
      <c r="FO735" s="99"/>
      <c r="FP735" s="149"/>
      <c r="FQ735" s="134"/>
      <c r="FR735" s="134"/>
      <c r="FS735" s="137"/>
      <c r="FT735" s="150"/>
      <c r="FU735" s="137"/>
      <c r="FV735" s="137"/>
      <c r="FW735" s="3"/>
      <c r="FX735" s="138"/>
      <c r="FY735" s="2"/>
      <c r="FZ735" s="139"/>
      <c r="GA735" s="3"/>
      <c r="GB735" s="3"/>
      <c r="GC735" s="3"/>
      <c r="GD735" s="3"/>
      <c r="GE735" s="3"/>
      <c r="GF735" s="3"/>
      <c r="GG735" s="3"/>
      <c r="GH735" s="3"/>
      <c r="GI735" s="3"/>
      <c r="GJ735" s="3"/>
      <c r="GK735" s="131"/>
      <c r="GL735" s="15"/>
      <c r="GM735" s="99"/>
      <c r="GN735" s="149"/>
      <c r="GO735" s="134"/>
      <c r="GP735" s="134"/>
      <c r="GQ735" s="137"/>
      <c r="GR735" s="150"/>
      <c r="GS735" s="137"/>
      <c r="GT735" s="137"/>
      <c r="GU735" s="3"/>
      <c r="GV735" s="138"/>
      <c r="GW735" s="2"/>
      <c r="GX735" s="139"/>
      <c r="GY735" s="3"/>
      <c r="GZ735" s="3"/>
      <c r="HA735" s="3"/>
      <c r="HB735" s="3"/>
      <c r="HC735" s="3"/>
      <c r="HD735" s="3"/>
      <c r="HE735" s="3"/>
      <c r="HF735" s="3"/>
      <c r="HG735" s="3"/>
      <c r="HH735" s="3"/>
      <c r="HI735" s="131"/>
      <c r="HJ735" s="15"/>
      <c r="HK735" s="99"/>
      <c r="HL735" s="149"/>
      <c r="HM735" s="134"/>
      <c r="HN735" s="134"/>
      <c r="HO735" s="137"/>
      <c r="HP735" s="150"/>
      <c r="HQ735" s="137"/>
      <c r="HR735" s="137"/>
      <c r="HS735" s="3"/>
      <c r="HT735" s="138"/>
      <c r="HU735" s="2"/>
      <c r="HV735" s="139"/>
      <c r="HW735" s="3"/>
      <c r="HX735" s="3"/>
      <c r="HY735" s="3"/>
      <c r="HZ735" s="3"/>
      <c r="IA735" s="3"/>
      <c r="IB735" s="3"/>
      <c r="IC735" s="3"/>
      <c r="ID735" s="3"/>
      <c r="IE735" s="3"/>
      <c r="IF735" s="3"/>
      <c r="IG735" s="131"/>
      <c r="IH735" s="15"/>
      <c r="II735" s="99"/>
      <c r="IJ735" s="149"/>
      <c r="IK735" s="134"/>
      <c r="IL735" s="134"/>
      <c r="IM735" s="137"/>
      <c r="IN735" s="150"/>
      <c r="IO735" s="137"/>
      <c r="IP735" s="137"/>
      <c r="IQ735" s="3"/>
      <c r="IR735" s="138"/>
      <c r="IS735" s="2"/>
      <c r="IT735" s="139"/>
      <c r="IU735" s="3"/>
      <c r="IV735" s="3"/>
    </row>
    <row r="736" spans="1:256" s="125" customFormat="1">
      <c r="A736" s="86">
        <v>15</v>
      </c>
      <c r="B736" s="60"/>
      <c r="C736" s="18"/>
      <c r="D736" s="19" t="s">
        <v>841</v>
      </c>
      <c r="E736" s="20" t="s">
        <v>960</v>
      </c>
      <c r="F736" s="24" t="s">
        <v>962</v>
      </c>
      <c r="G736" s="238"/>
      <c r="H736" s="121"/>
      <c r="I736" s="24">
        <v>2418000</v>
      </c>
      <c r="J736" s="24"/>
      <c r="K736" s="24">
        <v>2418000</v>
      </c>
      <c r="L736" s="24"/>
      <c r="M736" s="24"/>
      <c r="N736" s="129">
        <v>2418000</v>
      </c>
      <c r="O736" s="87" t="s">
        <v>155</v>
      </c>
      <c r="P736" s="3"/>
      <c r="Q736" s="140"/>
      <c r="R736" s="3"/>
      <c r="S736" s="3"/>
      <c r="T736" s="3"/>
      <c r="U736" s="3"/>
      <c r="V736" s="3"/>
      <c r="W736" s="3"/>
      <c r="X736" s="3"/>
      <c r="Y736" s="131"/>
      <c r="Z736" s="15"/>
      <c r="AA736" s="99"/>
      <c r="AB736" s="149"/>
      <c r="AC736" s="134"/>
      <c r="AD736" s="134"/>
      <c r="AE736" s="137"/>
      <c r="AF736" s="150"/>
      <c r="AG736" s="137"/>
      <c r="AH736" s="137"/>
      <c r="AI736" s="3"/>
      <c r="AJ736" s="138"/>
      <c r="AK736" s="2"/>
      <c r="AL736" s="139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131"/>
      <c r="AX736" s="15"/>
      <c r="AY736" s="99"/>
      <c r="AZ736" s="149"/>
      <c r="BA736" s="134"/>
      <c r="BB736" s="134"/>
      <c r="BC736" s="137"/>
      <c r="BD736" s="150"/>
      <c r="BE736" s="137"/>
      <c r="BF736" s="137"/>
      <c r="BG736" s="3"/>
      <c r="BH736" s="138"/>
      <c r="BI736" s="2"/>
      <c r="BJ736" s="139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131"/>
      <c r="BV736" s="15"/>
      <c r="BW736" s="99"/>
      <c r="BX736" s="149"/>
      <c r="BY736" s="134"/>
      <c r="BZ736" s="134"/>
      <c r="CA736" s="137"/>
      <c r="CB736" s="150"/>
      <c r="CC736" s="137"/>
      <c r="CD736" s="137"/>
      <c r="CE736" s="3"/>
      <c r="CF736" s="138"/>
      <c r="CG736" s="2"/>
      <c r="CH736" s="139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131"/>
      <c r="CT736" s="15"/>
      <c r="CU736" s="99"/>
      <c r="CV736" s="149"/>
      <c r="CW736" s="134"/>
      <c r="CX736" s="134"/>
      <c r="CY736" s="137"/>
      <c r="CZ736" s="150"/>
      <c r="DA736" s="137"/>
      <c r="DB736" s="137"/>
      <c r="DC736" s="3"/>
      <c r="DD736" s="138"/>
      <c r="DE736" s="2"/>
      <c r="DF736" s="139"/>
      <c r="DG736" s="3"/>
      <c r="DH736" s="3"/>
      <c r="DI736" s="3"/>
      <c r="DJ736" s="3"/>
      <c r="DK736" s="3"/>
      <c r="DL736" s="3"/>
      <c r="DM736" s="3"/>
      <c r="DN736" s="3"/>
      <c r="DO736" s="3"/>
      <c r="DP736" s="3"/>
      <c r="DQ736" s="131"/>
      <c r="DR736" s="15"/>
      <c r="DS736" s="99"/>
      <c r="DT736" s="149"/>
      <c r="DU736" s="134"/>
      <c r="DV736" s="134"/>
      <c r="DW736" s="137"/>
      <c r="DX736" s="150"/>
      <c r="DY736" s="137"/>
      <c r="DZ736" s="137"/>
      <c r="EA736" s="3"/>
      <c r="EB736" s="138"/>
      <c r="EC736" s="2"/>
      <c r="ED736" s="139"/>
      <c r="EE736" s="3"/>
      <c r="EF736" s="3"/>
      <c r="EG736" s="3"/>
      <c r="EH736" s="3"/>
      <c r="EI736" s="3"/>
      <c r="EJ736" s="3"/>
      <c r="EK736" s="3"/>
      <c r="EL736" s="3"/>
      <c r="EM736" s="3"/>
      <c r="EN736" s="3"/>
      <c r="EO736" s="131"/>
      <c r="EP736" s="15"/>
      <c r="EQ736" s="99"/>
      <c r="ER736" s="149"/>
      <c r="ES736" s="134"/>
      <c r="ET736" s="134"/>
      <c r="EU736" s="137"/>
      <c r="EV736" s="150"/>
      <c r="EW736" s="137"/>
      <c r="EX736" s="137"/>
      <c r="EY736" s="3"/>
      <c r="EZ736" s="138"/>
      <c r="FA736" s="2"/>
      <c r="FB736" s="139"/>
      <c r="FC736" s="3"/>
      <c r="FD736" s="3"/>
      <c r="FE736" s="3"/>
      <c r="FF736" s="3"/>
      <c r="FG736" s="3"/>
      <c r="FH736" s="3"/>
      <c r="FI736" s="3"/>
      <c r="FJ736" s="3"/>
      <c r="FK736" s="3"/>
      <c r="FL736" s="3"/>
      <c r="FM736" s="131"/>
      <c r="FN736" s="15"/>
      <c r="FO736" s="99"/>
      <c r="FP736" s="149"/>
      <c r="FQ736" s="134"/>
      <c r="FR736" s="134"/>
      <c r="FS736" s="137"/>
      <c r="FT736" s="150"/>
      <c r="FU736" s="137"/>
      <c r="FV736" s="137"/>
      <c r="FW736" s="3"/>
      <c r="FX736" s="138"/>
      <c r="FY736" s="2"/>
      <c r="FZ736" s="139"/>
      <c r="GA736" s="3"/>
      <c r="GB736" s="3"/>
      <c r="GC736" s="3"/>
      <c r="GD736" s="3"/>
      <c r="GE736" s="3"/>
      <c r="GF736" s="3"/>
      <c r="GG736" s="3"/>
      <c r="GH736" s="3"/>
      <c r="GI736" s="3"/>
      <c r="GJ736" s="3"/>
      <c r="GK736" s="131"/>
      <c r="GL736" s="15"/>
      <c r="GM736" s="99"/>
      <c r="GN736" s="149"/>
      <c r="GO736" s="134"/>
      <c r="GP736" s="134"/>
      <c r="GQ736" s="137"/>
      <c r="GR736" s="150"/>
      <c r="GS736" s="137"/>
      <c r="GT736" s="137"/>
      <c r="GU736" s="3"/>
      <c r="GV736" s="138"/>
      <c r="GW736" s="2"/>
      <c r="GX736" s="139"/>
      <c r="GY736" s="3"/>
      <c r="GZ736" s="3"/>
      <c r="HA736" s="3"/>
      <c r="HB736" s="3"/>
      <c r="HC736" s="3"/>
      <c r="HD736" s="3"/>
      <c r="HE736" s="3"/>
      <c r="HF736" s="3"/>
      <c r="HG736" s="3"/>
      <c r="HH736" s="3"/>
      <c r="HI736" s="131"/>
      <c r="HJ736" s="15"/>
      <c r="HK736" s="99"/>
      <c r="HL736" s="149"/>
      <c r="HM736" s="134"/>
      <c r="HN736" s="134"/>
      <c r="HO736" s="137"/>
      <c r="HP736" s="150"/>
      <c r="HQ736" s="137"/>
      <c r="HR736" s="137"/>
      <c r="HS736" s="3"/>
      <c r="HT736" s="138"/>
      <c r="HU736" s="2"/>
      <c r="HV736" s="139"/>
      <c r="HW736" s="3"/>
      <c r="HX736" s="3"/>
      <c r="HY736" s="3"/>
      <c r="HZ736" s="3"/>
      <c r="IA736" s="3"/>
      <c r="IB736" s="3"/>
      <c r="IC736" s="3"/>
      <c r="ID736" s="3"/>
      <c r="IE736" s="3"/>
      <c r="IF736" s="3"/>
      <c r="IG736" s="131"/>
      <c r="IH736" s="15"/>
      <c r="II736" s="99"/>
      <c r="IJ736" s="149"/>
      <c r="IK736" s="134"/>
      <c r="IL736" s="134"/>
      <c r="IM736" s="137"/>
      <c r="IN736" s="150"/>
      <c r="IO736" s="137"/>
      <c r="IP736" s="137"/>
      <c r="IQ736" s="3"/>
      <c r="IR736" s="138"/>
      <c r="IS736" s="2"/>
      <c r="IT736" s="139"/>
      <c r="IU736" s="3"/>
      <c r="IV736" s="3"/>
    </row>
    <row r="737" spans="1:256" s="125" customFormat="1">
      <c r="A737" s="86">
        <v>16</v>
      </c>
      <c r="B737" s="60"/>
      <c r="C737" s="18"/>
      <c r="D737" s="19" t="s">
        <v>841</v>
      </c>
      <c r="E737" s="20" t="s">
        <v>963</v>
      </c>
      <c r="F737" s="24" t="s">
        <v>964</v>
      </c>
      <c r="G737" s="238"/>
      <c r="H737" s="121"/>
      <c r="I737" s="24">
        <v>2772857</v>
      </c>
      <c r="J737" s="199"/>
      <c r="K737" s="24">
        <v>2772857</v>
      </c>
      <c r="L737" s="24"/>
      <c r="M737" s="24"/>
      <c r="N737" s="129">
        <v>2772857</v>
      </c>
      <c r="O737" s="108"/>
      <c r="P737" s="3"/>
      <c r="Q737" s="140"/>
      <c r="R737" s="3"/>
      <c r="S737" s="3"/>
      <c r="T737" s="3"/>
      <c r="U737" s="3"/>
      <c r="V737" s="3"/>
      <c r="W737" s="3"/>
      <c r="X737" s="3"/>
      <c r="Y737" s="131"/>
      <c r="Z737" s="15"/>
      <c r="AA737" s="99"/>
      <c r="AB737" s="149"/>
      <c r="AC737" s="134"/>
      <c r="AD737" s="134"/>
      <c r="AE737" s="137"/>
      <c r="AF737" s="150"/>
      <c r="AG737" s="137"/>
      <c r="AH737" s="137"/>
      <c r="AI737" s="3"/>
      <c r="AJ737" s="138"/>
      <c r="AK737" s="2"/>
      <c r="AL737" s="139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131"/>
      <c r="AX737" s="15"/>
      <c r="AY737" s="99"/>
      <c r="AZ737" s="149"/>
      <c r="BA737" s="134"/>
      <c r="BB737" s="134"/>
      <c r="BC737" s="137"/>
      <c r="BD737" s="150"/>
      <c r="BE737" s="137"/>
      <c r="BF737" s="137"/>
      <c r="BG737" s="3"/>
      <c r="BH737" s="138"/>
      <c r="BI737" s="2"/>
      <c r="BJ737" s="139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131"/>
      <c r="BV737" s="15"/>
      <c r="BW737" s="99"/>
      <c r="BX737" s="149"/>
      <c r="BY737" s="134"/>
      <c r="BZ737" s="134"/>
      <c r="CA737" s="137"/>
      <c r="CB737" s="150"/>
      <c r="CC737" s="137"/>
      <c r="CD737" s="137"/>
      <c r="CE737" s="3"/>
      <c r="CF737" s="138"/>
      <c r="CG737" s="2"/>
      <c r="CH737" s="139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131"/>
      <c r="CT737" s="15"/>
      <c r="CU737" s="99"/>
      <c r="CV737" s="149"/>
      <c r="CW737" s="134"/>
      <c r="CX737" s="134"/>
      <c r="CY737" s="137"/>
      <c r="CZ737" s="150"/>
      <c r="DA737" s="137"/>
      <c r="DB737" s="137"/>
      <c r="DC737" s="3"/>
      <c r="DD737" s="138"/>
      <c r="DE737" s="2"/>
      <c r="DF737" s="139"/>
      <c r="DG737" s="3"/>
      <c r="DH737" s="3"/>
      <c r="DI737" s="3"/>
      <c r="DJ737" s="3"/>
      <c r="DK737" s="3"/>
      <c r="DL737" s="3"/>
      <c r="DM737" s="3"/>
      <c r="DN737" s="3"/>
      <c r="DO737" s="3"/>
      <c r="DP737" s="3"/>
      <c r="DQ737" s="131"/>
      <c r="DR737" s="15"/>
      <c r="DS737" s="99"/>
      <c r="DT737" s="149"/>
      <c r="DU737" s="134"/>
      <c r="DV737" s="134"/>
      <c r="DW737" s="137"/>
      <c r="DX737" s="150"/>
      <c r="DY737" s="137"/>
      <c r="DZ737" s="137"/>
      <c r="EA737" s="3"/>
      <c r="EB737" s="138"/>
      <c r="EC737" s="2"/>
      <c r="ED737" s="139"/>
      <c r="EE737" s="3"/>
      <c r="EF737" s="3"/>
      <c r="EG737" s="3"/>
      <c r="EH737" s="3"/>
      <c r="EI737" s="3"/>
      <c r="EJ737" s="3"/>
      <c r="EK737" s="3"/>
      <c r="EL737" s="3"/>
      <c r="EM737" s="3"/>
      <c r="EN737" s="3"/>
      <c r="EO737" s="131"/>
      <c r="EP737" s="15"/>
      <c r="EQ737" s="99"/>
      <c r="ER737" s="149"/>
      <c r="ES737" s="134"/>
      <c r="ET737" s="134"/>
      <c r="EU737" s="137"/>
      <c r="EV737" s="150"/>
      <c r="EW737" s="137"/>
      <c r="EX737" s="137"/>
      <c r="EY737" s="3"/>
      <c r="EZ737" s="138"/>
      <c r="FA737" s="2"/>
      <c r="FB737" s="139"/>
      <c r="FC737" s="3"/>
      <c r="FD737" s="3"/>
      <c r="FE737" s="3"/>
      <c r="FF737" s="3"/>
      <c r="FG737" s="3"/>
      <c r="FH737" s="3"/>
      <c r="FI737" s="3"/>
      <c r="FJ737" s="3"/>
      <c r="FK737" s="3"/>
      <c r="FL737" s="3"/>
      <c r="FM737" s="131"/>
      <c r="FN737" s="15"/>
      <c r="FO737" s="99"/>
      <c r="FP737" s="149"/>
      <c r="FQ737" s="134"/>
      <c r="FR737" s="134"/>
      <c r="FS737" s="137"/>
      <c r="FT737" s="150"/>
      <c r="FU737" s="137"/>
      <c r="FV737" s="137"/>
      <c r="FW737" s="3"/>
      <c r="FX737" s="138"/>
      <c r="FY737" s="2"/>
      <c r="FZ737" s="139"/>
      <c r="GA737" s="3"/>
      <c r="GB737" s="3"/>
      <c r="GC737" s="3"/>
      <c r="GD737" s="3"/>
      <c r="GE737" s="3"/>
      <c r="GF737" s="3"/>
      <c r="GG737" s="3"/>
      <c r="GH737" s="3"/>
      <c r="GI737" s="3"/>
      <c r="GJ737" s="3"/>
      <c r="GK737" s="131"/>
      <c r="GL737" s="15"/>
      <c r="GM737" s="99"/>
      <c r="GN737" s="149"/>
      <c r="GO737" s="134"/>
      <c r="GP737" s="134"/>
      <c r="GQ737" s="137"/>
      <c r="GR737" s="150"/>
      <c r="GS737" s="137"/>
      <c r="GT737" s="137"/>
      <c r="GU737" s="3"/>
      <c r="GV737" s="138"/>
      <c r="GW737" s="2"/>
      <c r="GX737" s="139"/>
      <c r="GY737" s="3"/>
      <c r="GZ737" s="3"/>
      <c r="HA737" s="3"/>
      <c r="HB737" s="3"/>
      <c r="HC737" s="3"/>
      <c r="HD737" s="3"/>
      <c r="HE737" s="3"/>
      <c r="HF737" s="3"/>
      <c r="HG737" s="3"/>
      <c r="HH737" s="3"/>
      <c r="HI737" s="131"/>
      <c r="HJ737" s="15"/>
      <c r="HK737" s="99"/>
      <c r="HL737" s="149"/>
      <c r="HM737" s="134"/>
      <c r="HN737" s="134"/>
      <c r="HO737" s="137"/>
      <c r="HP737" s="150"/>
      <c r="HQ737" s="137"/>
      <c r="HR737" s="137"/>
      <c r="HS737" s="3"/>
      <c r="HT737" s="138"/>
      <c r="HU737" s="2"/>
      <c r="HV737" s="139"/>
      <c r="HW737" s="3"/>
      <c r="HX737" s="3"/>
      <c r="HY737" s="3"/>
      <c r="HZ737" s="3"/>
      <c r="IA737" s="3"/>
      <c r="IB737" s="3"/>
      <c r="IC737" s="3"/>
      <c r="ID737" s="3"/>
      <c r="IE737" s="3"/>
      <c r="IF737" s="3"/>
      <c r="IG737" s="131"/>
      <c r="IH737" s="15"/>
      <c r="II737" s="99"/>
      <c r="IJ737" s="149"/>
      <c r="IK737" s="134"/>
      <c r="IL737" s="134"/>
      <c r="IM737" s="137"/>
      <c r="IN737" s="150"/>
      <c r="IO737" s="137"/>
      <c r="IP737" s="137"/>
      <c r="IQ737" s="3"/>
      <c r="IR737" s="138"/>
      <c r="IS737" s="2"/>
      <c r="IT737" s="139"/>
      <c r="IU737" s="3"/>
      <c r="IV737" s="3"/>
    </row>
    <row r="738" spans="1:256" s="125" customFormat="1">
      <c r="A738" s="86">
        <v>17</v>
      </c>
      <c r="B738" s="56"/>
      <c r="C738" s="18"/>
      <c r="D738" s="19" t="s">
        <v>841</v>
      </c>
      <c r="E738" s="20" t="s">
        <v>963</v>
      </c>
      <c r="F738" s="24" t="s">
        <v>965</v>
      </c>
      <c r="G738" s="238"/>
      <c r="H738" s="121"/>
      <c r="I738" s="24">
        <v>3055714</v>
      </c>
      <c r="J738" s="199"/>
      <c r="K738" s="24">
        <v>3055714</v>
      </c>
      <c r="L738" s="24"/>
      <c r="M738" s="24"/>
      <c r="N738" s="129">
        <v>3055714</v>
      </c>
      <c r="O738" s="108"/>
      <c r="P738" s="3"/>
      <c r="Q738" s="140"/>
      <c r="R738" s="3"/>
      <c r="S738" s="3"/>
      <c r="T738" s="3"/>
      <c r="U738" s="3"/>
      <c r="V738" s="3"/>
      <c r="W738" s="3"/>
      <c r="X738" s="3"/>
      <c r="Y738" s="131"/>
      <c r="Z738" s="15"/>
      <c r="AA738" s="99"/>
      <c r="AB738" s="149"/>
      <c r="AC738" s="134"/>
      <c r="AD738" s="134"/>
      <c r="AE738" s="137"/>
      <c r="AF738" s="150"/>
      <c r="AG738" s="137"/>
      <c r="AH738" s="137"/>
      <c r="AI738" s="3"/>
      <c r="AJ738" s="138"/>
      <c r="AK738" s="2"/>
      <c r="AL738" s="139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131"/>
      <c r="AX738" s="15"/>
      <c r="AY738" s="99"/>
      <c r="AZ738" s="149"/>
      <c r="BA738" s="134"/>
      <c r="BB738" s="134"/>
      <c r="BC738" s="137"/>
      <c r="BD738" s="150"/>
      <c r="BE738" s="137"/>
      <c r="BF738" s="137"/>
      <c r="BG738" s="3"/>
      <c r="BH738" s="138"/>
      <c r="BI738" s="2"/>
      <c r="BJ738" s="139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131"/>
      <c r="BV738" s="15"/>
      <c r="BW738" s="99"/>
      <c r="BX738" s="149"/>
      <c r="BY738" s="134"/>
      <c r="BZ738" s="134"/>
      <c r="CA738" s="137"/>
      <c r="CB738" s="150"/>
      <c r="CC738" s="137"/>
      <c r="CD738" s="137"/>
      <c r="CE738" s="3"/>
      <c r="CF738" s="138"/>
      <c r="CG738" s="2"/>
      <c r="CH738" s="139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131"/>
      <c r="CT738" s="15"/>
      <c r="CU738" s="99"/>
      <c r="CV738" s="149"/>
      <c r="CW738" s="134"/>
      <c r="CX738" s="134"/>
      <c r="CY738" s="137"/>
      <c r="CZ738" s="150"/>
      <c r="DA738" s="137"/>
      <c r="DB738" s="137"/>
      <c r="DC738" s="3"/>
      <c r="DD738" s="138"/>
      <c r="DE738" s="2"/>
      <c r="DF738" s="139"/>
      <c r="DG738" s="3"/>
      <c r="DH738" s="3"/>
      <c r="DI738" s="3"/>
      <c r="DJ738" s="3"/>
      <c r="DK738" s="3"/>
      <c r="DL738" s="3"/>
      <c r="DM738" s="3"/>
      <c r="DN738" s="3"/>
      <c r="DO738" s="3"/>
      <c r="DP738" s="3"/>
      <c r="DQ738" s="131"/>
      <c r="DR738" s="15"/>
      <c r="DS738" s="99"/>
      <c r="DT738" s="149"/>
      <c r="DU738" s="134"/>
      <c r="DV738" s="134"/>
      <c r="DW738" s="137"/>
      <c r="DX738" s="150"/>
      <c r="DY738" s="137"/>
      <c r="DZ738" s="137"/>
      <c r="EA738" s="3"/>
      <c r="EB738" s="138"/>
      <c r="EC738" s="2"/>
      <c r="ED738" s="139"/>
      <c r="EE738" s="3"/>
      <c r="EF738" s="3"/>
      <c r="EG738" s="3"/>
      <c r="EH738" s="3"/>
      <c r="EI738" s="3"/>
      <c r="EJ738" s="3"/>
      <c r="EK738" s="3"/>
      <c r="EL738" s="3"/>
      <c r="EM738" s="3"/>
      <c r="EN738" s="3"/>
      <c r="EO738" s="131"/>
      <c r="EP738" s="15"/>
      <c r="EQ738" s="99"/>
      <c r="ER738" s="149"/>
      <c r="ES738" s="134"/>
      <c r="ET738" s="134"/>
      <c r="EU738" s="137"/>
      <c r="EV738" s="150"/>
      <c r="EW738" s="137"/>
      <c r="EX738" s="137"/>
      <c r="EY738" s="3"/>
      <c r="EZ738" s="138"/>
      <c r="FA738" s="2"/>
      <c r="FB738" s="139"/>
      <c r="FC738" s="3"/>
      <c r="FD738" s="3"/>
      <c r="FE738" s="3"/>
      <c r="FF738" s="3"/>
      <c r="FG738" s="3"/>
      <c r="FH738" s="3"/>
      <c r="FI738" s="3"/>
      <c r="FJ738" s="3"/>
      <c r="FK738" s="3"/>
      <c r="FL738" s="3"/>
      <c r="FM738" s="131"/>
      <c r="FN738" s="15"/>
      <c r="FO738" s="99"/>
      <c r="FP738" s="149"/>
      <c r="FQ738" s="134"/>
      <c r="FR738" s="134"/>
      <c r="FS738" s="137"/>
      <c r="FT738" s="150"/>
      <c r="FU738" s="137"/>
      <c r="FV738" s="137"/>
      <c r="FW738" s="3"/>
      <c r="FX738" s="138"/>
      <c r="FY738" s="2"/>
      <c r="FZ738" s="139"/>
      <c r="GA738" s="3"/>
      <c r="GB738" s="3"/>
      <c r="GC738" s="3"/>
      <c r="GD738" s="3"/>
      <c r="GE738" s="3"/>
      <c r="GF738" s="3"/>
      <c r="GG738" s="3"/>
      <c r="GH738" s="3"/>
      <c r="GI738" s="3"/>
      <c r="GJ738" s="3"/>
      <c r="GK738" s="131"/>
      <c r="GL738" s="15"/>
      <c r="GM738" s="99"/>
      <c r="GN738" s="149"/>
      <c r="GO738" s="134"/>
      <c r="GP738" s="134"/>
      <c r="GQ738" s="137"/>
      <c r="GR738" s="150"/>
      <c r="GS738" s="137"/>
      <c r="GT738" s="137"/>
      <c r="GU738" s="3"/>
      <c r="GV738" s="138"/>
      <c r="GW738" s="2"/>
      <c r="GX738" s="139"/>
      <c r="GY738" s="3"/>
      <c r="GZ738" s="3"/>
      <c r="HA738" s="3"/>
      <c r="HB738" s="3"/>
      <c r="HC738" s="3"/>
      <c r="HD738" s="3"/>
      <c r="HE738" s="3"/>
      <c r="HF738" s="3"/>
      <c r="HG738" s="3"/>
      <c r="HH738" s="3"/>
      <c r="HI738" s="131"/>
      <c r="HJ738" s="15"/>
      <c r="HK738" s="99"/>
      <c r="HL738" s="149"/>
      <c r="HM738" s="134"/>
      <c r="HN738" s="134"/>
      <c r="HO738" s="137"/>
      <c r="HP738" s="150"/>
      <c r="HQ738" s="137"/>
      <c r="HR738" s="137"/>
      <c r="HS738" s="3"/>
      <c r="HT738" s="138"/>
      <c r="HU738" s="2"/>
      <c r="HV738" s="139"/>
      <c r="HW738" s="3"/>
      <c r="HX738" s="3"/>
      <c r="HY738" s="3"/>
      <c r="HZ738" s="3"/>
      <c r="IA738" s="3"/>
      <c r="IB738" s="3"/>
      <c r="IC738" s="3"/>
      <c r="ID738" s="3"/>
      <c r="IE738" s="3"/>
      <c r="IF738" s="3"/>
      <c r="IG738" s="131"/>
      <c r="IH738" s="15"/>
      <c r="II738" s="99"/>
      <c r="IJ738" s="149"/>
      <c r="IK738" s="134"/>
      <c r="IL738" s="134"/>
      <c r="IM738" s="137"/>
      <c r="IN738" s="150"/>
      <c r="IO738" s="137"/>
      <c r="IP738" s="137"/>
      <c r="IQ738" s="3"/>
      <c r="IR738" s="138"/>
      <c r="IS738" s="2"/>
      <c r="IT738" s="139"/>
      <c r="IU738" s="3"/>
      <c r="IV738" s="3"/>
    </row>
    <row r="739" spans="1:256" s="125" customFormat="1">
      <c r="A739" s="86">
        <v>18</v>
      </c>
      <c r="B739" s="60"/>
      <c r="C739" s="18"/>
      <c r="D739" s="19" t="s">
        <v>841</v>
      </c>
      <c r="E739" s="20" t="s">
        <v>472</v>
      </c>
      <c r="F739" s="82" t="s">
        <v>966</v>
      </c>
      <c r="G739" s="58"/>
      <c r="H739" s="121"/>
      <c r="I739" s="24">
        <v>2232000</v>
      </c>
      <c r="J739" s="24"/>
      <c r="K739" s="199">
        <f t="shared" ref="K739:K751" si="70">I739+J739</f>
        <v>2232000</v>
      </c>
      <c r="L739" s="26"/>
      <c r="M739" s="24"/>
      <c r="N739" s="129">
        <f t="shared" ref="N739:N761" si="71">K739-M739</f>
        <v>2232000</v>
      </c>
      <c r="O739" s="108" t="s">
        <v>900</v>
      </c>
      <c r="P739" s="3"/>
      <c r="Q739" s="140"/>
      <c r="R739" s="3"/>
      <c r="S739" s="3"/>
      <c r="T739" s="3"/>
      <c r="U739" s="3"/>
      <c r="V739" s="3"/>
      <c r="W739" s="3"/>
      <c r="X739" s="3"/>
      <c r="Y739" s="131"/>
      <c r="Z739" s="15"/>
      <c r="AA739" s="99"/>
      <c r="AB739" s="149"/>
      <c r="AC739" s="134"/>
      <c r="AD739" s="134"/>
      <c r="AE739" s="137"/>
      <c r="AF739" s="150"/>
      <c r="AG739" s="137"/>
      <c r="AH739" s="137"/>
      <c r="AI739" s="3"/>
      <c r="AJ739" s="138"/>
      <c r="AK739" s="2"/>
      <c r="AL739" s="139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131"/>
      <c r="AX739" s="15"/>
      <c r="AY739" s="99"/>
      <c r="AZ739" s="149"/>
      <c r="BA739" s="134"/>
      <c r="BB739" s="134"/>
      <c r="BC739" s="137"/>
      <c r="BD739" s="150"/>
      <c r="BE739" s="137"/>
      <c r="BF739" s="137"/>
      <c r="BG739" s="3"/>
      <c r="BH739" s="138"/>
      <c r="BI739" s="2"/>
      <c r="BJ739" s="139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131"/>
      <c r="BV739" s="15"/>
      <c r="BW739" s="99"/>
      <c r="BX739" s="149"/>
      <c r="BY739" s="134"/>
      <c r="BZ739" s="134"/>
      <c r="CA739" s="137"/>
      <c r="CB739" s="150"/>
      <c r="CC739" s="137"/>
      <c r="CD739" s="137"/>
      <c r="CE739" s="3"/>
      <c r="CF739" s="138"/>
      <c r="CG739" s="2"/>
      <c r="CH739" s="139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131"/>
      <c r="CT739" s="15"/>
      <c r="CU739" s="99"/>
      <c r="CV739" s="149"/>
      <c r="CW739" s="134"/>
      <c r="CX739" s="134"/>
      <c r="CY739" s="137"/>
      <c r="CZ739" s="150"/>
      <c r="DA739" s="137"/>
      <c r="DB739" s="137"/>
      <c r="DC739" s="3"/>
      <c r="DD739" s="138"/>
      <c r="DE739" s="2"/>
      <c r="DF739" s="139"/>
      <c r="DG739" s="3"/>
      <c r="DH739" s="3"/>
      <c r="DI739" s="3"/>
      <c r="DJ739" s="3"/>
      <c r="DK739" s="3"/>
      <c r="DL739" s="3"/>
      <c r="DM739" s="3"/>
      <c r="DN739" s="3"/>
      <c r="DO739" s="3"/>
      <c r="DP739" s="3"/>
      <c r="DQ739" s="131"/>
      <c r="DR739" s="15"/>
      <c r="DS739" s="99"/>
      <c r="DT739" s="149"/>
      <c r="DU739" s="134"/>
      <c r="DV739" s="134"/>
      <c r="DW739" s="137"/>
      <c r="DX739" s="150"/>
      <c r="DY739" s="137"/>
      <c r="DZ739" s="137"/>
      <c r="EA739" s="3"/>
      <c r="EB739" s="138"/>
      <c r="EC739" s="2"/>
      <c r="ED739" s="139"/>
      <c r="EE739" s="3"/>
      <c r="EF739" s="3"/>
      <c r="EG739" s="3"/>
      <c r="EH739" s="3"/>
      <c r="EI739" s="3"/>
      <c r="EJ739" s="3"/>
      <c r="EK739" s="3"/>
      <c r="EL739" s="3"/>
      <c r="EM739" s="3"/>
      <c r="EN739" s="3"/>
      <c r="EO739" s="131"/>
      <c r="EP739" s="15"/>
      <c r="EQ739" s="99"/>
      <c r="ER739" s="149"/>
      <c r="ES739" s="134"/>
      <c r="ET739" s="134"/>
      <c r="EU739" s="137"/>
      <c r="EV739" s="150"/>
      <c r="EW739" s="137"/>
      <c r="EX739" s="137"/>
      <c r="EY739" s="3"/>
      <c r="EZ739" s="138"/>
      <c r="FA739" s="2"/>
      <c r="FB739" s="139"/>
      <c r="FC739" s="3"/>
      <c r="FD739" s="3"/>
      <c r="FE739" s="3"/>
      <c r="FF739" s="3"/>
      <c r="FG739" s="3"/>
      <c r="FH739" s="3"/>
      <c r="FI739" s="3"/>
      <c r="FJ739" s="3"/>
      <c r="FK739" s="3"/>
      <c r="FL739" s="3"/>
      <c r="FM739" s="131"/>
      <c r="FN739" s="15"/>
      <c r="FO739" s="99"/>
      <c r="FP739" s="149"/>
      <c r="FQ739" s="134"/>
      <c r="FR739" s="134"/>
      <c r="FS739" s="137"/>
      <c r="FT739" s="150"/>
      <c r="FU739" s="137"/>
      <c r="FV739" s="137"/>
      <c r="FW739" s="3"/>
      <c r="FX739" s="138"/>
      <c r="FY739" s="2"/>
      <c r="FZ739" s="139"/>
      <c r="GA739" s="3"/>
      <c r="GB739" s="3"/>
      <c r="GC739" s="3"/>
      <c r="GD739" s="3"/>
      <c r="GE739" s="3"/>
      <c r="GF739" s="3"/>
      <c r="GG739" s="3"/>
      <c r="GH739" s="3"/>
      <c r="GI739" s="3"/>
      <c r="GJ739" s="3"/>
      <c r="GK739" s="131"/>
      <c r="GL739" s="15"/>
      <c r="GM739" s="99"/>
      <c r="GN739" s="149"/>
      <c r="GO739" s="134"/>
      <c r="GP739" s="134"/>
      <c r="GQ739" s="137"/>
      <c r="GR739" s="150"/>
      <c r="GS739" s="137"/>
      <c r="GT739" s="137"/>
      <c r="GU739" s="3"/>
      <c r="GV739" s="138"/>
      <c r="GW739" s="2"/>
      <c r="GX739" s="139"/>
      <c r="GY739" s="3"/>
      <c r="GZ739" s="3"/>
      <c r="HA739" s="3"/>
      <c r="HB739" s="3"/>
      <c r="HC739" s="3"/>
      <c r="HD739" s="3"/>
      <c r="HE739" s="3"/>
      <c r="HF739" s="3"/>
      <c r="HG739" s="3"/>
      <c r="HH739" s="3"/>
      <c r="HI739" s="131"/>
      <c r="HJ739" s="15"/>
      <c r="HK739" s="99"/>
      <c r="HL739" s="149"/>
      <c r="HM739" s="134"/>
      <c r="HN739" s="134"/>
      <c r="HO739" s="137"/>
      <c r="HP739" s="150"/>
      <c r="HQ739" s="137"/>
      <c r="HR739" s="137"/>
      <c r="HS739" s="3"/>
      <c r="HT739" s="138"/>
      <c r="HU739" s="2"/>
      <c r="HV739" s="139"/>
      <c r="HW739" s="3"/>
      <c r="HX739" s="3"/>
      <c r="HY739" s="3"/>
      <c r="HZ739" s="3"/>
      <c r="IA739" s="3"/>
      <c r="IB739" s="3"/>
      <c r="IC739" s="3"/>
      <c r="ID739" s="3"/>
      <c r="IE739" s="3"/>
      <c r="IF739" s="3"/>
      <c r="IG739" s="131"/>
      <c r="IH739" s="15"/>
      <c r="II739" s="99"/>
      <c r="IJ739" s="149"/>
      <c r="IK739" s="134"/>
      <c r="IL739" s="134"/>
      <c r="IM739" s="137"/>
      <c r="IN739" s="150"/>
      <c r="IO739" s="137"/>
      <c r="IP739" s="137"/>
      <c r="IQ739" s="3"/>
      <c r="IR739" s="138"/>
      <c r="IS739" s="2"/>
      <c r="IT739" s="139"/>
      <c r="IU739" s="3"/>
      <c r="IV739" s="3"/>
    </row>
    <row r="740" spans="1:256" s="125" customFormat="1">
      <c r="A740" s="86">
        <v>19</v>
      </c>
      <c r="B740" s="56">
        <v>43067</v>
      </c>
      <c r="C740" s="18"/>
      <c r="D740" s="19" t="s">
        <v>841</v>
      </c>
      <c r="E740" s="20" t="s">
        <v>473</v>
      </c>
      <c r="F740" s="24" t="s">
        <v>967</v>
      </c>
      <c r="G740" s="238">
        <v>1708</v>
      </c>
      <c r="H740" s="121">
        <v>2246600</v>
      </c>
      <c r="I740" s="24"/>
      <c r="J740" s="199">
        <f>SUM(H740)/1.05</f>
        <v>2139619.0476190476</v>
      </c>
      <c r="K740" s="24">
        <f t="shared" si="70"/>
        <v>2139619.0476190476</v>
      </c>
      <c r="L740" s="24"/>
      <c r="M740" s="24">
        <f>K740*L740</f>
        <v>0</v>
      </c>
      <c r="N740" s="129">
        <f t="shared" si="71"/>
        <v>2139619.0476190476</v>
      </c>
      <c r="O740" s="108" t="s">
        <v>900</v>
      </c>
      <c r="P740" s="3"/>
      <c r="Q740" s="140"/>
      <c r="R740" s="3"/>
      <c r="S740" s="3"/>
      <c r="T740" s="3"/>
      <c r="U740" s="3"/>
      <c r="V740" s="3"/>
      <c r="W740" s="3"/>
      <c r="X740" s="3"/>
      <c r="Y740" s="131"/>
      <c r="Z740" s="15"/>
      <c r="AA740" s="99"/>
      <c r="AB740" s="149"/>
      <c r="AC740" s="134"/>
      <c r="AD740" s="134"/>
      <c r="AE740" s="137"/>
      <c r="AF740" s="150"/>
      <c r="AG740" s="137"/>
      <c r="AH740" s="137"/>
      <c r="AI740" s="3"/>
      <c r="AJ740" s="138"/>
      <c r="AK740" s="2"/>
      <c r="AL740" s="139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131"/>
      <c r="AX740" s="15"/>
      <c r="AY740" s="99"/>
      <c r="AZ740" s="149"/>
      <c r="BA740" s="134"/>
      <c r="BB740" s="134"/>
      <c r="BC740" s="137"/>
      <c r="BD740" s="150"/>
      <c r="BE740" s="137"/>
      <c r="BF740" s="137"/>
      <c r="BG740" s="3"/>
      <c r="BH740" s="138"/>
      <c r="BI740" s="2"/>
      <c r="BJ740" s="139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131"/>
      <c r="BV740" s="15"/>
      <c r="BW740" s="99"/>
      <c r="BX740" s="149"/>
      <c r="BY740" s="134"/>
      <c r="BZ740" s="134"/>
      <c r="CA740" s="137"/>
      <c r="CB740" s="150"/>
      <c r="CC740" s="137"/>
      <c r="CD740" s="137"/>
      <c r="CE740" s="3"/>
      <c r="CF740" s="138"/>
      <c r="CG740" s="2"/>
      <c r="CH740" s="139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131"/>
      <c r="CT740" s="15"/>
      <c r="CU740" s="99"/>
      <c r="CV740" s="149"/>
      <c r="CW740" s="134"/>
      <c r="CX740" s="134"/>
      <c r="CY740" s="137"/>
      <c r="CZ740" s="150"/>
      <c r="DA740" s="137"/>
      <c r="DB740" s="137"/>
      <c r="DC740" s="3"/>
      <c r="DD740" s="138"/>
      <c r="DE740" s="2"/>
      <c r="DF740" s="139"/>
      <c r="DG740" s="3"/>
      <c r="DH740" s="3"/>
      <c r="DI740" s="3"/>
      <c r="DJ740" s="3"/>
      <c r="DK740" s="3"/>
      <c r="DL740" s="3"/>
      <c r="DM740" s="3"/>
      <c r="DN740" s="3"/>
      <c r="DO740" s="3"/>
      <c r="DP740" s="3"/>
      <c r="DQ740" s="131"/>
      <c r="DR740" s="15"/>
      <c r="DS740" s="99"/>
      <c r="DT740" s="149"/>
      <c r="DU740" s="134"/>
      <c r="DV740" s="134"/>
      <c r="DW740" s="137"/>
      <c r="DX740" s="150"/>
      <c r="DY740" s="137"/>
      <c r="DZ740" s="137"/>
      <c r="EA740" s="3"/>
      <c r="EB740" s="138"/>
      <c r="EC740" s="2"/>
      <c r="ED740" s="139"/>
      <c r="EE740" s="3"/>
      <c r="EF740" s="3"/>
      <c r="EG740" s="3"/>
      <c r="EH740" s="3"/>
      <c r="EI740" s="3"/>
      <c r="EJ740" s="3"/>
      <c r="EK740" s="3"/>
      <c r="EL740" s="3"/>
      <c r="EM740" s="3"/>
      <c r="EN740" s="3"/>
      <c r="EO740" s="131"/>
      <c r="EP740" s="15"/>
      <c r="EQ740" s="99"/>
      <c r="ER740" s="149"/>
      <c r="ES740" s="134"/>
      <c r="ET740" s="134"/>
      <c r="EU740" s="137"/>
      <c r="EV740" s="150"/>
      <c r="EW740" s="137"/>
      <c r="EX740" s="137"/>
      <c r="EY740" s="3"/>
      <c r="EZ740" s="138"/>
      <c r="FA740" s="2"/>
      <c r="FB740" s="139"/>
      <c r="FC740" s="3"/>
      <c r="FD740" s="3"/>
      <c r="FE740" s="3"/>
      <c r="FF740" s="3"/>
      <c r="FG740" s="3"/>
      <c r="FH740" s="3"/>
      <c r="FI740" s="3"/>
      <c r="FJ740" s="3"/>
      <c r="FK740" s="3"/>
      <c r="FL740" s="3"/>
      <c r="FM740" s="131"/>
      <c r="FN740" s="15"/>
      <c r="FO740" s="99"/>
      <c r="FP740" s="149"/>
      <c r="FQ740" s="134"/>
      <c r="FR740" s="134"/>
      <c r="FS740" s="137"/>
      <c r="FT740" s="150"/>
      <c r="FU740" s="137"/>
      <c r="FV740" s="137"/>
      <c r="FW740" s="3"/>
      <c r="FX740" s="138"/>
      <c r="FY740" s="2"/>
      <c r="FZ740" s="139"/>
      <c r="GA740" s="3"/>
      <c r="GB740" s="3"/>
      <c r="GC740" s="3"/>
      <c r="GD740" s="3"/>
      <c r="GE740" s="3"/>
      <c r="GF740" s="3"/>
      <c r="GG740" s="3"/>
      <c r="GH740" s="3"/>
      <c r="GI740" s="3"/>
      <c r="GJ740" s="3"/>
      <c r="GK740" s="131"/>
      <c r="GL740" s="15"/>
      <c r="GM740" s="99"/>
      <c r="GN740" s="149"/>
      <c r="GO740" s="134"/>
      <c r="GP740" s="134"/>
      <c r="GQ740" s="137"/>
      <c r="GR740" s="150"/>
      <c r="GS740" s="137"/>
      <c r="GT740" s="137"/>
      <c r="GU740" s="3"/>
      <c r="GV740" s="138"/>
      <c r="GW740" s="2"/>
      <c r="GX740" s="139"/>
      <c r="GY740" s="3"/>
      <c r="GZ740" s="3"/>
      <c r="HA740" s="3"/>
      <c r="HB740" s="3"/>
      <c r="HC740" s="3"/>
      <c r="HD740" s="3"/>
      <c r="HE740" s="3"/>
      <c r="HF740" s="3"/>
      <c r="HG740" s="3"/>
      <c r="HH740" s="3"/>
      <c r="HI740" s="131"/>
      <c r="HJ740" s="15"/>
      <c r="HK740" s="99"/>
      <c r="HL740" s="149"/>
      <c r="HM740" s="134"/>
      <c r="HN740" s="134"/>
      <c r="HO740" s="137"/>
      <c r="HP740" s="150"/>
      <c r="HQ740" s="137"/>
      <c r="HR740" s="137"/>
      <c r="HS740" s="3"/>
      <c r="HT740" s="138"/>
      <c r="HU740" s="2"/>
      <c r="HV740" s="139"/>
      <c r="HW740" s="3"/>
      <c r="HX740" s="3"/>
      <c r="HY740" s="3"/>
      <c r="HZ740" s="3"/>
      <c r="IA740" s="3"/>
      <c r="IB740" s="3"/>
      <c r="IC740" s="3"/>
      <c r="ID740" s="3"/>
      <c r="IE740" s="3"/>
      <c r="IF740" s="3"/>
      <c r="IG740" s="131"/>
      <c r="IH740" s="15"/>
      <c r="II740" s="99"/>
      <c r="IJ740" s="149"/>
      <c r="IK740" s="134"/>
      <c r="IL740" s="134"/>
      <c r="IM740" s="137"/>
      <c r="IN740" s="150"/>
      <c r="IO740" s="137"/>
      <c r="IP740" s="137"/>
      <c r="IQ740" s="3"/>
      <c r="IR740" s="138"/>
      <c r="IS740" s="2"/>
      <c r="IT740" s="139"/>
      <c r="IU740" s="3"/>
      <c r="IV740" s="3"/>
    </row>
    <row r="741" spans="1:256" s="125" customFormat="1">
      <c r="A741" s="86">
        <v>20</v>
      </c>
      <c r="B741" s="56"/>
      <c r="C741" s="18"/>
      <c r="D741" s="19" t="s">
        <v>841</v>
      </c>
      <c r="E741" s="20" t="s">
        <v>968</v>
      </c>
      <c r="F741" s="82" t="s">
        <v>969</v>
      </c>
      <c r="G741" s="58"/>
      <c r="H741" s="121">
        <v>2574500</v>
      </c>
      <c r="I741" s="24"/>
      <c r="J741" s="24">
        <f>SUM(H741)/1.05</f>
        <v>2451904.7619047617</v>
      </c>
      <c r="K741" s="24">
        <f t="shared" si="70"/>
        <v>2451904.7619047617</v>
      </c>
      <c r="L741" s="123"/>
      <c r="M741" s="24"/>
      <c r="N741" s="129">
        <f t="shared" si="71"/>
        <v>2451904.7619047617</v>
      </c>
      <c r="O741" s="108"/>
      <c r="P741" s="3"/>
      <c r="Q741" s="140"/>
      <c r="R741" s="3"/>
      <c r="S741" s="3"/>
      <c r="T741" s="3"/>
      <c r="U741" s="3"/>
      <c r="V741" s="3"/>
      <c r="W741" s="3"/>
      <c r="X741" s="3"/>
      <c r="Y741" s="131"/>
      <c r="Z741" s="15"/>
      <c r="AA741" s="99"/>
      <c r="AB741" s="149"/>
      <c r="AC741" s="134"/>
      <c r="AD741" s="134"/>
      <c r="AE741" s="137"/>
      <c r="AF741" s="150"/>
      <c r="AG741" s="137"/>
      <c r="AH741" s="137"/>
      <c r="AI741" s="3"/>
      <c r="AJ741" s="138"/>
      <c r="AK741" s="2"/>
      <c r="AL741" s="139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131"/>
      <c r="AX741" s="15"/>
      <c r="AY741" s="99"/>
      <c r="AZ741" s="149"/>
      <c r="BA741" s="134"/>
      <c r="BB741" s="134"/>
      <c r="BC741" s="137"/>
      <c r="BD741" s="150"/>
      <c r="BE741" s="137"/>
      <c r="BF741" s="137"/>
      <c r="BG741" s="3"/>
      <c r="BH741" s="138"/>
      <c r="BI741" s="2"/>
      <c r="BJ741" s="139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131"/>
      <c r="BV741" s="15"/>
      <c r="BW741" s="99"/>
      <c r="BX741" s="149"/>
      <c r="BY741" s="134"/>
      <c r="BZ741" s="134"/>
      <c r="CA741" s="137"/>
      <c r="CB741" s="150"/>
      <c r="CC741" s="137"/>
      <c r="CD741" s="137"/>
      <c r="CE741" s="3"/>
      <c r="CF741" s="138"/>
      <c r="CG741" s="2"/>
      <c r="CH741" s="139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131"/>
      <c r="CT741" s="15"/>
      <c r="CU741" s="99"/>
      <c r="CV741" s="149"/>
      <c r="CW741" s="134"/>
      <c r="CX741" s="134"/>
      <c r="CY741" s="137"/>
      <c r="CZ741" s="150"/>
      <c r="DA741" s="137"/>
      <c r="DB741" s="137"/>
      <c r="DC741" s="3"/>
      <c r="DD741" s="138"/>
      <c r="DE741" s="2"/>
      <c r="DF741" s="139"/>
      <c r="DG741" s="3"/>
      <c r="DH741" s="3"/>
      <c r="DI741" s="3"/>
      <c r="DJ741" s="3"/>
      <c r="DK741" s="3"/>
      <c r="DL741" s="3"/>
      <c r="DM741" s="3"/>
      <c r="DN741" s="3"/>
      <c r="DO741" s="3"/>
      <c r="DP741" s="3"/>
      <c r="DQ741" s="131"/>
      <c r="DR741" s="15"/>
      <c r="DS741" s="99"/>
      <c r="DT741" s="149"/>
      <c r="DU741" s="134"/>
      <c r="DV741" s="134"/>
      <c r="DW741" s="137"/>
      <c r="DX741" s="150"/>
      <c r="DY741" s="137"/>
      <c r="DZ741" s="137"/>
      <c r="EA741" s="3"/>
      <c r="EB741" s="138"/>
      <c r="EC741" s="2"/>
      <c r="ED741" s="139"/>
      <c r="EE741" s="3"/>
      <c r="EF741" s="3"/>
      <c r="EG741" s="3"/>
      <c r="EH741" s="3"/>
      <c r="EI741" s="3"/>
      <c r="EJ741" s="3"/>
      <c r="EK741" s="3"/>
      <c r="EL741" s="3"/>
      <c r="EM741" s="3"/>
      <c r="EN741" s="3"/>
      <c r="EO741" s="131"/>
      <c r="EP741" s="15"/>
      <c r="EQ741" s="99"/>
      <c r="ER741" s="149"/>
      <c r="ES741" s="134"/>
      <c r="ET741" s="134"/>
      <c r="EU741" s="137"/>
      <c r="EV741" s="150"/>
      <c r="EW741" s="137"/>
      <c r="EX741" s="137"/>
      <c r="EY741" s="3"/>
      <c r="EZ741" s="138"/>
      <c r="FA741" s="2"/>
      <c r="FB741" s="139"/>
      <c r="FC741" s="3"/>
      <c r="FD741" s="3"/>
      <c r="FE741" s="3"/>
      <c r="FF741" s="3"/>
      <c r="FG741" s="3"/>
      <c r="FH741" s="3"/>
      <c r="FI741" s="3"/>
      <c r="FJ741" s="3"/>
      <c r="FK741" s="3"/>
      <c r="FL741" s="3"/>
      <c r="FM741" s="131"/>
      <c r="FN741" s="15"/>
      <c r="FO741" s="99"/>
      <c r="FP741" s="149"/>
      <c r="FQ741" s="134"/>
      <c r="FR741" s="134"/>
      <c r="FS741" s="137"/>
      <c r="FT741" s="150"/>
      <c r="FU741" s="137"/>
      <c r="FV741" s="137"/>
      <c r="FW741" s="3"/>
      <c r="FX741" s="138"/>
      <c r="FY741" s="2"/>
      <c r="FZ741" s="139"/>
      <c r="GA741" s="3"/>
      <c r="GB741" s="3"/>
      <c r="GC741" s="3"/>
      <c r="GD741" s="3"/>
      <c r="GE741" s="3"/>
      <c r="GF741" s="3"/>
      <c r="GG741" s="3"/>
      <c r="GH741" s="3"/>
      <c r="GI741" s="3"/>
      <c r="GJ741" s="3"/>
      <c r="GK741" s="131"/>
      <c r="GL741" s="15"/>
      <c r="GM741" s="99"/>
      <c r="GN741" s="149"/>
      <c r="GO741" s="134"/>
      <c r="GP741" s="134"/>
      <c r="GQ741" s="137"/>
      <c r="GR741" s="150"/>
      <c r="GS741" s="137"/>
      <c r="GT741" s="137"/>
      <c r="GU741" s="3"/>
      <c r="GV741" s="138"/>
      <c r="GW741" s="2"/>
      <c r="GX741" s="139"/>
      <c r="GY741" s="3"/>
      <c r="GZ741" s="3"/>
      <c r="HA741" s="3"/>
      <c r="HB741" s="3"/>
      <c r="HC741" s="3"/>
      <c r="HD741" s="3"/>
      <c r="HE741" s="3"/>
      <c r="HF741" s="3"/>
      <c r="HG741" s="3"/>
      <c r="HH741" s="3"/>
      <c r="HI741" s="131"/>
      <c r="HJ741" s="15"/>
      <c r="HK741" s="99"/>
      <c r="HL741" s="149"/>
      <c r="HM741" s="134"/>
      <c r="HN741" s="134"/>
      <c r="HO741" s="137"/>
      <c r="HP741" s="150"/>
      <c r="HQ741" s="137"/>
      <c r="HR741" s="137"/>
      <c r="HS741" s="3"/>
      <c r="HT741" s="138"/>
      <c r="HU741" s="2"/>
      <c r="HV741" s="139"/>
      <c r="HW741" s="3"/>
      <c r="HX741" s="3"/>
      <c r="HY741" s="3"/>
      <c r="HZ741" s="3"/>
      <c r="IA741" s="3"/>
      <c r="IB741" s="3"/>
      <c r="IC741" s="3"/>
      <c r="ID741" s="3"/>
      <c r="IE741" s="3"/>
      <c r="IF741" s="3"/>
      <c r="IG741" s="131"/>
      <c r="IH741" s="15"/>
      <c r="II741" s="99"/>
      <c r="IJ741" s="149"/>
      <c r="IK741" s="134"/>
      <c r="IL741" s="134"/>
      <c r="IM741" s="137"/>
      <c r="IN741" s="150"/>
      <c r="IO741" s="137"/>
      <c r="IP741" s="137"/>
      <c r="IQ741" s="3"/>
      <c r="IR741" s="138"/>
      <c r="IS741" s="2"/>
      <c r="IT741" s="139"/>
      <c r="IU741" s="3"/>
      <c r="IV741" s="3"/>
    </row>
    <row r="742" spans="1:256" s="125" customFormat="1">
      <c r="A742" s="86">
        <v>21</v>
      </c>
      <c r="B742" s="60"/>
      <c r="C742" s="18"/>
      <c r="D742" s="19" t="s">
        <v>841</v>
      </c>
      <c r="E742" s="20" t="s">
        <v>479</v>
      </c>
      <c r="F742" s="82" t="s">
        <v>970</v>
      </c>
      <c r="G742" s="58"/>
      <c r="H742" s="121"/>
      <c r="I742" s="24">
        <v>2216000</v>
      </c>
      <c r="J742" s="24"/>
      <c r="K742" s="199">
        <f t="shared" si="70"/>
        <v>2216000</v>
      </c>
      <c r="L742" s="26"/>
      <c r="M742" s="24"/>
      <c r="N742" s="129">
        <f t="shared" si="71"/>
        <v>2216000</v>
      </c>
      <c r="O742" s="108"/>
      <c r="P742" s="3"/>
      <c r="Q742" s="140"/>
      <c r="R742" s="3"/>
      <c r="S742" s="3"/>
      <c r="T742" s="3"/>
      <c r="U742" s="3"/>
      <c r="V742" s="3"/>
      <c r="W742" s="3"/>
      <c r="X742" s="3"/>
      <c r="Y742" s="131"/>
      <c r="Z742" s="15"/>
      <c r="AA742" s="99"/>
      <c r="AB742" s="149"/>
      <c r="AC742" s="134"/>
      <c r="AD742" s="134"/>
      <c r="AE742" s="137"/>
      <c r="AF742" s="150"/>
      <c r="AG742" s="137"/>
      <c r="AH742" s="137"/>
      <c r="AI742" s="3"/>
      <c r="AJ742" s="138"/>
      <c r="AK742" s="2"/>
      <c r="AL742" s="139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131"/>
      <c r="AX742" s="15"/>
      <c r="AY742" s="99"/>
      <c r="AZ742" s="149"/>
      <c r="BA742" s="134"/>
      <c r="BB742" s="134"/>
      <c r="BC742" s="137"/>
      <c r="BD742" s="150"/>
      <c r="BE742" s="137"/>
      <c r="BF742" s="137"/>
      <c r="BG742" s="3"/>
      <c r="BH742" s="138"/>
      <c r="BI742" s="2"/>
      <c r="BJ742" s="139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131"/>
      <c r="BV742" s="15"/>
      <c r="BW742" s="99"/>
      <c r="BX742" s="149"/>
      <c r="BY742" s="134"/>
      <c r="BZ742" s="134"/>
      <c r="CA742" s="137"/>
      <c r="CB742" s="150"/>
      <c r="CC742" s="137"/>
      <c r="CD742" s="137"/>
      <c r="CE742" s="3"/>
      <c r="CF742" s="138"/>
      <c r="CG742" s="2"/>
      <c r="CH742" s="139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131"/>
      <c r="CT742" s="15"/>
      <c r="CU742" s="99"/>
      <c r="CV742" s="149"/>
      <c r="CW742" s="134"/>
      <c r="CX742" s="134"/>
      <c r="CY742" s="137"/>
      <c r="CZ742" s="150"/>
      <c r="DA742" s="137"/>
      <c r="DB742" s="137"/>
      <c r="DC742" s="3"/>
      <c r="DD742" s="138"/>
      <c r="DE742" s="2"/>
      <c r="DF742" s="139"/>
      <c r="DG742" s="3"/>
      <c r="DH742" s="3"/>
      <c r="DI742" s="3"/>
      <c r="DJ742" s="3"/>
      <c r="DK742" s="3"/>
      <c r="DL742" s="3"/>
      <c r="DM742" s="3"/>
      <c r="DN742" s="3"/>
      <c r="DO742" s="3"/>
      <c r="DP742" s="3"/>
      <c r="DQ742" s="131"/>
      <c r="DR742" s="15"/>
      <c r="DS742" s="99"/>
      <c r="DT742" s="149"/>
      <c r="DU742" s="134"/>
      <c r="DV742" s="134"/>
      <c r="DW742" s="137"/>
      <c r="DX742" s="150"/>
      <c r="DY742" s="137"/>
      <c r="DZ742" s="137"/>
      <c r="EA742" s="3"/>
      <c r="EB742" s="138"/>
      <c r="EC742" s="2"/>
      <c r="ED742" s="139"/>
      <c r="EE742" s="3"/>
      <c r="EF742" s="3"/>
      <c r="EG742" s="3"/>
      <c r="EH742" s="3"/>
      <c r="EI742" s="3"/>
      <c r="EJ742" s="3"/>
      <c r="EK742" s="3"/>
      <c r="EL742" s="3"/>
      <c r="EM742" s="3"/>
      <c r="EN742" s="3"/>
      <c r="EO742" s="131"/>
      <c r="EP742" s="15"/>
      <c r="EQ742" s="99"/>
      <c r="ER742" s="149"/>
      <c r="ES742" s="134"/>
      <c r="ET742" s="134"/>
      <c r="EU742" s="137"/>
      <c r="EV742" s="150"/>
      <c r="EW742" s="137"/>
      <c r="EX742" s="137"/>
      <c r="EY742" s="3"/>
      <c r="EZ742" s="138"/>
      <c r="FA742" s="2"/>
      <c r="FB742" s="139"/>
      <c r="FC742" s="3"/>
      <c r="FD742" s="3"/>
      <c r="FE742" s="3"/>
      <c r="FF742" s="3"/>
      <c r="FG742" s="3"/>
      <c r="FH742" s="3"/>
      <c r="FI742" s="3"/>
      <c r="FJ742" s="3"/>
      <c r="FK742" s="3"/>
      <c r="FL742" s="3"/>
      <c r="FM742" s="131"/>
      <c r="FN742" s="15"/>
      <c r="FO742" s="99"/>
      <c r="FP742" s="149"/>
      <c r="FQ742" s="134"/>
      <c r="FR742" s="134"/>
      <c r="FS742" s="137"/>
      <c r="FT742" s="150"/>
      <c r="FU742" s="137"/>
      <c r="FV742" s="137"/>
      <c r="FW742" s="3"/>
      <c r="FX742" s="138"/>
      <c r="FY742" s="2"/>
      <c r="FZ742" s="139"/>
      <c r="GA742" s="3"/>
      <c r="GB742" s="3"/>
      <c r="GC742" s="3"/>
      <c r="GD742" s="3"/>
      <c r="GE742" s="3"/>
      <c r="GF742" s="3"/>
      <c r="GG742" s="3"/>
      <c r="GH742" s="3"/>
      <c r="GI742" s="3"/>
      <c r="GJ742" s="3"/>
      <c r="GK742" s="131"/>
      <c r="GL742" s="15"/>
      <c r="GM742" s="99"/>
      <c r="GN742" s="149"/>
      <c r="GO742" s="134"/>
      <c r="GP742" s="134"/>
      <c r="GQ742" s="137"/>
      <c r="GR742" s="150"/>
      <c r="GS742" s="137"/>
      <c r="GT742" s="137"/>
      <c r="GU742" s="3"/>
      <c r="GV742" s="138"/>
      <c r="GW742" s="2"/>
      <c r="GX742" s="139"/>
      <c r="GY742" s="3"/>
      <c r="GZ742" s="3"/>
      <c r="HA742" s="3"/>
      <c r="HB742" s="3"/>
      <c r="HC742" s="3"/>
      <c r="HD742" s="3"/>
      <c r="HE742" s="3"/>
      <c r="HF742" s="3"/>
      <c r="HG742" s="3"/>
      <c r="HH742" s="3"/>
      <c r="HI742" s="131"/>
      <c r="HJ742" s="15"/>
      <c r="HK742" s="99"/>
      <c r="HL742" s="149"/>
      <c r="HM742" s="134"/>
      <c r="HN742" s="134"/>
      <c r="HO742" s="137"/>
      <c r="HP742" s="150"/>
      <c r="HQ742" s="137"/>
      <c r="HR742" s="137"/>
      <c r="HS742" s="3"/>
      <c r="HT742" s="138"/>
      <c r="HU742" s="2"/>
      <c r="HV742" s="139"/>
      <c r="HW742" s="3"/>
      <c r="HX742" s="3"/>
      <c r="HY742" s="3"/>
      <c r="HZ742" s="3"/>
      <c r="IA742" s="3"/>
      <c r="IB742" s="3"/>
      <c r="IC742" s="3"/>
      <c r="ID742" s="3"/>
      <c r="IE742" s="3"/>
      <c r="IF742" s="3"/>
      <c r="IG742" s="131"/>
      <c r="IH742" s="15"/>
      <c r="II742" s="99"/>
      <c r="IJ742" s="149"/>
      <c r="IK742" s="134"/>
      <c r="IL742" s="134"/>
      <c r="IM742" s="137"/>
      <c r="IN742" s="150"/>
      <c r="IO742" s="137"/>
      <c r="IP742" s="137"/>
      <c r="IQ742" s="3"/>
      <c r="IR742" s="138"/>
      <c r="IS742" s="2"/>
      <c r="IT742" s="139"/>
      <c r="IU742" s="3"/>
      <c r="IV742" s="3"/>
    </row>
    <row r="743" spans="1:256" s="125" customFormat="1">
      <c r="A743" s="86">
        <v>22</v>
      </c>
      <c r="B743" s="60"/>
      <c r="C743" s="18"/>
      <c r="D743" s="19" t="s">
        <v>841</v>
      </c>
      <c r="E743" s="20" t="s">
        <v>479</v>
      </c>
      <c r="F743" s="82" t="s">
        <v>971</v>
      </c>
      <c r="G743" s="58"/>
      <c r="H743" s="121"/>
      <c r="I743" s="24">
        <v>2216000</v>
      </c>
      <c r="J743" s="24"/>
      <c r="K743" s="199">
        <f t="shared" si="70"/>
        <v>2216000</v>
      </c>
      <c r="L743" s="26"/>
      <c r="M743" s="24"/>
      <c r="N743" s="129">
        <f t="shared" si="71"/>
        <v>2216000</v>
      </c>
      <c r="O743" s="108"/>
      <c r="P743" s="3"/>
      <c r="Q743" s="140"/>
      <c r="R743" s="3"/>
      <c r="S743" s="3"/>
      <c r="T743" s="3"/>
      <c r="U743" s="3"/>
      <c r="V743" s="3"/>
      <c r="W743" s="3"/>
      <c r="X743" s="3"/>
      <c r="Y743" s="131"/>
      <c r="Z743" s="15"/>
      <c r="AA743" s="99"/>
      <c r="AB743" s="149"/>
      <c r="AC743" s="134"/>
      <c r="AD743" s="134"/>
      <c r="AE743" s="137"/>
      <c r="AF743" s="150"/>
      <c r="AG743" s="137"/>
      <c r="AH743" s="137"/>
      <c r="AI743" s="3"/>
      <c r="AJ743" s="138"/>
      <c r="AK743" s="2"/>
      <c r="AL743" s="139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131"/>
      <c r="AX743" s="15"/>
      <c r="AY743" s="99"/>
      <c r="AZ743" s="149"/>
      <c r="BA743" s="134"/>
      <c r="BB743" s="134"/>
      <c r="BC743" s="137"/>
      <c r="BD743" s="150"/>
      <c r="BE743" s="137"/>
      <c r="BF743" s="137"/>
      <c r="BG743" s="3"/>
      <c r="BH743" s="138"/>
      <c r="BI743" s="2"/>
      <c r="BJ743" s="139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131"/>
      <c r="BV743" s="15"/>
      <c r="BW743" s="99"/>
      <c r="BX743" s="149"/>
      <c r="BY743" s="134"/>
      <c r="BZ743" s="134"/>
      <c r="CA743" s="137"/>
      <c r="CB743" s="150"/>
      <c r="CC743" s="137"/>
      <c r="CD743" s="137"/>
      <c r="CE743" s="3"/>
      <c r="CF743" s="138"/>
      <c r="CG743" s="2"/>
      <c r="CH743" s="139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131"/>
      <c r="CT743" s="15"/>
      <c r="CU743" s="99"/>
      <c r="CV743" s="149"/>
      <c r="CW743" s="134"/>
      <c r="CX743" s="134"/>
      <c r="CY743" s="137"/>
      <c r="CZ743" s="150"/>
      <c r="DA743" s="137"/>
      <c r="DB743" s="137"/>
      <c r="DC743" s="3"/>
      <c r="DD743" s="138"/>
      <c r="DE743" s="2"/>
      <c r="DF743" s="139"/>
      <c r="DG743" s="3"/>
      <c r="DH743" s="3"/>
      <c r="DI743" s="3"/>
      <c r="DJ743" s="3"/>
      <c r="DK743" s="3"/>
      <c r="DL743" s="3"/>
      <c r="DM743" s="3"/>
      <c r="DN743" s="3"/>
      <c r="DO743" s="3"/>
      <c r="DP743" s="3"/>
      <c r="DQ743" s="131"/>
      <c r="DR743" s="15"/>
      <c r="DS743" s="99"/>
      <c r="DT743" s="149"/>
      <c r="DU743" s="134"/>
      <c r="DV743" s="134"/>
      <c r="DW743" s="137"/>
      <c r="DX743" s="150"/>
      <c r="DY743" s="137"/>
      <c r="DZ743" s="137"/>
      <c r="EA743" s="3"/>
      <c r="EB743" s="138"/>
      <c r="EC743" s="2"/>
      <c r="ED743" s="139"/>
      <c r="EE743" s="3"/>
      <c r="EF743" s="3"/>
      <c r="EG743" s="3"/>
      <c r="EH743" s="3"/>
      <c r="EI743" s="3"/>
      <c r="EJ743" s="3"/>
      <c r="EK743" s="3"/>
      <c r="EL743" s="3"/>
      <c r="EM743" s="3"/>
      <c r="EN743" s="3"/>
      <c r="EO743" s="131"/>
      <c r="EP743" s="15"/>
      <c r="EQ743" s="99"/>
      <c r="ER743" s="149"/>
      <c r="ES743" s="134"/>
      <c r="ET743" s="134"/>
      <c r="EU743" s="137"/>
      <c r="EV743" s="150"/>
      <c r="EW743" s="137"/>
      <c r="EX743" s="137"/>
      <c r="EY743" s="3"/>
      <c r="EZ743" s="138"/>
      <c r="FA743" s="2"/>
      <c r="FB743" s="139"/>
      <c r="FC743" s="3"/>
      <c r="FD743" s="3"/>
      <c r="FE743" s="3"/>
      <c r="FF743" s="3"/>
      <c r="FG743" s="3"/>
      <c r="FH743" s="3"/>
      <c r="FI743" s="3"/>
      <c r="FJ743" s="3"/>
      <c r="FK743" s="3"/>
      <c r="FL743" s="3"/>
      <c r="FM743" s="131"/>
      <c r="FN743" s="15"/>
      <c r="FO743" s="99"/>
      <c r="FP743" s="149"/>
      <c r="FQ743" s="134"/>
      <c r="FR743" s="134"/>
      <c r="FS743" s="137"/>
      <c r="FT743" s="150"/>
      <c r="FU743" s="137"/>
      <c r="FV743" s="137"/>
      <c r="FW743" s="3"/>
      <c r="FX743" s="138"/>
      <c r="FY743" s="2"/>
      <c r="FZ743" s="139"/>
      <c r="GA743" s="3"/>
      <c r="GB743" s="3"/>
      <c r="GC743" s="3"/>
      <c r="GD743" s="3"/>
      <c r="GE743" s="3"/>
      <c r="GF743" s="3"/>
      <c r="GG743" s="3"/>
      <c r="GH743" s="3"/>
      <c r="GI743" s="3"/>
      <c r="GJ743" s="3"/>
      <c r="GK743" s="131"/>
      <c r="GL743" s="15"/>
      <c r="GM743" s="99"/>
      <c r="GN743" s="149"/>
      <c r="GO743" s="134"/>
      <c r="GP743" s="134"/>
      <c r="GQ743" s="137"/>
      <c r="GR743" s="150"/>
      <c r="GS743" s="137"/>
      <c r="GT743" s="137"/>
      <c r="GU743" s="3"/>
      <c r="GV743" s="138"/>
      <c r="GW743" s="2"/>
      <c r="GX743" s="139"/>
      <c r="GY743" s="3"/>
      <c r="GZ743" s="3"/>
      <c r="HA743" s="3"/>
      <c r="HB743" s="3"/>
      <c r="HC743" s="3"/>
      <c r="HD743" s="3"/>
      <c r="HE743" s="3"/>
      <c r="HF743" s="3"/>
      <c r="HG743" s="3"/>
      <c r="HH743" s="3"/>
      <c r="HI743" s="131"/>
      <c r="HJ743" s="15"/>
      <c r="HK743" s="99"/>
      <c r="HL743" s="149"/>
      <c r="HM743" s="134"/>
      <c r="HN743" s="134"/>
      <c r="HO743" s="137"/>
      <c r="HP743" s="150"/>
      <c r="HQ743" s="137"/>
      <c r="HR743" s="137"/>
      <c r="HS743" s="3"/>
      <c r="HT743" s="138"/>
      <c r="HU743" s="2"/>
      <c r="HV743" s="139"/>
      <c r="HW743" s="3"/>
      <c r="HX743" s="3"/>
      <c r="HY743" s="3"/>
      <c r="HZ743" s="3"/>
      <c r="IA743" s="3"/>
      <c r="IB743" s="3"/>
      <c r="IC743" s="3"/>
      <c r="ID743" s="3"/>
      <c r="IE743" s="3"/>
      <c r="IF743" s="3"/>
      <c r="IG743" s="131"/>
      <c r="IH743" s="15"/>
      <c r="II743" s="99"/>
      <c r="IJ743" s="149"/>
      <c r="IK743" s="134"/>
      <c r="IL743" s="134"/>
      <c r="IM743" s="137"/>
      <c r="IN743" s="150"/>
      <c r="IO743" s="137"/>
      <c r="IP743" s="137"/>
      <c r="IQ743" s="3"/>
      <c r="IR743" s="138"/>
      <c r="IS743" s="2"/>
      <c r="IT743" s="139"/>
      <c r="IU743" s="3"/>
      <c r="IV743" s="3"/>
    </row>
    <row r="744" spans="1:256" s="125" customFormat="1">
      <c r="A744" s="86">
        <v>23</v>
      </c>
      <c r="B744" s="56"/>
      <c r="C744" s="18"/>
      <c r="D744" s="19" t="s">
        <v>841</v>
      </c>
      <c r="E744" s="20" t="s">
        <v>480</v>
      </c>
      <c r="F744" s="120" t="s">
        <v>972</v>
      </c>
      <c r="G744" s="63"/>
      <c r="H744" s="121">
        <v>2698000</v>
      </c>
      <c r="I744" s="24"/>
      <c r="J744" s="24">
        <f>SUM(H744)/1.05</f>
        <v>2569523.8095238092</v>
      </c>
      <c r="K744" s="24">
        <f t="shared" si="70"/>
        <v>2569523.8095238092</v>
      </c>
      <c r="L744" s="123"/>
      <c r="M744" s="24"/>
      <c r="N744" s="129">
        <f t="shared" si="71"/>
        <v>2569523.8095238092</v>
      </c>
      <c r="O744" s="108"/>
      <c r="P744" s="3"/>
      <c r="Q744" s="140"/>
      <c r="R744" s="3"/>
      <c r="S744" s="3"/>
      <c r="T744" s="3"/>
      <c r="U744" s="3"/>
      <c r="V744" s="3"/>
      <c r="W744" s="3"/>
      <c r="X744" s="3"/>
      <c r="Y744" s="131"/>
      <c r="Z744" s="15"/>
      <c r="AA744" s="99"/>
      <c r="AB744" s="149"/>
      <c r="AC744" s="134"/>
      <c r="AD744" s="134"/>
      <c r="AE744" s="137"/>
      <c r="AF744" s="150"/>
      <c r="AG744" s="137"/>
      <c r="AH744" s="137"/>
      <c r="AI744" s="3"/>
      <c r="AJ744" s="138"/>
      <c r="AK744" s="2"/>
      <c r="AL744" s="139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131"/>
      <c r="AX744" s="15"/>
      <c r="AY744" s="99"/>
      <c r="AZ744" s="149"/>
      <c r="BA744" s="134"/>
      <c r="BB744" s="134"/>
      <c r="BC744" s="137"/>
      <c r="BD744" s="150"/>
      <c r="BE744" s="137"/>
      <c r="BF744" s="137"/>
      <c r="BG744" s="3"/>
      <c r="BH744" s="138"/>
      <c r="BI744" s="2"/>
      <c r="BJ744" s="139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131"/>
      <c r="BV744" s="15"/>
      <c r="BW744" s="99"/>
      <c r="BX744" s="149"/>
      <c r="BY744" s="134"/>
      <c r="BZ744" s="134"/>
      <c r="CA744" s="137"/>
      <c r="CB744" s="150"/>
      <c r="CC744" s="137"/>
      <c r="CD744" s="137"/>
      <c r="CE744" s="3"/>
      <c r="CF744" s="138"/>
      <c r="CG744" s="2"/>
      <c r="CH744" s="139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131"/>
      <c r="CT744" s="15"/>
      <c r="CU744" s="99"/>
      <c r="CV744" s="149"/>
      <c r="CW744" s="134"/>
      <c r="CX744" s="134"/>
      <c r="CY744" s="137"/>
      <c r="CZ744" s="150"/>
      <c r="DA744" s="137"/>
      <c r="DB744" s="137"/>
      <c r="DC744" s="3"/>
      <c r="DD744" s="138"/>
      <c r="DE744" s="2"/>
      <c r="DF744" s="139"/>
      <c r="DG744" s="3"/>
      <c r="DH744" s="3"/>
      <c r="DI744" s="3"/>
      <c r="DJ744" s="3"/>
      <c r="DK744" s="3"/>
      <c r="DL744" s="3"/>
      <c r="DM744" s="3"/>
      <c r="DN744" s="3"/>
      <c r="DO744" s="3"/>
      <c r="DP744" s="3"/>
      <c r="DQ744" s="131"/>
      <c r="DR744" s="15"/>
      <c r="DS744" s="99"/>
      <c r="DT744" s="149"/>
      <c r="DU744" s="134"/>
      <c r="DV744" s="134"/>
      <c r="DW744" s="137"/>
      <c r="DX744" s="150"/>
      <c r="DY744" s="137"/>
      <c r="DZ744" s="137"/>
      <c r="EA744" s="3"/>
      <c r="EB744" s="138"/>
      <c r="EC744" s="2"/>
      <c r="ED744" s="139"/>
      <c r="EE744" s="3"/>
      <c r="EF744" s="3"/>
      <c r="EG744" s="3"/>
      <c r="EH744" s="3"/>
      <c r="EI744" s="3"/>
      <c r="EJ744" s="3"/>
      <c r="EK744" s="3"/>
      <c r="EL744" s="3"/>
      <c r="EM744" s="3"/>
      <c r="EN744" s="3"/>
      <c r="EO744" s="131"/>
      <c r="EP744" s="15"/>
      <c r="EQ744" s="99"/>
      <c r="ER744" s="149"/>
      <c r="ES744" s="134"/>
      <c r="ET744" s="134"/>
      <c r="EU744" s="137"/>
      <c r="EV744" s="150"/>
      <c r="EW744" s="137"/>
      <c r="EX744" s="137"/>
      <c r="EY744" s="3"/>
      <c r="EZ744" s="138"/>
      <c r="FA744" s="2"/>
      <c r="FB744" s="139"/>
      <c r="FC744" s="3"/>
      <c r="FD744" s="3"/>
      <c r="FE744" s="3"/>
      <c r="FF744" s="3"/>
      <c r="FG744" s="3"/>
      <c r="FH744" s="3"/>
      <c r="FI744" s="3"/>
      <c r="FJ744" s="3"/>
      <c r="FK744" s="3"/>
      <c r="FL744" s="3"/>
      <c r="FM744" s="131"/>
      <c r="FN744" s="15"/>
      <c r="FO744" s="99"/>
      <c r="FP744" s="149"/>
      <c r="FQ744" s="134"/>
      <c r="FR744" s="134"/>
      <c r="FS744" s="137"/>
      <c r="FT744" s="150"/>
      <c r="FU744" s="137"/>
      <c r="FV744" s="137"/>
      <c r="FW744" s="3"/>
      <c r="FX744" s="138"/>
      <c r="FY744" s="2"/>
      <c r="FZ744" s="139"/>
      <c r="GA744" s="3"/>
      <c r="GB744" s="3"/>
      <c r="GC744" s="3"/>
      <c r="GD744" s="3"/>
      <c r="GE744" s="3"/>
      <c r="GF744" s="3"/>
      <c r="GG744" s="3"/>
      <c r="GH744" s="3"/>
      <c r="GI744" s="3"/>
      <c r="GJ744" s="3"/>
      <c r="GK744" s="131"/>
      <c r="GL744" s="15"/>
      <c r="GM744" s="99"/>
      <c r="GN744" s="149"/>
      <c r="GO744" s="134"/>
      <c r="GP744" s="134"/>
      <c r="GQ744" s="137"/>
      <c r="GR744" s="150"/>
      <c r="GS744" s="137"/>
      <c r="GT744" s="137"/>
      <c r="GU744" s="3"/>
      <c r="GV744" s="138"/>
      <c r="GW744" s="2"/>
      <c r="GX744" s="139"/>
      <c r="GY744" s="3"/>
      <c r="GZ744" s="3"/>
      <c r="HA744" s="3"/>
      <c r="HB744" s="3"/>
      <c r="HC744" s="3"/>
      <c r="HD744" s="3"/>
      <c r="HE744" s="3"/>
      <c r="HF744" s="3"/>
      <c r="HG744" s="3"/>
      <c r="HH744" s="3"/>
      <c r="HI744" s="131"/>
      <c r="HJ744" s="15"/>
      <c r="HK744" s="99"/>
      <c r="HL744" s="149"/>
      <c r="HM744" s="134"/>
      <c r="HN744" s="134"/>
      <c r="HO744" s="137"/>
      <c r="HP744" s="150"/>
      <c r="HQ744" s="137"/>
      <c r="HR744" s="137"/>
      <c r="HS744" s="3"/>
      <c r="HT744" s="138"/>
      <c r="HU744" s="2"/>
      <c r="HV744" s="139"/>
      <c r="HW744" s="3"/>
      <c r="HX744" s="3"/>
      <c r="HY744" s="3"/>
      <c r="HZ744" s="3"/>
      <c r="IA744" s="3"/>
      <c r="IB744" s="3"/>
      <c r="IC744" s="3"/>
      <c r="ID744" s="3"/>
      <c r="IE744" s="3"/>
      <c r="IF744" s="3"/>
      <c r="IG744" s="131"/>
      <c r="IH744" s="15"/>
      <c r="II744" s="99"/>
      <c r="IJ744" s="149"/>
      <c r="IK744" s="134"/>
      <c r="IL744" s="134"/>
      <c r="IM744" s="137"/>
      <c r="IN744" s="150"/>
      <c r="IO744" s="137"/>
      <c r="IP744" s="137"/>
      <c r="IQ744" s="3"/>
      <c r="IR744" s="138"/>
      <c r="IS744" s="2"/>
      <c r="IT744" s="139"/>
      <c r="IU744" s="3"/>
      <c r="IV744" s="3"/>
    </row>
    <row r="745" spans="1:256" s="125" customFormat="1">
      <c r="A745" s="86">
        <v>2</v>
      </c>
      <c r="B745" s="56"/>
      <c r="C745" s="18"/>
      <c r="D745" s="19" t="s">
        <v>841</v>
      </c>
      <c r="E745" s="20" t="s">
        <v>973</v>
      </c>
      <c r="F745" s="62" t="s">
        <v>974</v>
      </c>
      <c r="G745" s="63"/>
      <c r="H745" s="121"/>
      <c r="I745" s="24">
        <v>2569524</v>
      </c>
      <c r="J745" s="24"/>
      <c r="K745" s="24">
        <f t="shared" si="70"/>
        <v>2569524</v>
      </c>
      <c r="L745" s="26"/>
      <c r="M745" s="24"/>
      <c r="N745" s="129">
        <f t="shared" si="71"/>
        <v>2569524</v>
      </c>
      <c r="O745" s="108"/>
      <c r="P745" s="3"/>
      <c r="Q745" s="140"/>
      <c r="R745" s="3"/>
      <c r="S745" s="3"/>
      <c r="T745" s="3"/>
      <c r="U745" s="3"/>
      <c r="V745" s="3"/>
      <c r="W745" s="3"/>
      <c r="X745" s="3"/>
      <c r="Y745" s="131"/>
      <c r="Z745" s="15"/>
      <c r="AA745" s="99"/>
      <c r="AB745" s="149"/>
      <c r="AC745" s="134"/>
      <c r="AD745" s="134"/>
      <c r="AE745" s="137"/>
      <c r="AF745" s="150"/>
      <c r="AG745" s="137"/>
      <c r="AH745" s="137"/>
      <c r="AI745" s="3"/>
      <c r="AJ745" s="138"/>
      <c r="AK745" s="2"/>
      <c r="AL745" s="139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131"/>
      <c r="AX745" s="15"/>
      <c r="AY745" s="99"/>
      <c r="AZ745" s="149"/>
      <c r="BA745" s="134"/>
      <c r="BB745" s="134"/>
      <c r="BC745" s="137"/>
      <c r="BD745" s="150"/>
      <c r="BE745" s="137"/>
      <c r="BF745" s="137"/>
      <c r="BG745" s="3"/>
      <c r="BH745" s="138"/>
      <c r="BI745" s="2"/>
      <c r="BJ745" s="139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131"/>
      <c r="BV745" s="15"/>
      <c r="BW745" s="99"/>
      <c r="BX745" s="149"/>
      <c r="BY745" s="134"/>
      <c r="BZ745" s="134"/>
      <c r="CA745" s="137"/>
      <c r="CB745" s="150"/>
      <c r="CC745" s="137"/>
      <c r="CD745" s="137"/>
      <c r="CE745" s="3"/>
      <c r="CF745" s="138"/>
      <c r="CG745" s="2"/>
      <c r="CH745" s="139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131"/>
      <c r="CT745" s="15"/>
      <c r="CU745" s="99"/>
      <c r="CV745" s="149"/>
      <c r="CW745" s="134"/>
      <c r="CX745" s="134"/>
      <c r="CY745" s="137"/>
      <c r="CZ745" s="150"/>
      <c r="DA745" s="137"/>
      <c r="DB745" s="137"/>
      <c r="DC745" s="3"/>
      <c r="DD745" s="138"/>
      <c r="DE745" s="2"/>
      <c r="DF745" s="139"/>
      <c r="DG745" s="3"/>
      <c r="DH745" s="3"/>
      <c r="DI745" s="3"/>
      <c r="DJ745" s="3"/>
      <c r="DK745" s="3"/>
      <c r="DL745" s="3"/>
      <c r="DM745" s="3"/>
      <c r="DN745" s="3"/>
      <c r="DO745" s="3"/>
      <c r="DP745" s="3"/>
      <c r="DQ745" s="131"/>
      <c r="DR745" s="15"/>
      <c r="DS745" s="99"/>
      <c r="DT745" s="149"/>
      <c r="DU745" s="134"/>
      <c r="DV745" s="134"/>
      <c r="DW745" s="137"/>
      <c r="DX745" s="150"/>
      <c r="DY745" s="137"/>
      <c r="DZ745" s="137"/>
      <c r="EA745" s="3"/>
      <c r="EB745" s="138"/>
      <c r="EC745" s="2"/>
      <c r="ED745" s="139"/>
      <c r="EE745" s="3"/>
      <c r="EF745" s="3"/>
      <c r="EG745" s="3"/>
      <c r="EH745" s="3"/>
      <c r="EI745" s="3"/>
      <c r="EJ745" s="3"/>
      <c r="EK745" s="3"/>
      <c r="EL745" s="3"/>
      <c r="EM745" s="3"/>
      <c r="EN745" s="3"/>
      <c r="EO745" s="131"/>
      <c r="EP745" s="15"/>
      <c r="EQ745" s="99"/>
      <c r="ER745" s="149"/>
      <c r="ES745" s="134"/>
      <c r="ET745" s="134"/>
      <c r="EU745" s="137"/>
      <c r="EV745" s="150"/>
      <c r="EW745" s="137"/>
      <c r="EX745" s="137"/>
      <c r="EY745" s="3"/>
      <c r="EZ745" s="138"/>
      <c r="FA745" s="2"/>
      <c r="FB745" s="139"/>
      <c r="FC745" s="3"/>
      <c r="FD745" s="3"/>
      <c r="FE745" s="3"/>
      <c r="FF745" s="3"/>
      <c r="FG745" s="3"/>
      <c r="FH745" s="3"/>
      <c r="FI745" s="3"/>
      <c r="FJ745" s="3"/>
      <c r="FK745" s="3"/>
      <c r="FL745" s="3"/>
      <c r="FM745" s="131"/>
      <c r="FN745" s="15"/>
      <c r="FO745" s="99"/>
      <c r="FP745" s="149"/>
      <c r="FQ745" s="134"/>
      <c r="FR745" s="134"/>
      <c r="FS745" s="137"/>
      <c r="FT745" s="150"/>
      <c r="FU745" s="137"/>
      <c r="FV745" s="137"/>
      <c r="FW745" s="3"/>
      <c r="FX745" s="138"/>
      <c r="FY745" s="2"/>
      <c r="FZ745" s="139"/>
      <c r="GA745" s="3"/>
      <c r="GB745" s="3"/>
      <c r="GC745" s="3"/>
      <c r="GD745" s="3"/>
      <c r="GE745" s="3"/>
      <c r="GF745" s="3"/>
      <c r="GG745" s="3"/>
      <c r="GH745" s="3"/>
      <c r="GI745" s="3"/>
      <c r="GJ745" s="3"/>
      <c r="GK745" s="131"/>
      <c r="GL745" s="15"/>
      <c r="GM745" s="99"/>
      <c r="GN745" s="149"/>
      <c r="GO745" s="134"/>
      <c r="GP745" s="134"/>
      <c r="GQ745" s="137"/>
      <c r="GR745" s="150"/>
      <c r="GS745" s="137"/>
      <c r="GT745" s="137"/>
      <c r="GU745" s="3"/>
      <c r="GV745" s="138"/>
      <c r="GW745" s="2"/>
      <c r="GX745" s="139"/>
      <c r="GY745" s="3"/>
      <c r="GZ745" s="3"/>
      <c r="HA745" s="3"/>
      <c r="HB745" s="3"/>
      <c r="HC745" s="3"/>
      <c r="HD745" s="3"/>
      <c r="HE745" s="3"/>
      <c r="HF745" s="3"/>
      <c r="HG745" s="3"/>
      <c r="HH745" s="3"/>
      <c r="HI745" s="131"/>
      <c r="HJ745" s="15"/>
      <c r="HK745" s="99"/>
      <c r="HL745" s="149"/>
      <c r="HM745" s="134"/>
      <c r="HN745" s="134"/>
      <c r="HO745" s="137"/>
      <c r="HP745" s="150"/>
      <c r="HQ745" s="137"/>
      <c r="HR745" s="137"/>
      <c r="HS745" s="3"/>
      <c r="HT745" s="138"/>
      <c r="HU745" s="2"/>
      <c r="HV745" s="139"/>
      <c r="HW745" s="3"/>
      <c r="HX745" s="3"/>
      <c r="HY745" s="3"/>
      <c r="HZ745" s="3"/>
      <c r="IA745" s="3"/>
      <c r="IB745" s="3"/>
      <c r="IC745" s="3"/>
      <c r="ID745" s="3"/>
      <c r="IE745" s="3"/>
      <c r="IF745" s="3"/>
      <c r="IG745" s="131"/>
      <c r="IH745" s="15"/>
      <c r="II745" s="99"/>
      <c r="IJ745" s="149"/>
      <c r="IK745" s="134"/>
      <c r="IL745" s="134"/>
      <c r="IM745" s="137"/>
      <c r="IN745" s="150"/>
      <c r="IO745" s="137"/>
      <c r="IP745" s="137"/>
      <c r="IQ745" s="3"/>
      <c r="IR745" s="138"/>
      <c r="IS745" s="2"/>
      <c r="IT745" s="139"/>
      <c r="IU745" s="3"/>
      <c r="IV745" s="3"/>
    </row>
    <row r="746" spans="1:256" s="125" customFormat="1">
      <c r="A746" s="86">
        <v>3</v>
      </c>
      <c r="B746" s="56">
        <v>43067</v>
      </c>
      <c r="C746" s="18"/>
      <c r="D746" s="19" t="s">
        <v>841</v>
      </c>
      <c r="E746" s="20" t="s">
        <v>480</v>
      </c>
      <c r="F746" s="24" t="s">
        <v>975</v>
      </c>
      <c r="G746" s="238">
        <v>1708</v>
      </c>
      <c r="H746" s="121">
        <v>2669500</v>
      </c>
      <c r="I746" s="24"/>
      <c r="J746" s="199">
        <f>SUM(H746)/1.05</f>
        <v>2542380.9523809524</v>
      </c>
      <c r="K746" s="24">
        <f t="shared" si="70"/>
        <v>2542380.9523809524</v>
      </c>
      <c r="L746" s="24"/>
      <c r="M746" s="24">
        <f>K746*L746</f>
        <v>0</v>
      </c>
      <c r="N746" s="129">
        <f t="shared" si="71"/>
        <v>2542380.9523809524</v>
      </c>
      <c r="O746" s="108" t="s">
        <v>900</v>
      </c>
      <c r="P746" s="3"/>
      <c r="Q746" s="140"/>
      <c r="R746" s="3"/>
      <c r="S746" s="3"/>
      <c r="T746" s="3"/>
      <c r="U746" s="3"/>
      <c r="V746" s="3"/>
      <c r="W746" s="3"/>
      <c r="X746" s="3"/>
      <c r="Y746" s="131"/>
      <c r="Z746" s="15"/>
      <c r="AA746" s="99"/>
      <c r="AB746" s="149"/>
      <c r="AC746" s="134"/>
      <c r="AD746" s="134"/>
      <c r="AE746" s="137"/>
      <c r="AF746" s="150"/>
      <c r="AG746" s="137"/>
      <c r="AH746" s="137"/>
      <c r="AI746" s="3"/>
      <c r="AJ746" s="138"/>
      <c r="AK746" s="2"/>
      <c r="AL746" s="139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131"/>
      <c r="AX746" s="15"/>
      <c r="AY746" s="99"/>
      <c r="AZ746" s="149"/>
      <c r="BA746" s="134"/>
      <c r="BB746" s="134"/>
      <c r="BC746" s="137"/>
      <c r="BD746" s="150"/>
      <c r="BE746" s="137"/>
      <c r="BF746" s="137"/>
      <c r="BG746" s="3"/>
      <c r="BH746" s="138"/>
      <c r="BI746" s="2"/>
      <c r="BJ746" s="139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131"/>
      <c r="BV746" s="15"/>
      <c r="BW746" s="99"/>
      <c r="BX746" s="149"/>
      <c r="BY746" s="134"/>
      <c r="BZ746" s="134"/>
      <c r="CA746" s="137"/>
      <c r="CB746" s="150"/>
      <c r="CC746" s="137"/>
      <c r="CD746" s="137"/>
      <c r="CE746" s="3"/>
      <c r="CF746" s="138"/>
      <c r="CG746" s="2"/>
      <c r="CH746" s="139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131"/>
      <c r="CT746" s="15"/>
      <c r="CU746" s="99"/>
      <c r="CV746" s="149"/>
      <c r="CW746" s="134"/>
      <c r="CX746" s="134"/>
      <c r="CY746" s="137"/>
      <c r="CZ746" s="150"/>
      <c r="DA746" s="137"/>
      <c r="DB746" s="137"/>
      <c r="DC746" s="3"/>
      <c r="DD746" s="138"/>
      <c r="DE746" s="2"/>
      <c r="DF746" s="139"/>
      <c r="DG746" s="3"/>
      <c r="DH746" s="3"/>
      <c r="DI746" s="3"/>
      <c r="DJ746" s="3"/>
      <c r="DK746" s="3"/>
      <c r="DL746" s="3"/>
      <c r="DM746" s="3"/>
      <c r="DN746" s="3"/>
      <c r="DO746" s="3"/>
      <c r="DP746" s="3"/>
      <c r="DQ746" s="131"/>
      <c r="DR746" s="15"/>
      <c r="DS746" s="99"/>
      <c r="DT746" s="149"/>
      <c r="DU746" s="134"/>
      <c r="DV746" s="134"/>
      <c r="DW746" s="137"/>
      <c r="DX746" s="150"/>
      <c r="DY746" s="137"/>
      <c r="DZ746" s="137"/>
      <c r="EA746" s="3"/>
      <c r="EB746" s="138"/>
      <c r="EC746" s="2"/>
      <c r="ED746" s="139"/>
      <c r="EE746" s="3"/>
      <c r="EF746" s="3"/>
      <c r="EG746" s="3"/>
      <c r="EH746" s="3"/>
      <c r="EI746" s="3"/>
      <c r="EJ746" s="3"/>
      <c r="EK746" s="3"/>
      <c r="EL746" s="3"/>
      <c r="EM746" s="3"/>
      <c r="EN746" s="3"/>
      <c r="EO746" s="131"/>
      <c r="EP746" s="15"/>
      <c r="EQ746" s="99"/>
      <c r="ER746" s="149"/>
      <c r="ES746" s="134"/>
      <c r="ET746" s="134"/>
      <c r="EU746" s="137"/>
      <c r="EV746" s="150"/>
      <c r="EW746" s="137"/>
      <c r="EX746" s="137"/>
      <c r="EY746" s="3"/>
      <c r="EZ746" s="138"/>
      <c r="FA746" s="2"/>
      <c r="FB746" s="139"/>
      <c r="FC746" s="3"/>
      <c r="FD746" s="3"/>
      <c r="FE746" s="3"/>
      <c r="FF746" s="3"/>
      <c r="FG746" s="3"/>
      <c r="FH746" s="3"/>
      <c r="FI746" s="3"/>
      <c r="FJ746" s="3"/>
      <c r="FK746" s="3"/>
      <c r="FL746" s="3"/>
      <c r="FM746" s="131"/>
      <c r="FN746" s="15"/>
      <c r="FO746" s="99"/>
      <c r="FP746" s="149"/>
      <c r="FQ746" s="134"/>
      <c r="FR746" s="134"/>
      <c r="FS746" s="137"/>
      <c r="FT746" s="150"/>
      <c r="FU746" s="137"/>
      <c r="FV746" s="137"/>
      <c r="FW746" s="3"/>
      <c r="FX746" s="138"/>
      <c r="FY746" s="2"/>
      <c r="FZ746" s="139"/>
      <c r="GA746" s="3"/>
      <c r="GB746" s="3"/>
      <c r="GC746" s="3"/>
      <c r="GD746" s="3"/>
      <c r="GE746" s="3"/>
      <c r="GF746" s="3"/>
      <c r="GG746" s="3"/>
      <c r="GH746" s="3"/>
      <c r="GI746" s="3"/>
      <c r="GJ746" s="3"/>
      <c r="GK746" s="131"/>
      <c r="GL746" s="15"/>
      <c r="GM746" s="99"/>
      <c r="GN746" s="149"/>
      <c r="GO746" s="134"/>
      <c r="GP746" s="134"/>
      <c r="GQ746" s="137"/>
      <c r="GR746" s="150"/>
      <c r="GS746" s="137"/>
      <c r="GT746" s="137"/>
      <c r="GU746" s="3"/>
      <c r="GV746" s="138"/>
      <c r="GW746" s="2"/>
      <c r="GX746" s="139"/>
      <c r="GY746" s="3"/>
      <c r="GZ746" s="3"/>
      <c r="HA746" s="3"/>
      <c r="HB746" s="3"/>
      <c r="HC746" s="3"/>
      <c r="HD746" s="3"/>
      <c r="HE746" s="3"/>
      <c r="HF746" s="3"/>
      <c r="HG746" s="3"/>
      <c r="HH746" s="3"/>
      <c r="HI746" s="131"/>
      <c r="HJ746" s="15"/>
      <c r="HK746" s="99"/>
      <c r="HL746" s="149"/>
      <c r="HM746" s="134"/>
      <c r="HN746" s="134"/>
      <c r="HO746" s="137"/>
      <c r="HP746" s="150"/>
      <c r="HQ746" s="137"/>
      <c r="HR746" s="137"/>
      <c r="HS746" s="3"/>
      <c r="HT746" s="138"/>
      <c r="HU746" s="2"/>
      <c r="HV746" s="139"/>
      <c r="HW746" s="3"/>
      <c r="HX746" s="3"/>
      <c r="HY746" s="3"/>
      <c r="HZ746" s="3"/>
      <c r="IA746" s="3"/>
      <c r="IB746" s="3"/>
      <c r="IC746" s="3"/>
      <c r="ID746" s="3"/>
      <c r="IE746" s="3"/>
      <c r="IF746" s="3"/>
      <c r="IG746" s="131"/>
      <c r="IH746" s="15"/>
      <c r="II746" s="99"/>
      <c r="IJ746" s="149"/>
      <c r="IK746" s="134"/>
      <c r="IL746" s="134"/>
      <c r="IM746" s="137"/>
      <c r="IN746" s="150"/>
      <c r="IO746" s="137"/>
      <c r="IP746" s="137"/>
      <c r="IQ746" s="3"/>
      <c r="IR746" s="138"/>
      <c r="IS746" s="2"/>
      <c r="IT746" s="139"/>
      <c r="IU746" s="3"/>
      <c r="IV746" s="3"/>
    </row>
    <row r="747" spans="1:256" s="125" customFormat="1">
      <c r="A747" s="86">
        <v>4</v>
      </c>
      <c r="B747" s="56">
        <v>43067</v>
      </c>
      <c r="C747" s="18"/>
      <c r="D747" s="19" t="s">
        <v>841</v>
      </c>
      <c r="E747" s="20" t="s">
        <v>480</v>
      </c>
      <c r="F747" s="24" t="s">
        <v>976</v>
      </c>
      <c r="G747" s="238">
        <v>1708</v>
      </c>
      <c r="H747" s="121">
        <v>2669500</v>
      </c>
      <c r="I747" s="24"/>
      <c r="J747" s="199">
        <f>SUM(H747)/1.05</f>
        <v>2542380.9523809524</v>
      </c>
      <c r="K747" s="24">
        <f t="shared" si="70"/>
        <v>2542380.9523809524</v>
      </c>
      <c r="L747" s="24"/>
      <c r="M747" s="24">
        <f>K747*L747</f>
        <v>0</v>
      </c>
      <c r="N747" s="129">
        <f t="shared" si="71"/>
        <v>2542380.9523809524</v>
      </c>
      <c r="O747" s="108" t="s">
        <v>900</v>
      </c>
      <c r="P747" s="3"/>
      <c r="Q747" s="140"/>
      <c r="R747" s="3"/>
      <c r="S747" s="3"/>
      <c r="T747" s="3"/>
      <c r="U747" s="3"/>
      <c r="V747" s="3"/>
      <c r="W747" s="3"/>
      <c r="X747" s="3"/>
      <c r="Y747" s="131"/>
      <c r="Z747" s="15"/>
      <c r="AA747" s="99"/>
      <c r="AB747" s="149"/>
      <c r="AC747" s="134"/>
      <c r="AD747" s="134"/>
      <c r="AE747" s="137"/>
      <c r="AF747" s="150"/>
      <c r="AG747" s="137"/>
      <c r="AH747" s="137"/>
      <c r="AI747" s="3"/>
      <c r="AJ747" s="138"/>
      <c r="AK747" s="2"/>
      <c r="AL747" s="139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131"/>
      <c r="AX747" s="15"/>
      <c r="AY747" s="99"/>
      <c r="AZ747" s="149"/>
      <c r="BA747" s="134"/>
      <c r="BB747" s="134"/>
      <c r="BC747" s="137"/>
      <c r="BD747" s="150"/>
      <c r="BE747" s="137"/>
      <c r="BF747" s="137"/>
      <c r="BG747" s="3"/>
      <c r="BH747" s="138"/>
      <c r="BI747" s="2"/>
      <c r="BJ747" s="139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131"/>
      <c r="BV747" s="15"/>
      <c r="BW747" s="99"/>
      <c r="BX747" s="149"/>
      <c r="BY747" s="134"/>
      <c r="BZ747" s="134"/>
      <c r="CA747" s="137"/>
      <c r="CB747" s="150"/>
      <c r="CC747" s="137"/>
      <c r="CD747" s="137"/>
      <c r="CE747" s="3"/>
      <c r="CF747" s="138"/>
      <c r="CG747" s="2"/>
      <c r="CH747" s="139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131"/>
      <c r="CT747" s="15"/>
      <c r="CU747" s="99"/>
      <c r="CV747" s="149"/>
      <c r="CW747" s="134"/>
      <c r="CX747" s="134"/>
      <c r="CY747" s="137"/>
      <c r="CZ747" s="150"/>
      <c r="DA747" s="137"/>
      <c r="DB747" s="137"/>
      <c r="DC747" s="3"/>
      <c r="DD747" s="138"/>
      <c r="DE747" s="2"/>
      <c r="DF747" s="139"/>
      <c r="DG747" s="3"/>
      <c r="DH747" s="3"/>
      <c r="DI747" s="3"/>
      <c r="DJ747" s="3"/>
      <c r="DK747" s="3"/>
      <c r="DL747" s="3"/>
      <c r="DM747" s="3"/>
      <c r="DN747" s="3"/>
      <c r="DO747" s="3"/>
      <c r="DP747" s="3"/>
      <c r="DQ747" s="131"/>
      <c r="DR747" s="15"/>
      <c r="DS747" s="99"/>
      <c r="DT747" s="149"/>
      <c r="DU747" s="134"/>
      <c r="DV747" s="134"/>
      <c r="DW747" s="137"/>
      <c r="DX747" s="150"/>
      <c r="DY747" s="137"/>
      <c r="DZ747" s="137"/>
      <c r="EA747" s="3"/>
      <c r="EB747" s="138"/>
      <c r="EC747" s="2"/>
      <c r="ED747" s="139"/>
      <c r="EE747" s="3"/>
      <c r="EF747" s="3"/>
      <c r="EG747" s="3"/>
      <c r="EH747" s="3"/>
      <c r="EI747" s="3"/>
      <c r="EJ747" s="3"/>
      <c r="EK747" s="3"/>
      <c r="EL747" s="3"/>
      <c r="EM747" s="3"/>
      <c r="EN747" s="3"/>
      <c r="EO747" s="131"/>
      <c r="EP747" s="15"/>
      <c r="EQ747" s="99"/>
      <c r="ER747" s="149"/>
      <c r="ES747" s="134"/>
      <c r="ET747" s="134"/>
      <c r="EU747" s="137"/>
      <c r="EV747" s="150"/>
      <c r="EW747" s="137"/>
      <c r="EX747" s="137"/>
      <c r="EY747" s="3"/>
      <c r="EZ747" s="138"/>
      <c r="FA747" s="2"/>
      <c r="FB747" s="139"/>
      <c r="FC747" s="3"/>
      <c r="FD747" s="3"/>
      <c r="FE747" s="3"/>
      <c r="FF747" s="3"/>
      <c r="FG747" s="3"/>
      <c r="FH747" s="3"/>
      <c r="FI747" s="3"/>
      <c r="FJ747" s="3"/>
      <c r="FK747" s="3"/>
      <c r="FL747" s="3"/>
      <c r="FM747" s="131"/>
      <c r="FN747" s="15"/>
      <c r="FO747" s="99"/>
      <c r="FP747" s="149"/>
      <c r="FQ747" s="134"/>
      <c r="FR747" s="134"/>
      <c r="FS747" s="137"/>
      <c r="FT747" s="150"/>
      <c r="FU747" s="137"/>
      <c r="FV747" s="137"/>
      <c r="FW747" s="3"/>
      <c r="FX747" s="138"/>
      <c r="FY747" s="2"/>
      <c r="FZ747" s="139"/>
      <c r="GA747" s="3"/>
      <c r="GB747" s="3"/>
      <c r="GC747" s="3"/>
      <c r="GD747" s="3"/>
      <c r="GE747" s="3"/>
      <c r="GF747" s="3"/>
      <c r="GG747" s="3"/>
      <c r="GH747" s="3"/>
      <c r="GI747" s="3"/>
      <c r="GJ747" s="3"/>
      <c r="GK747" s="131"/>
      <c r="GL747" s="15"/>
      <c r="GM747" s="99"/>
      <c r="GN747" s="149"/>
      <c r="GO747" s="134"/>
      <c r="GP747" s="134"/>
      <c r="GQ747" s="137"/>
      <c r="GR747" s="150"/>
      <c r="GS747" s="137"/>
      <c r="GT747" s="137"/>
      <c r="GU747" s="3"/>
      <c r="GV747" s="138"/>
      <c r="GW747" s="2"/>
      <c r="GX747" s="139"/>
      <c r="GY747" s="3"/>
      <c r="GZ747" s="3"/>
      <c r="HA747" s="3"/>
      <c r="HB747" s="3"/>
      <c r="HC747" s="3"/>
      <c r="HD747" s="3"/>
      <c r="HE747" s="3"/>
      <c r="HF747" s="3"/>
      <c r="HG747" s="3"/>
      <c r="HH747" s="3"/>
      <c r="HI747" s="131"/>
      <c r="HJ747" s="15"/>
      <c r="HK747" s="99"/>
      <c r="HL747" s="149"/>
      <c r="HM747" s="134"/>
      <c r="HN747" s="134"/>
      <c r="HO747" s="137"/>
      <c r="HP747" s="150"/>
      <c r="HQ747" s="137"/>
      <c r="HR747" s="137"/>
      <c r="HS747" s="3"/>
      <c r="HT747" s="138"/>
      <c r="HU747" s="2"/>
      <c r="HV747" s="139"/>
      <c r="HW747" s="3"/>
      <c r="HX747" s="3"/>
      <c r="HY747" s="3"/>
      <c r="HZ747" s="3"/>
      <c r="IA747" s="3"/>
      <c r="IB747" s="3"/>
      <c r="IC747" s="3"/>
      <c r="ID747" s="3"/>
      <c r="IE747" s="3"/>
      <c r="IF747" s="3"/>
      <c r="IG747" s="131"/>
      <c r="IH747" s="15"/>
      <c r="II747" s="99"/>
      <c r="IJ747" s="149"/>
      <c r="IK747" s="134"/>
      <c r="IL747" s="134"/>
      <c r="IM747" s="137"/>
      <c r="IN747" s="150"/>
      <c r="IO747" s="137"/>
      <c r="IP747" s="137"/>
      <c r="IQ747" s="3"/>
      <c r="IR747" s="138"/>
      <c r="IS747" s="2"/>
      <c r="IT747" s="139"/>
      <c r="IU747" s="3"/>
      <c r="IV747" s="3"/>
    </row>
    <row r="748" spans="1:256" s="125" customFormat="1">
      <c r="A748" s="86">
        <v>5</v>
      </c>
      <c r="B748" s="60"/>
      <c r="C748" s="18"/>
      <c r="D748" s="19" t="s">
        <v>841</v>
      </c>
      <c r="E748" s="20" t="s">
        <v>494</v>
      </c>
      <c r="F748" s="82" t="s">
        <v>977</v>
      </c>
      <c r="G748" s="58"/>
      <c r="H748" s="121"/>
      <c r="I748" s="24">
        <v>2880000</v>
      </c>
      <c r="J748" s="24"/>
      <c r="K748" s="24">
        <f t="shared" si="70"/>
        <v>2880000</v>
      </c>
      <c r="L748" s="123"/>
      <c r="M748" s="24"/>
      <c r="N748" s="129">
        <f t="shared" si="71"/>
        <v>2880000</v>
      </c>
      <c r="O748" s="108"/>
      <c r="P748" s="3"/>
      <c r="Q748" s="140"/>
      <c r="R748" s="3"/>
      <c r="S748" s="3"/>
      <c r="T748" s="3"/>
      <c r="U748" s="3"/>
      <c r="V748" s="3"/>
      <c r="W748" s="3"/>
      <c r="X748" s="3"/>
      <c r="Y748" s="131"/>
      <c r="Z748" s="15"/>
      <c r="AA748" s="99"/>
      <c r="AB748" s="149"/>
      <c r="AC748" s="134"/>
      <c r="AD748" s="134"/>
      <c r="AE748" s="137"/>
      <c r="AF748" s="150"/>
      <c r="AG748" s="137"/>
      <c r="AH748" s="137"/>
      <c r="AI748" s="3"/>
      <c r="AJ748" s="138"/>
      <c r="AK748" s="2"/>
      <c r="AL748" s="139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131"/>
      <c r="AX748" s="15"/>
      <c r="AY748" s="99"/>
      <c r="AZ748" s="149"/>
      <c r="BA748" s="134"/>
      <c r="BB748" s="134"/>
      <c r="BC748" s="137"/>
      <c r="BD748" s="150"/>
      <c r="BE748" s="137"/>
      <c r="BF748" s="137"/>
      <c r="BG748" s="3"/>
      <c r="BH748" s="138"/>
      <c r="BI748" s="2"/>
      <c r="BJ748" s="139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131"/>
      <c r="BV748" s="15"/>
      <c r="BW748" s="99"/>
      <c r="BX748" s="149"/>
      <c r="BY748" s="134"/>
      <c r="BZ748" s="134"/>
      <c r="CA748" s="137"/>
      <c r="CB748" s="150"/>
      <c r="CC748" s="137"/>
      <c r="CD748" s="137"/>
      <c r="CE748" s="3"/>
      <c r="CF748" s="138"/>
      <c r="CG748" s="2"/>
      <c r="CH748" s="139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131"/>
      <c r="CT748" s="15"/>
      <c r="CU748" s="99"/>
      <c r="CV748" s="149"/>
      <c r="CW748" s="134"/>
      <c r="CX748" s="134"/>
      <c r="CY748" s="137"/>
      <c r="CZ748" s="150"/>
      <c r="DA748" s="137"/>
      <c r="DB748" s="137"/>
      <c r="DC748" s="3"/>
      <c r="DD748" s="138"/>
      <c r="DE748" s="2"/>
      <c r="DF748" s="139"/>
      <c r="DG748" s="3"/>
      <c r="DH748" s="3"/>
      <c r="DI748" s="3"/>
      <c r="DJ748" s="3"/>
      <c r="DK748" s="3"/>
      <c r="DL748" s="3"/>
      <c r="DM748" s="3"/>
      <c r="DN748" s="3"/>
      <c r="DO748" s="3"/>
      <c r="DP748" s="3"/>
      <c r="DQ748" s="131"/>
      <c r="DR748" s="15"/>
      <c r="DS748" s="99"/>
      <c r="DT748" s="149"/>
      <c r="DU748" s="134"/>
      <c r="DV748" s="134"/>
      <c r="DW748" s="137"/>
      <c r="DX748" s="150"/>
      <c r="DY748" s="137"/>
      <c r="DZ748" s="137"/>
      <c r="EA748" s="3"/>
      <c r="EB748" s="138"/>
      <c r="EC748" s="2"/>
      <c r="ED748" s="139"/>
      <c r="EE748" s="3"/>
      <c r="EF748" s="3"/>
      <c r="EG748" s="3"/>
      <c r="EH748" s="3"/>
      <c r="EI748" s="3"/>
      <c r="EJ748" s="3"/>
      <c r="EK748" s="3"/>
      <c r="EL748" s="3"/>
      <c r="EM748" s="3"/>
      <c r="EN748" s="3"/>
      <c r="EO748" s="131"/>
      <c r="EP748" s="15"/>
      <c r="EQ748" s="99"/>
      <c r="ER748" s="149"/>
      <c r="ES748" s="134"/>
      <c r="ET748" s="134"/>
      <c r="EU748" s="137"/>
      <c r="EV748" s="150"/>
      <c r="EW748" s="137"/>
      <c r="EX748" s="137"/>
      <c r="EY748" s="3"/>
      <c r="EZ748" s="138"/>
      <c r="FA748" s="2"/>
      <c r="FB748" s="139"/>
      <c r="FC748" s="3"/>
      <c r="FD748" s="3"/>
      <c r="FE748" s="3"/>
      <c r="FF748" s="3"/>
      <c r="FG748" s="3"/>
      <c r="FH748" s="3"/>
      <c r="FI748" s="3"/>
      <c r="FJ748" s="3"/>
      <c r="FK748" s="3"/>
      <c r="FL748" s="3"/>
      <c r="FM748" s="131"/>
      <c r="FN748" s="15"/>
      <c r="FO748" s="99"/>
      <c r="FP748" s="149"/>
      <c r="FQ748" s="134"/>
      <c r="FR748" s="134"/>
      <c r="FS748" s="137"/>
      <c r="FT748" s="150"/>
      <c r="FU748" s="137"/>
      <c r="FV748" s="137"/>
      <c r="FW748" s="3"/>
      <c r="FX748" s="138"/>
      <c r="FY748" s="2"/>
      <c r="FZ748" s="139"/>
      <c r="GA748" s="3"/>
      <c r="GB748" s="3"/>
      <c r="GC748" s="3"/>
      <c r="GD748" s="3"/>
      <c r="GE748" s="3"/>
      <c r="GF748" s="3"/>
      <c r="GG748" s="3"/>
      <c r="GH748" s="3"/>
      <c r="GI748" s="3"/>
      <c r="GJ748" s="3"/>
      <c r="GK748" s="131"/>
      <c r="GL748" s="15"/>
      <c r="GM748" s="99"/>
      <c r="GN748" s="149"/>
      <c r="GO748" s="134"/>
      <c r="GP748" s="134"/>
      <c r="GQ748" s="137"/>
      <c r="GR748" s="150"/>
      <c r="GS748" s="137"/>
      <c r="GT748" s="137"/>
      <c r="GU748" s="3"/>
      <c r="GV748" s="138"/>
      <c r="GW748" s="2"/>
      <c r="GX748" s="139"/>
      <c r="GY748" s="3"/>
      <c r="GZ748" s="3"/>
      <c r="HA748" s="3"/>
      <c r="HB748" s="3"/>
      <c r="HC748" s="3"/>
      <c r="HD748" s="3"/>
      <c r="HE748" s="3"/>
      <c r="HF748" s="3"/>
      <c r="HG748" s="3"/>
      <c r="HH748" s="3"/>
      <c r="HI748" s="131"/>
      <c r="HJ748" s="15"/>
      <c r="HK748" s="99"/>
      <c r="HL748" s="149"/>
      <c r="HM748" s="134"/>
      <c r="HN748" s="134"/>
      <c r="HO748" s="137"/>
      <c r="HP748" s="150"/>
      <c r="HQ748" s="137"/>
      <c r="HR748" s="137"/>
      <c r="HS748" s="3"/>
      <c r="HT748" s="138"/>
      <c r="HU748" s="2"/>
      <c r="HV748" s="139"/>
      <c r="HW748" s="3"/>
      <c r="HX748" s="3"/>
      <c r="HY748" s="3"/>
      <c r="HZ748" s="3"/>
      <c r="IA748" s="3"/>
      <c r="IB748" s="3"/>
      <c r="IC748" s="3"/>
      <c r="ID748" s="3"/>
      <c r="IE748" s="3"/>
      <c r="IF748" s="3"/>
      <c r="IG748" s="131"/>
      <c r="IH748" s="15"/>
      <c r="II748" s="99"/>
      <c r="IJ748" s="149"/>
      <c r="IK748" s="134"/>
      <c r="IL748" s="134"/>
      <c r="IM748" s="137"/>
      <c r="IN748" s="150"/>
      <c r="IO748" s="137"/>
      <c r="IP748" s="137"/>
      <c r="IQ748" s="3"/>
      <c r="IR748" s="138"/>
      <c r="IS748" s="2"/>
      <c r="IT748" s="139"/>
      <c r="IU748" s="3"/>
      <c r="IV748" s="3"/>
    </row>
    <row r="749" spans="1:256" s="125" customFormat="1">
      <c r="A749" s="86"/>
      <c r="B749" s="56">
        <v>42905</v>
      </c>
      <c r="C749" s="18"/>
      <c r="D749" s="19" t="s">
        <v>841</v>
      </c>
      <c r="E749" s="20" t="s">
        <v>495</v>
      </c>
      <c r="F749" s="24" t="s">
        <v>978</v>
      </c>
      <c r="G749" s="238">
        <v>1703</v>
      </c>
      <c r="H749" s="121"/>
      <c r="I749" s="24">
        <v>3169143</v>
      </c>
      <c r="J749" s="199"/>
      <c r="K749" s="24">
        <f t="shared" si="70"/>
        <v>3169143</v>
      </c>
      <c r="L749" s="24"/>
      <c r="M749" s="24">
        <f>K749*L749</f>
        <v>0</v>
      </c>
      <c r="N749" s="129">
        <f t="shared" si="71"/>
        <v>3169143</v>
      </c>
      <c r="O749" s="108" t="s">
        <v>979</v>
      </c>
      <c r="P749" s="3"/>
      <c r="Q749" s="140"/>
      <c r="R749" s="3"/>
      <c r="S749" s="3"/>
      <c r="T749" s="3"/>
      <c r="U749" s="3"/>
      <c r="V749" s="3"/>
      <c r="W749" s="3"/>
      <c r="X749" s="3"/>
      <c r="Y749" s="131"/>
      <c r="Z749" s="15"/>
      <c r="AA749" s="99"/>
      <c r="AB749" s="149"/>
      <c r="AC749" s="134"/>
      <c r="AD749" s="134"/>
      <c r="AE749" s="137"/>
      <c r="AF749" s="150"/>
      <c r="AG749" s="137"/>
      <c r="AH749" s="137"/>
      <c r="AI749" s="3"/>
      <c r="AJ749" s="138"/>
      <c r="AK749" s="2"/>
      <c r="AL749" s="139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131"/>
      <c r="AX749" s="15"/>
      <c r="AY749" s="99"/>
      <c r="AZ749" s="149"/>
      <c r="BA749" s="134"/>
      <c r="BB749" s="134"/>
      <c r="BC749" s="137"/>
      <c r="BD749" s="150"/>
      <c r="BE749" s="137"/>
      <c r="BF749" s="137"/>
      <c r="BG749" s="3"/>
      <c r="BH749" s="138"/>
      <c r="BI749" s="2"/>
      <c r="BJ749" s="139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131"/>
      <c r="BV749" s="15"/>
      <c r="BW749" s="99"/>
      <c r="BX749" s="149"/>
      <c r="BY749" s="134"/>
      <c r="BZ749" s="134"/>
      <c r="CA749" s="137"/>
      <c r="CB749" s="150"/>
      <c r="CC749" s="137"/>
      <c r="CD749" s="137"/>
      <c r="CE749" s="3"/>
      <c r="CF749" s="138"/>
      <c r="CG749" s="2"/>
      <c r="CH749" s="139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131"/>
      <c r="CT749" s="15"/>
      <c r="CU749" s="99"/>
      <c r="CV749" s="149"/>
      <c r="CW749" s="134"/>
      <c r="CX749" s="134"/>
      <c r="CY749" s="137"/>
      <c r="CZ749" s="150"/>
      <c r="DA749" s="137"/>
      <c r="DB749" s="137"/>
      <c r="DC749" s="3"/>
      <c r="DD749" s="138"/>
      <c r="DE749" s="2"/>
      <c r="DF749" s="139"/>
      <c r="DG749" s="3"/>
      <c r="DH749" s="3"/>
      <c r="DI749" s="3"/>
      <c r="DJ749" s="3"/>
      <c r="DK749" s="3"/>
      <c r="DL749" s="3"/>
      <c r="DM749" s="3"/>
      <c r="DN749" s="3"/>
      <c r="DO749" s="3"/>
      <c r="DP749" s="3"/>
      <c r="DQ749" s="131"/>
      <c r="DR749" s="15"/>
      <c r="DS749" s="99"/>
      <c r="DT749" s="149"/>
      <c r="DU749" s="134"/>
      <c r="DV749" s="134"/>
      <c r="DW749" s="137"/>
      <c r="DX749" s="150"/>
      <c r="DY749" s="137"/>
      <c r="DZ749" s="137"/>
      <c r="EA749" s="3"/>
      <c r="EB749" s="138"/>
      <c r="EC749" s="2"/>
      <c r="ED749" s="139"/>
      <c r="EE749" s="3"/>
      <c r="EF749" s="3"/>
      <c r="EG749" s="3"/>
      <c r="EH749" s="3"/>
      <c r="EI749" s="3"/>
      <c r="EJ749" s="3"/>
      <c r="EK749" s="3"/>
      <c r="EL749" s="3"/>
      <c r="EM749" s="3"/>
      <c r="EN749" s="3"/>
      <c r="EO749" s="131"/>
      <c r="EP749" s="15"/>
      <c r="EQ749" s="99"/>
      <c r="ER749" s="149"/>
      <c r="ES749" s="134"/>
      <c r="ET749" s="134"/>
      <c r="EU749" s="137"/>
      <c r="EV749" s="150"/>
      <c r="EW749" s="137"/>
      <c r="EX749" s="137"/>
      <c r="EY749" s="3"/>
      <c r="EZ749" s="138"/>
      <c r="FA749" s="2"/>
      <c r="FB749" s="139"/>
      <c r="FC749" s="3"/>
      <c r="FD749" s="3"/>
      <c r="FE749" s="3"/>
      <c r="FF749" s="3"/>
      <c r="FG749" s="3"/>
      <c r="FH749" s="3"/>
      <c r="FI749" s="3"/>
      <c r="FJ749" s="3"/>
      <c r="FK749" s="3"/>
      <c r="FL749" s="3"/>
      <c r="FM749" s="131"/>
      <c r="FN749" s="15"/>
      <c r="FO749" s="99"/>
      <c r="FP749" s="149"/>
      <c r="FQ749" s="134"/>
      <c r="FR749" s="134"/>
      <c r="FS749" s="137"/>
      <c r="FT749" s="150"/>
      <c r="FU749" s="137"/>
      <c r="FV749" s="137"/>
      <c r="FW749" s="3"/>
      <c r="FX749" s="138"/>
      <c r="FY749" s="2"/>
      <c r="FZ749" s="139"/>
      <c r="GA749" s="3"/>
      <c r="GB749" s="3"/>
      <c r="GC749" s="3"/>
      <c r="GD749" s="3"/>
      <c r="GE749" s="3"/>
      <c r="GF749" s="3"/>
      <c r="GG749" s="3"/>
      <c r="GH749" s="3"/>
      <c r="GI749" s="3"/>
      <c r="GJ749" s="3"/>
      <c r="GK749" s="131"/>
      <c r="GL749" s="15"/>
      <c r="GM749" s="99"/>
      <c r="GN749" s="149"/>
      <c r="GO749" s="134"/>
      <c r="GP749" s="134"/>
      <c r="GQ749" s="137"/>
      <c r="GR749" s="150"/>
      <c r="GS749" s="137"/>
      <c r="GT749" s="137"/>
      <c r="GU749" s="3"/>
      <c r="GV749" s="138"/>
      <c r="GW749" s="2"/>
      <c r="GX749" s="139"/>
      <c r="GY749" s="3"/>
      <c r="GZ749" s="3"/>
      <c r="HA749" s="3"/>
      <c r="HB749" s="3"/>
      <c r="HC749" s="3"/>
      <c r="HD749" s="3"/>
      <c r="HE749" s="3"/>
      <c r="HF749" s="3"/>
      <c r="HG749" s="3"/>
      <c r="HH749" s="3"/>
      <c r="HI749" s="131"/>
      <c r="HJ749" s="15"/>
      <c r="HK749" s="99"/>
      <c r="HL749" s="149"/>
      <c r="HM749" s="134"/>
      <c r="HN749" s="134"/>
      <c r="HO749" s="137"/>
      <c r="HP749" s="150"/>
      <c r="HQ749" s="137"/>
      <c r="HR749" s="137"/>
      <c r="HS749" s="3"/>
      <c r="HT749" s="138"/>
      <c r="HU749" s="2"/>
      <c r="HV749" s="139"/>
      <c r="HW749" s="3"/>
      <c r="HX749" s="3"/>
      <c r="HY749" s="3"/>
      <c r="HZ749" s="3"/>
      <c r="IA749" s="3"/>
      <c r="IB749" s="3"/>
      <c r="IC749" s="3"/>
      <c r="ID749" s="3"/>
      <c r="IE749" s="3"/>
      <c r="IF749" s="3"/>
      <c r="IG749" s="131"/>
      <c r="IH749" s="15"/>
      <c r="II749" s="99"/>
      <c r="IJ749" s="149"/>
      <c r="IK749" s="134"/>
      <c r="IL749" s="134"/>
      <c r="IM749" s="137"/>
      <c r="IN749" s="150"/>
      <c r="IO749" s="137"/>
      <c r="IP749" s="137"/>
      <c r="IQ749" s="3"/>
      <c r="IR749" s="138"/>
      <c r="IS749" s="2"/>
      <c r="IT749" s="139"/>
      <c r="IU749" s="3"/>
      <c r="IV749" s="3"/>
    </row>
    <row r="750" spans="1:256" s="125" customFormat="1">
      <c r="A750" s="86"/>
      <c r="B750" s="56"/>
      <c r="C750" s="18"/>
      <c r="D750" s="19" t="s">
        <v>158</v>
      </c>
      <c r="E750" s="20" t="s">
        <v>164</v>
      </c>
      <c r="F750" s="82" t="s">
        <v>980</v>
      </c>
      <c r="G750" s="58"/>
      <c r="H750" s="121"/>
      <c r="I750" s="24">
        <v>1399429</v>
      </c>
      <c r="J750" s="24"/>
      <c r="K750" s="24">
        <f t="shared" si="70"/>
        <v>1399429</v>
      </c>
      <c r="L750" s="123"/>
      <c r="M750" s="24"/>
      <c r="N750" s="59">
        <f t="shared" si="71"/>
        <v>1399429</v>
      </c>
      <c r="O750" s="108"/>
      <c r="P750" s="3"/>
      <c r="Q750" s="140"/>
      <c r="R750" s="3"/>
      <c r="S750" s="3"/>
      <c r="T750" s="3"/>
      <c r="U750" s="3"/>
      <c r="V750" s="3"/>
      <c r="W750" s="3"/>
      <c r="X750" s="3"/>
      <c r="Y750" s="131"/>
      <c r="Z750" s="15"/>
      <c r="AA750" s="99"/>
      <c r="AB750" s="149"/>
      <c r="AC750" s="134"/>
      <c r="AD750" s="134"/>
      <c r="AE750" s="137"/>
      <c r="AF750" s="150"/>
      <c r="AG750" s="137"/>
      <c r="AH750" s="137"/>
      <c r="AI750" s="3"/>
      <c r="AJ750" s="138"/>
      <c r="AK750" s="2"/>
      <c r="AL750" s="139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131"/>
      <c r="AX750" s="15"/>
      <c r="AY750" s="99"/>
      <c r="AZ750" s="149"/>
      <c r="BA750" s="134"/>
      <c r="BB750" s="134"/>
      <c r="BC750" s="137"/>
      <c r="BD750" s="150"/>
      <c r="BE750" s="137"/>
      <c r="BF750" s="137"/>
      <c r="BG750" s="3"/>
      <c r="BH750" s="138"/>
      <c r="BI750" s="2"/>
      <c r="BJ750" s="139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131"/>
      <c r="BV750" s="15"/>
      <c r="BW750" s="99"/>
      <c r="BX750" s="149"/>
      <c r="BY750" s="134"/>
      <c r="BZ750" s="134"/>
      <c r="CA750" s="137"/>
      <c r="CB750" s="150"/>
      <c r="CC750" s="137"/>
      <c r="CD750" s="137"/>
      <c r="CE750" s="3"/>
      <c r="CF750" s="138"/>
      <c r="CG750" s="2"/>
      <c r="CH750" s="139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131"/>
      <c r="CT750" s="15"/>
      <c r="CU750" s="99"/>
      <c r="CV750" s="149"/>
      <c r="CW750" s="134"/>
      <c r="CX750" s="134"/>
      <c r="CY750" s="137"/>
      <c r="CZ750" s="150"/>
      <c r="DA750" s="137"/>
      <c r="DB750" s="137"/>
      <c r="DC750" s="3"/>
      <c r="DD750" s="138"/>
      <c r="DE750" s="2"/>
      <c r="DF750" s="139"/>
      <c r="DG750" s="3"/>
      <c r="DH750" s="3"/>
      <c r="DI750" s="3"/>
      <c r="DJ750" s="3"/>
      <c r="DK750" s="3"/>
      <c r="DL750" s="3"/>
      <c r="DM750" s="3"/>
      <c r="DN750" s="3"/>
      <c r="DO750" s="3"/>
      <c r="DP750" s="3"/>
      <c r="DQ750" s="131"/>
      <c r="DR750" s="15"/>
      <c r="DS750" s="99"/>
      <c r="DT750" s="149"/>
      <c r="DU750" s="134"/>
      <c r="DV750" s="134"/>
      <c r="DW750" s="137"/>
      <c r="DX750" s="150"/>
      <c r="DY750" s="137"/>
      <c r="DZ750" s="137"/>
      <c r="EA750" s="3"/>
      <c r="EB750" s="138"/>
      <c r="EC750" s="2"/>
      <c r="ED750" s="139"/>
      <c r="EE750" s="3"/>
      <c r="EF750" s="3"/>
      <c r="EG750" s="3"/>
      <c r="EH750" s="3"/>
      <c r="EI750" s="3"/>
      <c r="EJ750" s="3"/>
      <c r="EK750" s="3"/>
      <c r="EL750" s="3"/>
      <c r="EM750" s="3"/>
      <c r="EN750" s="3"/>
      <c r="EO750" s="131"/>
      <c r="EP750" s="15"/>
      <c r="EQ750" s="99"/>
      <c r="ER750" s="149"/>
      <c r="ES750" s="134"/>
      <c r="ET750" s="134"/>
      <c r="EU750" s="137"/>
      <c r="EV750" s="150"/>
      <c r="EW750" s="137"/>
      <c r="EX750" s="137"/>
      <c r="EY750" s="3"/>
      <c r="EZ750" s="138"/>
      <c r="FA750" s="2"/>
      <c r="FB750" s="139"/>
      <c r="FC750" s="3"/>
      <c r="FD750" s="3"/>
      <c r="FE750" s="3"/>
      <c r="FF750" s="3"/>
      <c r="FG750" s="3"/>
      <c r="FH750" s="3"/>
      <c r="FI750" s="3"/>
      <c r="FJ750" s="3"/>
      <c r="FK750" s="3"/>
      <c r="FL750" s="3"/>
      <c r="FM750" s="131"/>
      <c r="FN750" s="15"/>
      <c r="FO750" s="99"/>
      <c r="FP750" s="149"/>
      <c r="FQ750" s="134"/>
      <c r="FR750" s="134"/>
      <c r="FS750" s="137"/>
      <c r="FT750" s="150"/>
      <c r="FU750" s="137"/>
      <c r="FV750" s="137"/>
      <c r="FW750" s="3"/>
      <c r="FX750" s="138"/>
      <c r="FY750" s="2"/>
      <c r="FZ750" s="139"/>
      <c r="GA750" s="3"/>
      <c r="GB750" s="3"/>
      <c r="GC750" s="3"/>
      <c r="GD750" s="3"/>
      <c r="GE750" s="3"/>
      <c r="GF750" s="3"/>
      <c r="GG750" s="3"/>
      <c r="GH750" s="3"/>
      <c r="GI750" s="3"/>
      <c r="GJ750" s="3"/>
      <c r="GK750" s="131"/>
      <c r="GL750" s="15"/>
      <c r="GM750" s="99"/>
      <c r="GN750" s="149"/>
      <c r="GO750" s="134"/>
      <c r="GP750" s="134"/>
      <c r="GQ750" s="137"/>
      <c r="GR750" s="150"/>
      <c r="GS750" s="137"/>
      <c r="GT750" s="137"/>
      <c r="GU750" s="3"/>
      <c r="GV750" s="138"/>
      <c r="GW750" s="2"/>
      <c r="GX750" s="139"/>
      <c r="GY750" s="3"/>
      <c r="GZ750" s="3"/>
      <c r="HA750" s="3"/>
      <c r="HB750" s="3"/>
      <c r="HC750" s="3"/>
      <c r="HD750" s="3"/>
      <c r="HE750" s="3"/>
      <c r="HF750" s="3"/>
      <c r="HG750" s="3"/>
      <c r="HH750" s="3"/>
      <c r="HI750" s="131"/>
      <c r="HJ750" s="15"/>
      <c r="HK750" s="99"/>
      <c r="HL750" s="149"/>
      <c r="HM750" s="134"/>
      <c r="HN750" s="134"/>
      <c r="HO750" s="137"/>
      <c r="HP750" s="150"/>
      <c r="HQ750" s="137"/>
      <c r="HR750" s="137"/>
      <c r="HS750" s="3"/>
      <c r="HT750" s="138"/>
      <c r="HU750" s="2"/>
      <c r="HV750" s="139"/>
      <c r="HW750" s="3"/>
      <c r="HX750" s="3"/>
      <c r="HY750" s="3"/>
      <c r="HZ750" s="3"/>
      <c r="IA750" s="3"/>
      <c r="IB750" s="3"/>
      <c r="IC750" s="3"/>
      <c r="ID750" s="3"/>
      <c r="IE750" s="3"/>
      <c r="IF750" s="3"/>
      <c r="IG750" s="131"/>
      <c r="IH750" s="15"/>
      <c r="II750" s="99"/>
      <c r="IJ750" s="149"/>
      <c r="IK750" s="134"/>
      <c r="IL750" s="134"/>
      <c r="IM750" s="137"/>
      <c r="IN750" s="150"/>
      <c r="IO750" s="137"/>
      <c r="IP750" s="137"/>
      <c r="IQ750" s="3"/>
      <c r="IR750" s="138"/>
      <c r="IS750" s="2"/>
      <c r="IT750" s="139"/>
      <c r="IU750" s="3"/>
      <c r="IV750" s="3"/>
    </row>
    <row r="751" spans="1:256" s="125" customFormat="1">
      <c r="A751" s="86"/>
      <c r="B751" s="56"/>
      <c r="C751" s="18"/>
      <c r="D751" s="19" t="s">
        <v>158</v>
      </c>
      <c r="E751" s="20" t="s">
        <v>250</v>
      </c>
      <c r="F751" s="82" t="s">
        <v>981</v>
      </c>
      <c r="G751" s="58"/>
      <c r="H751" s="121"/>
      <c r="I751" s="24">
        <v>1594286</v>
      </c>
      <c r="J751" s="24"/>
      <c r="K751" s="24">
        <f t="shared" si="70"/>
        <v>1594286</v>
      </c>
      <c r="L751" s="123"/>
      <c r="M751" s="24"/>
      <c r="N751" s="129">
        <f t="shared" si="71"/>
        <v>1594286</v>
      </c>
      <c r="O751" s="108"/>
      <c r="P751" s="3"/>
      <c r="Q751" s="140"/>
      <c r="R751" s="3"/>
      <c r="S751" s="3"/>
      <c r="T751" s="3"/>
      <c r="U751" s="3"/>
      <c r="V751" s="3"/>
      <c r="W751" s="3"/>
      <c r="X751" s="3"/>
      <c r="Y751" s="131"/>
      <c r="Z751" s="15"/>
      <c r="AA751" s="99"/>
      <c r="AB751" s="149"/>
      <c r="AC751" s="134"/>
      <c r="AD751" s="134"/>
      <c r="AE751" s="137"/>
      <c r="AF751" s="150"/>
      <c r="AG751" s="137"/>
      <c r="AH751" s="137"/>
      <c r="AI751" s="3"/>
      <c r="AJ751" s="138"/>
      <c r="AK751" s="2"/>
      <c r="AL751" s="139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131"/>
      <c r="AX751" s="15"/>
      <c r="AY751" s="99"/>
      <c r="AZ751" s="149"/>
      <c r="BA751" s="134"/>
      <c r="BB751" s="134"/>
      <c r="BC751" s="137"/>
      <c r="BD751" s="150"/>
      <c r="BE751" s="137"/>
      <c r="BF751" s="137"/>
      <c r="BG751" s="3"/>
      <c r="BH751" s="138"/>
      <c r="BI751" s="2"/>
      <c r="BJ751" s="139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131"/>
      <c r="BV751" s="15"/>
      <c r="BW751" s="99"/>
      <c r="BX751" s="149"/>
      <c r="BY751" s="134"/>
      <c r="BZ751" s="134"/>
      <c r="CA751" s="137"/>
      <c r="CB751" s="150"/>
      <c r="CC751" s="137"/>
      <c r="CD751" s="137"/>
      <c r="CE751" s="3"/>
      <c r="CF751" s="138"/>
      <c r="CG751" s="2"/>
      <c r="CH751" s="139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131"/>
      <c r="CT751" s="15"/>
      <c r="CU751" s="99"/>
      <c r="CV751" s="149"/>
      <c r="CW751" s="134"/>
      <c r="CX751" s="134"/>
      <c r="CY751" s="137"/>
      <c r="CZ751" s="150"/>
      <c r="DA751" s="137"/>
      <c r="DB751" s="137"/>
      <c r="DC751" s="3"/>
      <c r="DD751" s="138"/>
      <c r="DE751" s="2"/>
      <c r="DF751" s="139"/>
      <c r="DG751" s="3"/>
      <c r="DH751" s="3"/>
      <c r="DI751" s="3"/>
      <c r="DJ751" s="3"/>
      <c r="DK751" s="3"/>
      <c r="DL751" s="3"/>
      <c r="DM751" s="3"/>
      <c r="DN751" s="3"/>
      <c r="DO751" s="3"/>
      <c r="DP751" s="3"/>
      <c r="DQ751" s="131"/>
      <c r="DR751" s="15"/>
      <c r="DS751" s="99"/>
      <c r="DT751" s="149"/>
      <c r="DU751" s="134"/>
      <c r="DV751" s="134"/>
      <c r="DW751" s="137"/>
      <c r="DX751" s="150"/>
      <c r="DY751" s="137"/>
      <c r="DZ751" s="137"/>
      <c r="EA751" s="3"/>
      <c r="EB751" s="138"/>
      <c r="EC751" s="2"/>
      <c r="ED751" s="139"/>
      <c r="EE751" s="3"/>
      <c r="EF751" s="3"/>
      <c r="EG751" s="3"/>
      <c r="EH751" s="3"/>
      <c r="EI751" s="3"/>
      <c r="EJ751" s="3"/>
      <c r="EK751" s="3"/>
      <c r="EL751" s="3"/>
      <c r="EM751" s="3"/>
      <c r="EN751" s="3"/>
      <c r="EO751" s="131"/>
      <c r="EP751" s="15"/>
      <c r="EQ751" s="99"/>
      <c r="ER751" s="149"/>
      <c r="ES751" s="134"/>
      <c r="ET751" s="134"/>
      <c r="EU751" s="137"/>
      <c r="EV751" s="150"/>
      <c r="EW751" s="137"/>
      <c r="EX751" s="137"/>
      <c r="EY751" s="3"/>
      <c r="EZ751" s="138"/>
      <c r="FA751" s="2"/>
      <c r="FB751" s="139"/>
      <c r="FC751" s="3"/>
      <c r="FD751" s="3"/>
      <c r="FE751" s="3"/>
      <c r="FF751" s="3"/>
      <c r="FG751" s="3"/>
      <c r="FH751" s="3"/>
      <c r="FI751" s="3"/>
      <c r="FJ751" s="3"/>
      <c r="FK751" s="3"/>
      <c r="FL751" s="3"/>
      <c r="FM751" s="131"/>
      <c r="FN751" s="15"/>
      <c r="FO751" s="99"/>
      <c r="FP751" s="149"/>
      <c r="FQ751" s="134"/>
      <c r="FR751" s="134"/>
      <c r="FS751" s="137"/>
      <c r="FT751" s="150"/>
      <c r="FU751" s="137"/>
      <c r="FV751" s="137"/>
      <c r="FW751" s="3"/>
      <c r="FX751" s="138"/>
      <c r="FY751" s="2"/>
      <c r="FZ751" s="139"/>
      <c r="GA751" s="3"/>
      <c r="GB751" s="3"/>
      <c r="GC751" s="3"/>
      <c r="GD751" s="3"/>
      <c r="GE751" s="3"/>
      <c r="GF751" s="3"/>
      <c r="GG751" s="3"/>
      <c r="GH751" s="3"/>
      <c r="GI751" s="3"/>
      <c r="GJ751" s="3"/>
      <c r="GK751" s="131"/>
      <c r="GL751" s="15"/>
      <c r="GM751" s="99"/>
      <c r="GN751" s="149"/>
      <c r="GO751" s="134"/>
      <c r="GP751" s="134"/>
      <c r="GQ751" s="137"/>
      <c r="GR751" s="150"/>
      <c r="GS751" s="137"/>
      <c r="GT751" s="137"/>
      <c r="GU751" s="3"/>
      <c r="GV751" s="138"/>
      <c r="GW751" s="2"/>
      <c r="GX751" s="139"/>
      <c r="GY751" s="3"/>
      <c r="GZ751" s="3"/>
      <c r="HA751" s="3"/>
      <c r="HB751" s="3"/>
      <c r="HC751" s="3"/>
      <c r="HD751" s="3"/>
      <c r="HE751" s="3"/>
      <c r="HF751" s="3"/>
      <c r="HG751" s="3"/>
      <c r="HH751" s="3"/>
      <c r="HI751" s="131"/>
      <c r="HJ751" s="15"/>
      <c r="HK751" s="99"/>
      <c r="HL751" s="149"/>
      <c r="HM751" s="134"/>
      <c r="HN751" s="134"/>
      <c r="HO751" s="137"/>
      <c r="HP751" s="150"/>
      <c r="HQ751" s="137"/>
      <c r="HR751" s="137"/>
      <c r="HS751" s="3"/>
      <c r="HT751" s="138"/>
      <c r="HU751" s="2"/>
      <c r="HV751" s="139"/>
      <c r="HW751" s="3"/>
      <c r="HX751" s="3"/>
      <c r="HY751" s="3"/>
      <c r="HZ751" s="3"/>
      <c r="IA751" s="3"/>
      <c r="IB751" s="3"/>
      <c r="IC751" s="3"/>
      <c r="ID751" s="3"/>
      <c r="IE751" s="3"/>
      <c r="IF751" s="3"/>
      <c r="IG751" s="131"/>
      <c r="IH751" s="15"/>
      <c r="II751" s="99"/>
      <c r="IJ751" s="149"/>
      <c r="IK751" s="134"/>
      <c r="IL751" s="134"/>
      <c r="IM751" s="137"/>
      <c r="IN751" s="150"/>
      <c r="IO751" s="137"/>
      <c r="IP751" s="137"/>
      <c r="IQ751" s="3"/>
      <c r="IR751" s="138"/>
      <c r="IS751" s="2"/>
      <c r="IT751" s="139"/>
      <c r="IU751" s="3"/>
      <c r="IV751" s="3"/>
    </row>
    <row r="752" spans="1:256" s="125" customFormat="1">
      <c r="A752" s="86"/>
      <c r="B752" s="56">
        <v>43027</v>
      </c>
      <c r="C752" s="18"/>
      <c r="D752" s="19" t="s">
        <v>158</v>
      </c>
      <c r="E752" s="20" t="s">
        <v>173</v>
      </c>
      <c r="F752" s="24" t="s">
        <v>982</v>
      </c>
      <c r="G752" s="238">
        <v>1707</v>
      </c>
      <c r="H752" s="121">
        <v>1362000</v>
      </c>
      <c r="I752" s="24"/>
      <c r="J752" s="199">
        <v>1297143</v>
      </c>
      <c r="K752" s="24">
        <v>1297143</v>
      </c>
      <c r="L752" s="24"/>
      <c r="M752" s="24">
        <f>K752*L752</f>
        <v>0</v>
      </c>
      <c r="N752" s="129">
        <f t="shared" si="71"/>
        <v>1297143</v>
      </c>
      <c r="O752" s="108" t="s">
        <v>983</v>
      </c>
      <c r="P752" s="3"/>
      <c r="Q752" s="140"/>
      <c r="R752" s="3"/>
      <c r="S752" s="3"/>
      <c r="T752" s="3"/>
      <c r="U752" s="3"/>
      <c r="V752" s="3"/>
      <c r="W752" s="3"/>
      <c r="X752" s="3"/>
      <c r="Y752" s="131"/>
      <c r="Z752" s="15"/>
      <c r="AA752" s="99"/>
      <c r="AB752" s="149"/>
      <c r="AC752" s="134"/>
      <c r="AD752" s="134"/>
      <c r="AE752" s="137"/>
      <c r="AF752" s="150"/>
      <c r="AG752" s="137"/>
      <c r="AH752" s="137"/>
      <c r="AI752" s="3"/>
      <c r="AJ752" s="138"/>
      <c r="AK752" s="2"/>
      <c r="AL752" s="139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131"/>
      <c r="AX752" s="15"/>
      <c r="AY752" s="99"/>
      <c r="AZ752" s="149"/>
      <c r="BA752" s="134"/>
      <c r="BB752" s="134"/>
      <c r="BC752" s="137"/>
      <c r="BD752" s="150"/>
      <c r="BE752" s="137"/>
      <c r="BF752" s="137"/>
      <c r="BG752" s="3"/>
      <c r="BH752" s="138"/>
      <c r="BI752" s="2"/>
      <c r="BJ752" s="139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131"/>
      <c r="BV752" s="15"/>
      <c r="BW752" s="99"/>
      <c r="BX752" s="149"/>
      <c r="BY752" s="134"/>
      <c r="BZ752" s="134"/>
      <c r="CA752" s="137"/>
      <c r="CB752" s="150"/>
      <c r="CC752" s="137"/>
      <c r="CD752" s="137"/>
      <c r="CE752" s="3"/>
      <c r="CF752" s="138"/>
      <c r="CG752" s="2"/>
      <c r="CH752" s="139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131"/>
      <c r="CT752" s="15"/>
      <c r="CU752" s="99"/>
      <c r="CV752" s="149"/>
      <c r="CW752" s="134"/>
      <c r="CX752" s="134"/>
      <c r="CY752" s="137"/>
      <c r="CZ752" s="150"/>
      <c r="DA752" s="137"/>
      <c r="DB752" s="137"/>
      <c r="DC752" s="3"/>
      <c r="DD752" s="138"/>
      <c r="DE752" s="2"/>
      <c r="DF752" s="139"/>
      <c r="DG752" s="3"/>
      <c r="DH752" s="3"/>
      <c r="DI752" s="3"/>
      <c r="DJ752" s="3"/>
      <c r="DK752" s="3"/>
      <c r="DL752" s="3"/>
      <c r="DM752" s="3"/>
      <c r="DN752" s="3"/>
      <c r="DO752" s="3"/>
      <c r="DP752" s="3"/>
      <c r="DQ752" s="131"/>
      <c r="DR752" s="15"/>
      <c r="DS752" s="99"/>
      <c r="DT752" s="149"/>
      <c r="DU752" s="134"/>
      <c r="DV752" s="134"/>
      <c r="DW752" s="137"/>
      <c r="DX752" s="150"/>
      <c r="DY752" s="137"/>
      <c r="DZ752" s="137"/>
      <c r="EA752" s="3"/>
      <c r="EB752" s="138"/>
      <c r="EC752" s="2"/>
      <c r="ED752" s="139"/>
      <c r="EE752" s="3"/>
      <c r="EF752" s="3"/>
      <c r="EG752" s="3"/>
      <c r="EH752" s="3"/>
      <c r="EI752" s="3"/>
      <c r="EJ752" s="3"/>
      <c r="EK752" s="3"/>
      <c r="EL752" s="3"/>
      <c r="EM752" s="3"/>
      <c r="EN752" s="3"/>
      <c r="EO752" s="131"/>
      <c r="EP752" s="15"/>
      <c r="EQ752" s="99"/>
      <c r="ER752" s="149"/>
      <c r="ES752" s="134"/>
      <c r="ET752" s="134"/>
      <c r="EU752" s="137"/>
      <c r="EV752" s="150"/>
      <c r="EW752" s="137"/>
      <c r="EX752" s="137"/>
      <c r="EY752" s="3"/>
      <c r="EZ752" s="138"/>
      <c r="FA752" s="2"/>
      <c r="FB752" s="139"/>
      <c r="FC752" s="3"/>
      <c r="FD752" s="3"/>
      <c r="FE752" s="3"/>
      <c r="FF752" s="3"/>
      <c r="FG752" s="3"/>
      <c r="FH752" s="3"/>
      <c r="FI752" s="3"/>
      <c r="FJ752" s="3"/>
      <c r="FK752" s="3"/>
      <c r="FL752" s="3"/>
      <c r="FM752" s="131"/>
      <c r="FN752" s="15"/>
      <c r="FO752" s="99"/>
      <c r="FP752" s="149"/>
      <c r="FQ752" s="134"/>
      <c r="FR752" s="134"/>
      <c r="FS752" s="137"/>
      <c r="FT752" s="150"/>
      <c r="FU752" s="137"/>
      <c r="FV752" s="137"/>
      <c r="FW752" s="3"/>
      <c r="FX752" s="138"/>
      <c r="FY752" s="2"/>
      <c r="FZ752" s="139"/>
      <c r="GA752" s="3"/>
      <c r="GB752" s="3"/>
      <c r="GC752" s="3"/>
      <c r="GD752" s="3"/>
      <c r="GE752" s="3"/>
      <c r="GF752" s="3"/>
      <c r="GG752" s="3"/>
      <c r="GH752" s="3"/>
      <c r="GI752" s="3"/>
      <c r="GJ752" s="3"/>
      <c r="GK752" s="131"/>
      <c r="GL752" s="15"/>
      <c r="GM752" s="99"/>
      <c r="GN752" s="149"/>
      <c r="GO752" s="134"/>
      <c r="GP752" s="134"/>
      <c r="GQ752" s="137"/>
      <c r="GR752" s="150"/>
      <c r="GS752" s="137"/>
      <c r="GT752" s="137"/>
      <c r="GU752" s="3"/>
      <c r="GV752" s="138"/>
      <c r="GW752" s="2"/>
      <c r="GX752" s="139"/>
      <c r="GY752" s="3"/>
      <c r="GZ752" s="3"/>
      <c r="HA752" s="3"/>
      <c r="HB752" s="3"/>
      <c r="HC752" s="3"/>
      <c r="HD752" s="3"/>
      <c r="HE752" s="3"/>
      <c r="HF752" s="3"/>
      <c r="HG752" s="3"/>
      <c r="HH752" s="3"/>
      <c r="HI752" s="131"/>
      <c r="HJ752" s="15"/>
      <c r="HK752" s="99"/>
      <c r="HL752" s="149"/>
      <c r="HM752" s="134"/>
      <c r="HN752" s="134"/>
      <c r="HO752" s="137"/>
      <c r="HP752" s="150"/>
      <c r="HQ752" s="137"/>
      <c r="HR752" s="137"/>
      <c r="HS752" s="3"/>
      <c r="HT752" s="138"/>
      <c r="HU752" s="2"/>
      <c r="HV752" s="139"/>
      <c r="HW752" s="3"/>
      <c r="HX752" s="3"/>
      <c r="HY752" s="3"/>
      <c r="HZ752" s="3"/>
      <c r="IA752" s="3"/>
      <c r="IB752" s="3"/>
      <c r="IC752" s="3"/>
      <c r="ID752" s="3"/>
      <c r="IE752" s="3"/>
      <c r="IF752" s="3"/>
      <c r="IG752" s="131"/>
      <c r="IH752" s="15"/>
      <c r="II752" s="99"/>
      <c r="IJ752" s="149"/>
      <c r="IK752" s="134"/>
      <c r="IL752" s="134"/>
      <c r="IM752" s="137"/>
      <c r="IN752" s="150"/>
      <c r="IO752" s="137"/>
      <c r="IP752" s="137"/>
      <c r="IQ752" s="3"/>
      <c r="IR752" s="138"/>
      <c r="IS752" s="2"/>
      <c r="IT752" s="139"/>
      <c r="IU752" s="3"/>
      <c r="IV752" s="3"/>
    </row>
    <row r="753" spans="1:256" s="125" customFormat="1">
      <c r="A753" s="86"/>
      <c r="B753" s="56">
        <v>43004</v>
      </c>
      <c r="C753" s="18"/>
      <c r="D753" s="19" t="s">
        <v>158</v>
      </c>
      <c r="E753" s="20" t="s">
        <v>222</v>
      </c>
      <c r="F753" s="24" t="s">
        <v>984</v>
      </c>
      <c r="G753" s="238">
        <v>1707</v>
      </c>
      <c r="H753" s="121">
        <v>1585200</v>
      </c>
      <c r="I753" s="24">
        <v>1509714</v>
      </c>
      <c r="J753" s="199"/>
      <c r="K753" s="24">
        <v>1509714</v>
      </c>
      <c r="L753" s="24"/>
      <c r="M753" s="24">
        <f>K753*L753</f>
        <v>0</v>
      </c>
      <c r="N753" s="129">
        <f t="shared" si="71"/>
        <v>1509714</v>
      </c>
      <c r="O753" s="108" t="s">
        <v>985</v>
      </c>
      <c r="P753" s="3"/>
      <c r="Q753" s="140"/>
      <c r="R753" s="3"/>
      <c r="S753" s="3"/>
      <c r="T753" s="3"/>
      <c r="U753" s="3"/>
      <c r="V753" s="3"/>
      <c r="W753" s="3"/>
      <c r="X753" s="3"/>
      <c r="Y753" s="131"/>
      <c r="Z753" s="15"/>
      <c r="AA753" s="99"/>
      <c r="AB753" s="149"/>
      <c r="AC753" s="134"/>
      <c r="AD753" s="134"/>
      <c r="AE753" s="137"/>
      <c r="AF753" s="150"/>
      <c r="AG753" s="137"/>
      <c r="AH753" s="137"/>
      <c r="AI753" s="3"/>
      <c r="AJ753" s="138"/>
      <c r="AK753" s="2"/>
      <c r="AL753" s="139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131"/>
      <c r="AX753" s="15"/>
      <c r="AY753" s="99"/>
      <c r="AZ753" s="149"/>
      <c r="BA753" s="134"/>
      <c r="BB753" s="134"/>
      <c r="BC753" s="137"/>
      <c r="BD753" s="150"/>
      <c r="BE753" s="137"/>
      <c r="BF753" s="137"/>
      <c r="BG753" s="3"/>
      <c r="BH753" s="138"/>
      <c r="BI753" s="2"/>
      <c r="BJ753" s="139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131"/>
      <c r="BV753" s="15"/>
      <c r="BW753" s="99"/>
      <c r="BX753" s="149"/>
      <c r="BY753" s="134"/>
      <c r="BZ753" s="134"/>
      <c r="CA753" s="137"/>
      <c r="CB753" s="150"/>
      <c r="CC753" s="137"/>
      <c r="CD753" s="137"/>
      <c r="CE753" s="3"/>
      <c r="CF753" s="138"/>
      <c r="CG753" s="2"/>
      <c r="CH753" s="139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131"/>
      <c r="CT753" s="15"/>
      <c r="CU753" s="99"/>
      <c r="CV753" s="149"/>
      <c r="CW753" s="134"/>
      <c r="CX753" s="134"/>
      <c r="CY753" s="137"/>
      <c r="CZ753" s="150"/>
      <c r="DA753" s="137"/>
      <c r="DB753" s="137"/>
      <c r="DC753" s="3"/>
      <c r="DD753" s="138"/>
      <c r="DE753" s="2"/>
      <c r="DF753" s="139"/>
      <c r="DG753" s="3"/>
      <c r="DH753" s="3"/>
      <c r="DI753" s="3"/>
      <c r="DJ753" s="3"/>
      <c r="DK753" s="3"/>
      <c r="DL753" s="3"/>
      <c r="DM753" s="3"/>
      <c r="DN753" s="3"/>
      <c r="DO753" s="3"/>
      <c r="DP753" s="3"/>
      <c r="DQ753" s="131"/>
      <c r="DR753" s="15"/>
      <c r="DS753" s="99"/>
      <c r="DT753" s="149"/>
      <c r="DU753" s="134"/>
      <c r="DV753" s="134"/>
      <c r="DW753" s="137"/>
      <c r="DX753" s="150"/>
      <c r="DY753" s="137"/>
      <c r="DZ753" s="137"/>
      <c r="EA753" s="3"/>
      <c r="EB753" s="138"/>
      <c r="EC753" s="2"/>
      <c r="ED753" s="139"/>
      <c r="EE753" s="3"/>
      <c r="EF753" s="3"/>
      <c r="EG753" s="3"/>
      <c r="EH753" s="3"/>
      <c r="EI753" s="3"/>
      <c r="EJ753" s="3"/>
      <c r="EK753" s="3"/>
      <c r="EL753" s="3"/>
      <c r="EM753" s="3"/>
      <c r="EN753" s="3"/>
      <c r="EO753" s="131"/>
      <c r="EP753" s="15"/>
      <c r="EQ753" s="99"/>
      <c r="ER753" s="149"/>
      <c r="ES753" s="134"/>
      <c r="ET753" s="134"/>
      <c r="EU753" s="137"/>
      <c r="EV753" s="150"/>
      <c r="EW753" s="137"/>
      <c r="EX753" s="137"/>
      <c r="EY753" s="3"/>
      <c r="EZ753" s="138"/>
      <c r="FA753" s="2"/>
      <c r="FB753" s="139"/>
      <c r="FC753" s="3"/>
      <c r="FD753" s="3"/>
      <c r="FE753" s="3"/>
      <c r="FF753" s="3"/>
      <c r="FG753" s="3"/>
      <c r="FH753" s="3"/>
      <c r="FI753" s="3"/>
      <c r="FJ753" s="3"/>
      <c r="FK753" s="3"/>
      <c r="FL753" s="3"/>
      <c r="FM753" s="131"/>
      <c r="FN753" s="15"/>
      <c r="FO753" s="99"/>
      <c r="FP753" s="149"/>
      <c r="FQ753" s="134"/>
      <c r="FR753" s="134"/>
      <c r="FS753" s="137"/>
      <c r="FT753" s="150"/>
      <c r="FU753" s="137"/>
      <c r="FV753" s="137"/>
      <c r="FW753" s="3"/>
      <c r="FX753" s="138"/>
      <c r="FY753" s="2"/>
      <c r="FZ753" s="139"/>
      <c r="GA753" s="3"/>
      <c r="GB753" s="3"/>
      <c r="GC753" s="3"/>
      <c r="GD753" s="3"/>
      <c r="GE753" s="3"/>
      <c r="GF753" s="3"/>
      <c r="GG753" s="3"/>
      <c r="GH753" s="3"/>
      <c r="GI753" s="3"/>
      <c r="GJ753" s="3"/>
      <c r="GK753" s="131"/>
      <c r="GL753" s="15"/>
      <c r="GM753" s="99"/>
      <c r="GN753" s="149"/>
      <c r="GO753" s="134"/>
      <c r="GP753" s="134"/>
      <c r="GQ753" s="137"/>
      <c r="GR753" s="150"/>
      <c r="GS753" s="137"/>
      <c r="GT753" s="137"/>
      <c r="GU753" s="3"/>
      <c r="GV753" s="138"/>
      <c r="GW753" s="2"/>
      <c r="GX753" s="139"/>
      <c r="GY753" s="3"/>
      <c r="GZ753" s="3"/>
      <c r="HA753" s="3"/>
      <c r="HB753" s="3"/>
      <c r="HC753" s="3"/>
      <c r="HD753" s="3"/>
      <c r="HE753" s="3"/>
      <c r="HF753" s="3"/>
      <c r="HG753" s="3"/>
      <c r="HH753" s="3"/>
      <c r="HI753" s="131"/>
      <c r="HJ753" s="15"/>
      <c r="HK753" s="99"/>
      <c r="HL753" s="149"/>
      <c r="HM753" s="134"/>
      <c r="HN753" s="134"/>
      <c r="HO753" s="137"/>
      <c r="HP753" s="150"/>
      <c r="HQ753" s="137"/>
      <c r="HR753" s="137"/>
      <c r="HS753" s="3"/>
      <c r="HT753" s="138"/>
      <c r="HU753" s="2"/>
      <c r="HV753" s="139"/>
      <c r="HW753" s="3"/>
      <c r="HX753" s="3"/>
      <c r="HY753" s="3"/>
      <c r="HZ753" s="3"/>
      <c r="IA753" s="3"/>
      <c r="IB753" s="3"/>
      <c r="IC753" s="3"/>
      <c r="ID753" s="3"/>
      <c r="IE753" s="3"/>
      <c r="IF753" s="3"/>
      <c r="IG753" s="131"/>
      <c r="IH753" s="15"/>
      <c r="II753" s="99"/>
      <c r="IJ753" s="149"/>
      <c r="IK753" s="134"/>
      <c r="IL753" s="134"/>
      <c r="IM753" s="137"/>
      <c r="IN753" s="150"/>
      <c r="IO753" s="137"/>
      <c r="IP753" s="137"/>
      <c r="IQ753" s="3"/>
      <c r="IR753" s="138"/>
      <c r="IS753" s="2"/>
      <c r="IT753" s="139"/>
      <c r="IU753" s="3"/>
      <c r="IV753" s="3"/>
    </row>
    <row r="754" spans="1:256" s="125" customFormat="1">
      <c r="A754" s="86"/>
      <c r="B754" s="56"/>
      <c r="C754" s="18"/>
      <c r="D754" s="19" t="s">
        <v>158</v>
      </c>
      <c r="E754" s="20" t="s">
        <v>179</v>
      </c>
      <c r="F754" s="82" t="s">
        <v>986</v>
      </c>
      <c r="G754" s="58"/>
      <c r="H754" s="121"/>
      <c r="I754" s="24">
        <v>1114285</v>
      </c>
      <c r="J754" s="24"/>
      <c r="K754" s="24">
        <f>I754+J754</f>
        <v>1114285</v>
      </c>
      <c r="L754" s="123"/>
      <c r="M754" s="24"/>
      <c r="N754" s="129">
        <f t="shared" si="71"/>
        <v>1114285</v>
      </c>
      <c r="O754" s="108"/>
      <c r="P754" s="3"/>
      <c r="Q754" s="140"/>
      <c r="R754" s="3"/>
      <c r="S754" s="3"/>
      <c r="T754" s="3"/>
      <c r="U754" s="3"/>
      <c r="V754" s="3"/>
      <c r="W754" s="3"/>
      <c r="X754" s="3"/>
      <c r="Y754" s="131"/>
      <c r="Z754" s="15"/>
      <c r="AA754" s="99"/>
      <c r="AB754" s="149"/>
      <c r="AC754" s="134"/>
      <c r="AD754" s="134"/>
      <c r="AE754" s="137"/>
      <c r="AF754" s="150"/>
      <c r="AG754" s="137"/>
      <c r="AH754" s="137"/>
      <c r="AI754" s="3"/>
      <c r="AJ754" s="138"/>
      <c r="AK754" s="2"/>
      <c r="AL754" s="139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131"/>
      <c r="AX754" s="15"/>
      <c r="AY754" s="99"/>
      <c r="AZ754" s="149"/>
      <c r="BA754" s="134"/>
      <c r="BB754" s="134"/>
      <c r="BC754" s="137"/>
      <c r="BD754" s="150"/>
      <c r="BE754" s="137"/>
      <c r="BF754" s="137"/>
      <c r="BG754" s="3"/>
      <c r="BH754" s="138"/>
      <c r="BI754" s="2"/>
      <c r="BJ754" s="139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131"/>
      <c r="BV754" s="15"/>
      <c r="BW754" s="99"/>
      <c r="BX754" s="149"/>
      <c r="BY754" s="134"/>
      <c r="BZ754" s="134"/>
      <c r="CA754" s="137"/>
      <c r="CB754" s="150"/>
      <c r="CC754" s="137"/>
      <c r="CD754" s="137"/>
      <c r="CE754" s="3"/>
      <c r="CF754" s="138"/>
      <c r="CG754" s="2"/>
      <c r="CH754" s="139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131"/>
      <c r="CT754" s="15"/>
      <c r="CU754" s="99"/>
      <c r="CV754" s="149"/>
      <c r="CW754" s="134"/>
      <c r="CX754" s="134"/>
      <c r="CY754" s="137"/>
      <c r="CZ754" s="150"/>
      <c r="DA754" s="137"/>
      <c r="DB754" s="137"/>
      <c r="DC754" s="3"/>
      <c r="DD754" s="138"/>
      <c r="DE754" s="2"/>
      <c r="DF754" s="139"/>
      <c r="DG754" s="3"/>
      <c r="DH754" s="3"/>
      <c r="DI754" s="3"/>
      <c r="DJ754" s="3"/>
      <c r="DK754" s="3"/>
      <c r="DL754" s="3"/>
      <c r="DM754" s="3"/>
      <c r="DN754" s="3"/>
      <c r="DO754" s="3"/>
      <c r="DP754" s="3"/>
      <c r="DQ754" s="131"/>
      <c r="DR754" s="15"/>
      <c r="DS754" s="99"/>
      <c r="DT754" s="149"/>
      <c r="DU754" s="134"/>
      <c r="DV754" s="134"/>
      <c r="DW754" s="137"/>
      <c r="DX754" s="150"/>
      <c r="DY754" s="137"/>
      <c r="DZ754" s="137"/>
      <c r="EA754" s="3"/>
      <c r="EB754" s="138"/>
      <c r="EC754" s="2"/>
      <c r="ED754" s="139"/>
      <c r="EE754" s="3"/>
      <c r="EF754" s="3"/>
      <c r="EG754" s="3"/>
      <c r="EH754" s="3"/>
      <c r="EI754" s="3"/>
      <c r="EJ754" s="3"/>
      <c r="EK754" s="3"/>
      <c r="EL754" s="3"/>
      <c r="EM754" s="3"/>
      <c r="EN754" s="3"/>
      <c r="EO754" s="131"/>
      <c r="EP754" s="15"/>
      <c r="EQ754" s="99"/>
      <c r="ER754" s="149"/>
      <c r="ES754" s="134"/>
      <c r="ET754" s="134"/>
      <c r="EU754" s="137"/>
      <c r="EV754" s="150"/>
      <c r="EW754" s="137"/>
      <c r="EX754" s="137"/>
      <c r="EY754" s="3"/>
      <c r="EZ754" s="138"/>
      <c r="FA754" s="2"/>
      <c r="FB754" s="139"/>
      <c r="FC754" s="3"/>
      <c r="FD754" s="3"/>
      <c r="FE754" s="3"/>
      <c r="FF754" s="3"/>
      <c r="FG754" s="3"/>
      <c r="FH754" s="3"/>
      <c r="FI754" s="3"/>
      <c r="FJ754" s="3"/>
      <c r="FK754" s="3"/>
      <c r="FL754" s="3"/>
      <c r="FM754" s="131"/>
      <c r="FN754" s="15"/>
      <c r="FO754" s="99"/>
      <c r="FP754" s="149"/>
      <c r="FQ754" s="134"/>
      <c r="FR754" s="134"/>
      <c r="FS754" s="137"/>
      <c r="FT754" s="150"/>
      <c r="FU754" s="137"/>
      <c r="FV754" s="137"/>
      <c r="FW754" s="3"/>
      <c r="FX754" s="138"/>
      <c r="FY754" s="2"/>
      <c r="FZ754" s="139"/>
      <c r="GA754" s="3"/>
      <c r="GB754" s="3"/>
      <c r="GC754" s="3"/>
      <c r="GD754" s="3"/>
      <c r="GE754" s="3"/>
      <c r="GF754" s="3"/>
      <c r="GG754" s="3"/>
      <c r="GH754" s="3"/>
      <c r="GI754" s="3"/>
      <c r="GJ754" s="3"/>
      <c r="GK754" s="131"/>
      <c r="GL754" s="15"/>
      <c r="GM754" s="99"/>
      <c r="GN754" s="149"/>
      <c r="GO754" s="134"/>
      <c r="GP754" s="134"/>
      <c r="GQ754" s="137"/>
      <c r="GR754" s="150"/>
      <c r="GS754" s="137"/>
      <c r="GT754" s="137"/>
      <c r="GU754" s="3"/>
      <c r="GV754" s="138"/>
      <c r="GW754" s="2"/>
      <c r="GX754" s="139"/>
      <c r="GY754" s="3"/>
      <c r="GZ754" s="3"/>
      <c r="HA754" s="3"/>
      <c r="HB754" s="3"/>
      <c r="HC754" s="3"/>
      <c r="HD754" s="3"/>
      <c r="HE754" s="3"/>
      <c r="HF754" s="3"/>
      <c r="HG754" s="3"/>
      <c r="HH754" s="3"/>
      <c r="HI754" s="131"/>
      <c r="HJ754" s="15"/>
      <c r="HK754" s="99"/>
      <c r="HL754" s="149"/>
      <c r="HM754" s="134"/>
      <c r="HN754" s="134"/>
      <c r="HO754" s="137"/>
      <c r="HP754" s="150"/>
      <c r="HQ754" s="137"/>
      <c r="HR754" s="137"/>
      <c r="HS754" s="3"/>
      <c r="HT754" s="138"/>
      <c r="HU754" s="2"/>
      <c r="HV754" s="139"/>
      <c r="HW754" s="3"/>
      <c r="HX754" s="3"/>
      <c r="HY754" s="3"/>
      <c r="HZ754" s="3"/>
      <c r="IA754" s="3"/>
      <c r="IB754" s="3"/>
      <c r="IC754" s="3"/>
      <c r="ID754" s="3"/>
      <c r="IE754" s="3"/>
      <c r="IF754" s="3"/>
      <c r="IG754" s="131"/>
      <c r="IH754" s="15"/>
      <c r="II754" s="99"/>
      <c r="IJ754" s="149"/>
      <c r="IK754" s="134"/>
      <c r="IL754" s="134"/>
      <c r="IM754" s="137"/>
      <c r="IN754" s="150"/>
      <c r="IO754" s="137"/>
      <c r="IP754" s="137"/>
      <c r="IQ754" s="3"/>
      <c r="IR754" s="138"/>
      <c r="IS754" s="2"/>
      <c r="IT754" s="139"/>
      <c r="IU754" s="3"/>
      <c r="IV754" s="3"/>
    </row>
    <row r="755" spans="1:256" s="125" customFormat="1">
      <c r="A755" s="86"/>
      <c r="B755" s="56">
        <v>43004</v>
      </c>
      <c r="C755" s="18"/>
      <c r="D755" s="19" t="s">
        <v>158</v>
      </c>
      <c r="E755" s="20" t="s">
        <v>178</v>
      </c>
      <c r="F755" s="24" t="s">
        <v>987</v>
      </c>
      <c r="G755" s="238">
        <v>1707</v>
      </c>
      <c r="H755" s="121">
        <v>1324800</v>
      </c>
      <c r="I755" s="24">
        <v>1261714</v>
      </c>
      <c r="J755" s="199"/>
      <c r="K755" s="24">
        <v>1261714</v>
      </c>
      <c r="L755" s="24"/>
      <c r="M755" s="24">
        <f>K755*L755</f>
        <v>0</v>
      </c>
      <c r="N755" s="129">
        <f t="shared" si="71"/>
        <v>1261714</v>
      </c>
      <c r="O755" s="108" t="s">
        <v>988</v>
      </c>
      <c r="P755" s="3"/>
      <c r="Q755" s="140"/>
      <c r="R755" s="3"/>
      <c r="S755" s="3"/>
      <c r="T755" s="3"/>
      <c r="U755" s="3"/>
      <c r="V755" s="3"/>
      <c r="W755" s="3"/>
      <c r="X755" s="3"/>
      <c r="Y755" s="131"/>
      <c r="Z755" s="15"/>
      <c r="AA755" s="99"/>
      <c r="AB755" s="149"/>
      <c r="AC755" s="134"/>
      <c r="AD755" s="134"/>
      <c r="AE755" s="137"/>
      <c r="AF755" s="150"/>
      <c r="AG755" s="137"/>
      <c r="AH755" s="137"/>
      <c r="AI755" s="3"/>
      <c r="AJ755" s="138"/>
      <c r="AK755" s="2"/>
      <c r="AL755" s="139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131"/>
      <c r="AX755" s="15"/>
      <c r="AY755" s="99"/>
      <c r="AZ755" s="149"/>
      <c r="BA755" s="134"/>
      <c r="BB755" s="134"/>
      <c r="BC755" s="137"/>
      <c r="BD755" s="150"/>
      <c r="BE755" s="137"/>
      <c r="BF755" s="137"/>
      <c r="BG755" s="3"/>
      <c r="BH755" s="138"/>
      <c r="BI755" s="2"/>
      <c r="BJ755" s="139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131"/>
      <c r="BV755" s="15"/>
      <c r="BW755" s="99"/>
      <c r="BX755" s="149"/>
      <c r="BY755" s="134"/>
      <c r="BZ755" s="134"/>
      <c r="CA755" s="137"/>
      <c r="CB755" s="150"/>
      <c r="CC755" s="137"/>
      <c r="CD755" s="137"/>
      <c r="CE755" s="3"/>
      <c r="CF755" s="138"/>
      <c r="CG755" s="2"/>
      <c r="CH755" s="139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131"/>
      <c r="CT755" s="15"/>
      <c r="CU755" s="99"/>
      <c r="CV755" s="149"/>
      <c r="CW755" s="134"/>
      <c r="CX755" s="134"/>
      <c r="CY755" s="137"/>
      <c r="CZ755" s="150"/>
      <c r="DA755" s="137"/>
      <c r="DB755" s="137"/>
      <c r="DC755" s="3"/>
      <c r="DD755" s="138"/>
      <c r="DE755" s="2"/>
      <c r="DF755" s="139"/>
      <c r="DG755" s="3"/>
      <c r="DH755" s="3"/>
      <c r="DI755" s="3"/>
      <c r="DJ755" s="3"/>
      <c r="DK755" s="3"/>
      <c r="DL755" s="3"/>
      <c r="DM755" s="3"/>
      <c r="DN755" s="3"/>
      <c r="DO755" s="3"/>
      <c r="DP755" s="3"/>
      <c r="DQ755" s="131"/>
      <c r="DR755" s="15"/>
      <c r="DS755" s="99"/>
      <c r="DT755" s="149"/>
      <c r="DU755" s="134"/>
      <c r="DV755" s="134"/>
      <c r="DW755" s="137"/>
      <c r="DX755" s="150"/>
      <c r="DY755" s="137"/>
      <c r="DZ755" s="137"/>
      <c r="EA755" s="3"/>
      <c r="EB755" s="138"/>
      <c r="EC755" s="2"/>
      <c r="ED755" s="139"/>
      <c r="EE755" s="3"/>
      <c r="EF755" s="3"/>
      <c r="EG755" s="3"/>
      <c r="EH755" s="3"/>
      <c r="EI755" s="3"/>
      <c r="EJ755" s="3"/>
      <c r="EK755" s="3"/>
      <c r="EL755" s="3"/>
      <c r="EM755" s="3"/>
      <c r="EN755" s="3"/>
      <c r="EO755" s="131"/>
      <c r="EP755" s="15"/>
      <c r="EQ755" s="99"/>
      <c r="ER755" s="149"/>
      <c r="ES755" s="134"/>
      <c r="ET755" s="134"/>
      <c r="EU755" s="137"/>
      <c r="EV755" s="150"/>
      <c r="EW755" s="137"/>
      <c r="EX755" s="137"/>
      <c r="EY755" s="3"/>
      <c r="EZ755" s="138"/>
      <c r="FA755" s="2"/>
      <c r="FB755" s="139"/>
      <c r="FC755" s="3"/>
      <c r="FD755" s="3"/>
      <c r="FE755" s="3"/>
      <c r="FF755" s="3"/>
      <c r="FG755" s="3"/>
      <c r="FH755" s="3"/>
      <c r="FI755" s="3"/>
      <c r="FJ755" s="3"/>
      <c r="FK755" s="3"/>
      <c r="FL755" s="3"/>
      <c r="FM755" s="131"/>
      <c r="FN755" s="15"/>
      <c r="FO755" s="99"/>
      <c r="FP755" s="149"/>
      <c r="FQ755" s="134"/>
      <c r="FR755" s="134"/>
      <c r="FS755" s="137"/>
      <c r="FT755" s="150"/>
      <c r="FU755" s="137"/>
      <c r="FV755" s="137"/>
      <c r="FW755" s="3"/>
      <c r="FX755" s="138"/>
      <c r="FY755" s="2"/>
      <c r="FZ755" s="139"/>
      <c r="GA755" s="3"/>
      <c r="GB755" s="3"/>
      <c r="GC755" s="3"/>
      <c r="GD755" s="3"/>
      <c r="GE755" s="3"/>
      <c r="GF755" s="3"/>
      <c r="GG755" s="3"/>
      <c r="GH755" s="3"/>
      <c r="GI755" s="3"/>
      <c r="GJ755" s="3"/>
      <c r="GK755" s="131"/>
      <c r="GL755" s="15"/>
      <c r="GM755" s="99"/>
      <c r="GN755" s="149"/>
      <c r="GO755" s="134"/>
      <c r="GP755" s="134"/>
      <c r="GQ755" s="137"/>
      <c r="GR755" s="150"/>
      <c r="GS755" s="137"/>
      <c r="GT755" s="137"/>
      <c r="GU755" s="3"/>
      <c r="GV755" s="138"/>
      <c r="GW755" s="2"/>
      <c r="GX755" s="139"/>
      <c r="GY755" s="3"/>
      <c r="GZ755" s="3"/>
      <c r="HA755" s="3"/>
      <c r="HB755" s="3"/>
      <c r="HC755" s="3"/>
      <c r="HD755" s="3"/>
      <c r="HE755" s="3"/>
      <c r="HF755" s="3"/>
      <c r="HG755" s="3"/>
      <c r="HH755" s="3"/>
      <c r="HI755" s="131"/>
      <c r="HJ755" s="15"/>
      <c r="HK755" s="99"/>
      <c r="HL755" s="149"/>
      <c r="HM755" s="134"/>
      <c r="HN755" s="134"/>
      <c r="HO755" s="137"/>
      <c r="HP755" s="150"/>
      <c r="HQ755" s="137"/>
      <c r="HR755" s="137"/>
      <c r="HS755" s="3"/>
      <c r="HT755" s="138"/>
      <c r="HU755" s="2"/>
      <c r="HV755" s="139"/>
      <c r="HW755" s="3"/>
      <c r="HX755" s="3"/>
      <c r="HY755" s="3"/>
      <c r="HZ755" s="3"/>
      <c r="IA755" s="3"/>
      <c r="IB755" s="3"/>
      <c r="IC755" s="3"/>
      <c r="ID755" s="3"/>
      <c r="IE755" s="3"/>
      <c r="IF755" s="3"/>
      <c r="IG755" s="131"/>
      <c r="IH755" s="15"/>
      <c r="II755" s="99"/>
      <c r="IJ755" s="149"/>
      <c r="IK755" s="134"/>
      <c r="IL755" s="134"/>
      <c r="IM755" s="137"/>
      <c r="IN755" s="150"/>
      <c r="IO755" s="137"/>
      <c r="IP755" s="137"/>
      <c r="IQ755" s="3"/>
      <c r="IR755" s="138"/>
      <c r="IS755" s="2"/>
      <c r="IT755" s="139"/>
      <c r="IU755" s="3"/>
      <c r="IV755" s="3"/>
    </row>
    <row r="756" spans="1:256" s="125" customFormat="1">
      <c r="A756" s="86"/>
      <c r="B756" s="56">
        <v>43027</v>
      </c>
      <c r="C756" s="18"/>
      <c r="D756" s="19" t="s">
        <v>158</v>
      </c>
      <c r="E756" s="20" t="s">
        <v>193</v>
      </c>
      <c r="F756" s="24" t="s">
        <v>989</v>
      </c>
      <c r="G756" s="238">
        <v>1707</v>
      </c>
      <c r="H756" s="121">
        <v>1548000</v>
      </c>
      <c r="I756" s="24"/>
      <c r="J756" s="199">
        <v>1474286</v>
      </c>
      <c r="K756" s="24">
        <v>1474286</v>
      </c>
      <c r="L756" s="24"/>
      <c r="M756" s="24">
        <f>K756*L756</f>
        <v>0</v>
      </c>
      <c r="N756" s="129">
        <f t="shared" si="71"/>
        <v>1474286</v>
      </c>
      <c r="O756" s="108" t="s">
        <v>990</v>
      </c>
      <c r="P756" s="3"/>
      <c r="Q756" s="140"/>
      <c r="R756" s="3"/>
      <c r="S756" s="3"/>
      <c r="T756" s="3"/>
      <c r="U756" s="3"/>
      <c r="V756" s="3"/>
      <c r="W756" s="3"/>
      <c r="X756" s="3"/>
      <c r="Y756" s="131"/>
      <c r="Z756" s="15"/>
      <c r="AA756" s="99"/>
      <c r="AB756" s="149"/>
      <c r="AC756" s="134"/>
      <c r="AD756" s="134"/>
      <c r="AE756" s="137"/>
      <c r="AF756" s="150"/>
      <c r="AG756" s="137"/>
      <c r="AH756" s="137"/>
      <c r="AI756" s="3"/>
      <c r="AJ756" s="138"/>
      <c r="AK756" s="2"/>
      <c r="AL756" s="139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131"/>
      <c r="AX756" s="15"/>
      <c r="AY756" s="99"/>
      <c r="AZ756" s="149"/>
      <c r="BA756" s="134"/>
      <c r="BB756" s="134"/>
      <c r="BC756" s="137"/>
      <c r="BD756" s="150"/>
      <c r="BE756" s="137"/>
      <c r="BF756" s="137"/>
      <c r="BG756" s="3"/>
      <c r="BH756" s="138"/>
      <c r="BI756" s="2"/>
      <c r="BJ756" s="139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131"/>
      <c r="BV756" s="15"/>
      <c r="BW756" s="99"/>
      <c r="BX756" s="149"/>
      <c r="BY756" s="134"/>
      <c r="BZ756" s="134"/>
      <c r="CA756" s="137"/>
      <c r="CB756" s="150"/>
      <c r="CC756" s="137"/>
      <c r="CD756" s="137"/>
      <c r="CE756" s="3"/>
      <c r="CF756" s="138"/>
      <c r="CG756" s="2"/>
      <c r="CH756" s="139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131"/>
      <c r="CT756" s="15"/>
      <c r="CU756" s="99"/>
      <c r="CV756" s="149"/>
      <c r="CW756" s="134"/>
      <c r="CX756" s="134"/>
      <c r="CY756" s="137"/>
      <c r="CZ756" s="150"/>
      <c r="DA756" s="137"/>
      <c r="DB756" s="137"/>
      <c r="DC756" s="3"/>
      <c r="DD756" s="138"/>
      <c r="DE756" s="2"/>
      <c r="DF756" s="139"/>
      <c r="DG756" s="3"/>
      <c r="DH756" s="3"/>
      <c r="DI756" s="3"/>
      <c r="DJ756" s="3"/>
      <c r="DK756" s="3"/>
      <c r="DL756" s="3"/>
      <c r="DM756" s="3"/>
      <c r="DN756" s="3"/>
      <c r="DO756" s="3"/>
      <c r="DP756" s="3"/>
      <c r="DQ756" s="131"/>
      <c r="DR756" s="15"/>
      <c r="DS756" s="99"/>
      <c r="DT756" s="149"/>
      <c r="DU756" s="134"/>
      <c r="DV756" s="134"/>
      <c r="DW756" s="137"/>
      <c r="DX756" s="150"/>
      <c r="DY756" s="137"/>
      <c r="DZ756" s="137"/>
      <c r="EA756" s="3"/>
      <c r="EB756" s="138"/>
      <c r="EC756" s="2"/>
      <c r="ED756" s="139"/>
      <c r="EE756" s="3"/>
      <c r="EF756" s="3"/>
      <c r="EG756" s="3"/>
      <c r="EH756" s="3"/>
      <c r="EI756" s="3"/>
      <c r="EJ756" s="3"/>
      <c r="EK756" s="3"/>
      <c r="EL756" s="3"/>
      <c r="EM756" s="3"/>
      <c r="EN756" s="3"/>
      <c r="EO756" s="131"/>
      <c r="EP756" s="15"/>
      <c r="EQ756" s="99"/>
      <c r="ER756" s="149"/>
      <c r="ES756" s="134"/>
      <c r="ET756" s="134"/>
      <c r="EU756" s="137"/>
      <c r="EV756" s="150"/>
      <c r="EW756" s="137"/>
      <c r="EX756" s="137"/>
      <c r="EY756" s="3"/>
      <c r="EZ756" s="138"/>
      <c r="FA756" s="2"/>
      <c r="FB756" s="139"/>
      <c r="FC756" s="3"/>
      <c r="FD756" s="3"/>
      <c r="FE756" s="3"/>
      <c r="FF756" s="3"/>
      <c r="FG756" s="3"/>
      <c r="FH756" s="3"/>
      <c r="FI756" s="3"/>
      <c r="FJ756" s="3"/>
      <c r="FK756" s="3"/>
      <c r="FL756" s="3"/>
      <c r="FM756" s="131"/>
      <c r="FN756" s="15"/>
      <c r="FO756" s="99"/>
      <c r="FP756" s="149"/>
      <c r="FQ756" s="134"/>
      <c r="FR756" s="134"/>
      <c r="FS756" s="137"/>
      <c r="FT756" s="150"/>
      <c r="FU756" s="137"/>
      <c r="FV756" s="137"/>
      <c r="FW756" s="3"/>
      <c r="FX756" s="138"/>
      <c r="FY756" s="2"/>
      <c r="FZ756" s="139"/>
      <c r="GA756" s="3"/>
      <c r="GB756" s="3"/>
      <c r="GC756" s="3"/>
      <c r="GD756" s="3"/>
      <c r="GE756" s="3"/>
      <c r="GF756" s="3"/>
      <c r="GG756" s="3"/>
      <c r="GH756" s="3"/>
      <c r="GI756" s="3"/>
      <c r="GJ756" s="3"/>
      <c r="GK756" s="131"/>
      <c r="GL756" s="15"/>
      <c r="GM756" s="99"/>
      <c r="GN756" s="149"/>
      <c r="GO756" s="134"/>
      <c r="GP756" s="134"/>
      <c r="GQ756" s="137"/>
      <c r="GR756" s="150"/>
      <c r="GS756" s="137"/>
      <c r="GT756" s="137"/>
      <c r="GU756" s="3"/>
      <c r="GV756" s="138"/>
      <c r="GW756" s="2"/>
      <c r="GX756" s="139"/>
      <c r="GY756" s="3"/>
      <c r="GZ756" s="3"/>
      <c r="HA756" s="3"/>
      <c r="HB756" s="3"/>
      <c r="HC756" s="3"/>
      <c r="HD756" s="3"/>
      <c r="HE756" s="3"/>
      <c r="HF756" s="3"/>
      <c r="HG756" s="3"/>
      <c r="HH756" s="3"/>
      <c r="HI756" s="131"/>
      <c r="HJ756" s="15"/>
      <c r="HK756" s="99"/>
      <c r="HL756" s="149"/>
      <c r="HM756" s="134"/>
      <c r="HN756" s="134"/>
      <c r="HO756" s="137"/>
      <c r="HP756" s="150"/>
      <c r="HQ756" s="137"/>
      <c r="HR756" s="137"/>
      <c r="HS756" s="3"/>
      <c r="HT756" s="138"/>
      <c r="HU756" s="2"/>
      <c r="HV756" s="139"/>
      <c r="HW756" s="3"/>
      <c r="HX756" s="3"/>
      <c r="HY756" s="3"/>
      <c r="HZ756" s="3"/>
      <c r="IA756" s="3"/>
      <c r="IB756" s="3"/>
      <c r="IC756" s="3"/>
      <c r="ID756" s="3"/>
      <c r="IE756" s="3"/>
      <c r="IF756" s="3"/>
      <c r="IG756" s="131"/>
      <c r="IH756" s="15"/>
      <c r="II756" s="99"/>
      <c r="IJ756" s="149"/>
      <c r="IK756" s="134"/>
      <c r="IL756" s="134"/>
      <c r="IM756" s="137"/>
      <c r="IN756" s="150"/>
      <c r="IO756" s="137"/>
      <c r="IP756" s="137"/>
      <c r="IQ756" s="3"/>
      <c r="IR756" s="138"/>
      <c r="IS756" s="2"/>
      <c r="IT756" s="139"/>
      <c r="IU756" s="3"/>
      <c r="IV756" s="3"/>
    </row>
    <row r="757" spans="1:256" s="125" customFormat="1">
      <c r="A757" s="86"/>
      <c r="B757" s="56"/>
      <c r="C757" s="18"/>
      <c r="D757" s="19" t="s">
        <v>158</v>
      </c>
      <c r="E757" s="20" t="s">
        <v>200</v>
      </c>
      <c r="F757" s="82" t="s">
        <v>991</v>
      </c>
      <c r="G757" s="58"/>
      <c r="H757" s="121"/>
      <c r="I757" s="24">
        <v>1381714</v>
      </c>
      <c r="J757" s="24"/>
      <c r="K757" s="24">
        <f>I757+J757</f>
        <v>1381714</v>
      </c>
      <c r="L757" s="123"/>
      <c r="M757" s="24"/>
      <c r="N757" s="129">
        <f t="shared" si="71"/>
        <v>1381714</v>
      </c>
      <c r="O757" s="87" t="s">
        <v>155</v>
      </c>
      <c r="P757" s="3"/>
      <c r="Q757" s="140"/>
      <c r="R757" s="3"/>
      <c r="S757" s="3"/>
      <c r="T757" s="3"/>
      <c r="U757" s="3"/>
      <c r="V757" s="3"/>
      <c r="W757" s="3"/>
      <c r="X757" s="3"/>
      <c r="Y757" s="131"/>
      <c r="Z757" s="15"/>
      <c r="AA757" s="99"/>
      <c r="AB757" s="149"/>
      <c r="AC757" s="134"/>
      <c r="AD757" s="134"/>
      <c r="AE757" s="137"/>
      <c r="AF757" s="150"/>
      <c r="AG757" s="137"/>
      <c r="AH757" s="137"/>
      <c r="AI757" s="3"/>
      <c r="AJ757" s="138"/>
      <c r="AK757" s="2"/>
      <c r="AL757" s="139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131"/>
      <c r="AX757" s="15"/>
      <c r="AY757" s="99"/>
      <c r="AZ757" s="149"/>
      <c r="BA757" s="134"/>
      <c r="BB757" s="134"/>
      <c r="BC757" s="137"/>
      <c r="BD757" s="150"/>
      <c r="BE757" s="137"/>
      <c r="BF757" s="137"/>
      <c r="BG757" s="3"/>
      <c r="BH757" s="138"/>
      <c r="BI757" s="2"/>
      <c r="BJ757" s="139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131"/>
      <c r="BV757" s="15"/>
      <c r="BW757" s="99"/>
      <c r="BX757" s="149"/>
      <c r="BY757" s="134"/>
      <c r="BZ757" s="134"/>
      <c r="CA757" s="137"/>
      <c r="CB757" s="150"/>
      <c r="CC757" s="137"/>
      <c r="CD757" s="137"/>
      <c r="CE757" s="3"/>
      <c r="CF757" s="138"/>
      <c r="CG757" s="2"/>
      <c r="CH757" s="139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131"/>
      <c r="CT757" s="15"/>
      <c r="CU757" s="99"/>
      <c r="CV757" s="149"/>
      <c r="CW757" s="134"/>
      <c r="CX757" s="134"/>
      <c r="CY757" s="137"/>
      <c r="CZ757" s="150"/>
      <c r="DA757" s="137"/>
      <c r="DB757" s="137"/>
      <c r="DC757" s="3"/>
      <c r="DD757" s="138"/>
      <c r="DE757" s="2"/>
      <c r="DF757" s="139"/>
      <c r="DG757" s="3"/>
      <c r="DH757" s="3"/>
      <c r="DI757" s="3"/>
      <c r="DJ757" s="3"/>
      <c r="DK757" s="3"/>
      <c r="DL757" s="3"/>
      <c r="DM757" s="3"/>
      <c r="DN757" s="3"/>
      <c r="DO757" s="3"/>
      <c r="DP757" s="3"/>
      <c r="DQ757" s="131"/>
      <c r="DR757" s="15"/>
      <c r="DS757" s="99"/>
      <c r="DT757" s="149"/>
      <c r="DU757" s="134"/>
      <c r="DV757" s="134"/>
      <c r="DW757" s="137"/>
      <c r="DX757" s="150"/>
      <c r="DY757" s="137"/>
      <c r="DZ757" s="137"/>
      <c r="EA757" s="3"/>
      <c r="EB757" s="138"/>
      <c r="EC757" s="2"/>
      <c r="ED757" s="139"/>
      <c r="EE757" s="3"/>
      <c r="EF757" s="3"/>
      <c r="EG757" s="3"/>
      <c r="EH757" s="3"/>
      <c r="EI757" s="3"/>
      <c r="EJ757" s="3"/>
      <c r="EK757" s="3"/>
      <c r="EL757" s="3"/>
      <c r="EM757" s="3"/>
      <c r="EN757" s="3"/>
      <c r="EO757" s="131"/>
      <c r="EP757" s="15"/>
      <c r="EQ757" s="99"/>
      <c r="ER757" s="149"/>
      <c r="ES757" s="134"/>
      <c r="ET757" s="134"/>
      <c r="EU757" s="137"/>
      <c r="EV757" s="150"/>
      <c r="EW757" s="137"/>
      <c r="EX757" s="137"/>
      <c r="EY757" s="3"/>
      <c r="EZ757" s="138"/>
      <c r="FA757" s="2"/>
      <c r="FB757" s="139"/>
      <c r="FC757" s="3"/>
      <c r="FD757" s="3"/>
      <c r="FE757" s="3"/>
      <c r="FF757" s="3"/>
      <c r="FG757" s="3"/>
      <c r="FH757" s="3"/>
      <c r="FI757" s="3"/>
      <c r="FJ757" s="3"/>
      <c r="FK757" s="3"/>
      <c r="FL757" s="3"/>
      <c r="FM757" s="131"/>
      <c r="FN757" s="15"/>
      <c r="FO757" s="99"/>
      <c r="FP757" s="149"/>
      <c r="FQ757" s="134"/>
      <c r="FR757" s="134"/>
      <c r="FS757" s="137"/>
      <c r="FT757" s="150"/>
      <c r="FU757" s="137"/>
      <c r="FV757" s="137"/>
      <c r="FW757" s="3"/>
      <c r="FX757" s="138"/>
      <c r="FY757" s="2"/>
      <c r="FZ757" s="139"/>
      <c r="GA757" s="3"/>
      <c r="GB757" s="3"/>
      <c r="GC757" s="3"/>
      <c r="GD757" s="3"/>
      <c r="GE757" s="3"/>
      <c r="GF757" s="3"/>
      <c r="GG757" s="3"/>
      <c r="GH757" s="3"/>
      <c r="GI757" s="3"/>
      <c r="GJ757" s="3"/>
      <c r="GK757" s="131"/>
      <c r="GL757" s="15"/>
      <c r="GM757" s="99"/>
      <c r="GN757" s="149"/>
      <c r="GO757" s="134"/>
      <c r="GP757" s="134"/>
      <c r="GQ757" s="137"/>
      <c r="GR757" s="150"/>
      <c r="GS757" s="137"/>
      <c r="GT757" s="137"/>
      <c r="GU757" s="3"/>
      <c r="GV757" s="138"/>
      <c r="GW757" s="2"/>
      <c r="GX757" s="139"/>
      <c r="GY757" s="3"/>
      <c r="GZ757" s="3"/>
      <c r="HA757" s="3"/>
      <c r="HB757" s="3"/>
      <c r="HC757" s="3"/>
      <c r="HD757" s="3"/>
      <c r="HE757" s="3"/>
      <c r="HF757" s="3"/>
      <c r="HG757" s="3"/>
      <c r="HH757" s="3"/>
      <c r="HI757" s="131"/>
      <c r="HJ757" s="15"/>
      <c r="HK757" s="99"/>
      <c r="HL757" s="149"/>
      <c r="HM757" s="134"/>
      <c r="HN757" s="134"/>
      <c r="HO757" s="137"/>
      <c r="HP757" s="150"/>
      <c r="HQ757" s="137"/>
      <c r="HR757" s="137"/>
      <c r="HS757" s="3"/>
      <c r="HT757" s="138"/>
      <c r="HU757" s="2"/>
      <c r="HV757" s="139"/>
      <c r="HW757" s="3"/>
      <c r="HX757" s="3"/>
      <c r="HY757" s="3"/>
      <c r="HZ757" s="3"/>
      <c r="IA757" s="3"/>
      <c r="IB757" s="3"/>
      <c r="IC757" s="3"/>
      <c r="ID757" s="3"/>
      <c r="IE757" s="3"/>
      <c r="IF757" s="3"/>
      <c r="IG757" s="131"/>
      <c r="IH757" s="15"/>
      <c r="II757" s="99"/>
      <c r="IJ757" s="149"/>
      <c r="IK757" s="134"/>
      <c r="IL757" s="134"/>
      <c r="IM757" s="137"/>
      <c r="IN757" s="150"/>
      <c r="IO757" s="137"/>
      <c r="IP757" s="137"/>
      <c r="IQ757" s="3"/>
      <c r="IR757" s="138"/>
      <c r="IS757" s="2"/>
      <c r="IT757" s="139"/>
      <c r="IU757" s="3"/>
      <c r="IV757" s="3"/>
    </row>
    <row r="758" spans="1:256" s="125" customFormat="1">
      <c r="A758" s="86"/>
      <c r="B758" s="56"/>
      <c r="C758" s="18"/>
      <c r="D758" s="19" t="s">
        <v>158</v>
      </c>
      <c r="E758" s="20" t="s">
        <v>201</v>
      </c>
      <c r="F758" s="82" t="s">
        <v>992</v>
      </c>
      <c r="G758" s="58"/>
      <c r="H758" s="121">
        <v>1450800</v>
      </c>
      <c r="I758" s="24"/>
      <c r="J758" s="122">
        <f>SUM(H758)/1.05</f>
        <v>1381714.2857142857</v>
      </c>
      <c r="K758" s="24">
        <f>I758+J758</f>
        <v>1381714.2857142857</v>
      </c>
      <c r="L758" s="123"/>
      <c r="M758" s="24"/>
      <c r="N758" s="129">
        <f t="shared" si="71"/>
        <v>1381714.2857142857</v>
      </c>
      <c r="O758" s="108"/>
      <c r="P758" s="3"/>
      <c r="Q758" s="140"/>
      <c r="R758" s="3"/>
      <c r="S758" s="3"/>
      <c r="T758" s="3"/>
      <c r="U758" s="3"/>
      <c r="V758" s="3"/>
      <c r="W758" s="3"/>
      <c r="X758" s="3"/>
      <c r="Y758" s="131"/>
      <c r="Z758" s="15"/>
      <c r="AA758" s="99"/>
      <c r="AB758" s="149"/>
      <c r="AC758" s="134"/>
      <c r="AD758" s="134"/>
      <c r="AE758" s="137"/>
      <c r="AF758" s="150"/>
      <c r="AG758" s="137"/>
      <c r="AH758" s="137"/>
      <c r="AI758" s="3"/>
      <c r="AJ758" s="138"/>
      <c r="AK758" s="2"/>
      <c r="AL758" s="139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131"/>
      <c r="AX758" s="15"/>
      <c r="AY758" s="99"/>
      <c r="AZ758" s="149"/>
      <c r="BA758" s="134"/>
      <c r="BB758" s="134"/>
      <c r="BC758" s="137"/>
      <c r="BD758" s="150"/>
      <c r="BE758" s="137"/>
      <c r="BF758" s="137"/>
      <c r="BG758" s="3"/>
      <c r="BH758" s="138"/>
      <c r="BI758" s="2"/>
      <c r="BJ758" s="139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131"/>
      <c r="BV758" s="15"/>
      <c r="BW758" s="99"/>
      <c r="BX758" s="149"/>
      <c r="BY758" s="134"/>
      <c r="BZ758" s="134"/>
      <c r="CA758" s="137"/>
      <c r="CB758" s="150"/>
      <c r="CC758" s="137"/>
      <c r="CD758" s="137"/>
      <c r="CE758" s="3"/>
      <c r="CF758" s="138"/>
      <c r="CG758" s="2"/>
      <c r="CH758" s="139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131"/>
      <c r="CT758" s="15"/>
      <c r="CU758" s="99"/>
      <c r="CV758" s="149"/>
      <c r="CW758" s="134"/>
      <c r="CX758" s="134"/>
      <c r="CY758" s="137"/>
      <c r="CZ758" s="150"/>
      <c r="DA758" s="137"/>
      <c r="DB758" s="137"/>
      <c r="DC758" s="3"/>
      <c r="DD758" s="138"/>
      <c r="DE758" s="2"/>
      <c r="DF758" s="139"/>
      <c r="DG758" s="3"/>
      <c r="DH758" s="3"/>
      <c r="DI758" s="3"/>
      <c r="DJ758" s="3"/>
      <c r="DK758" s="3"/>
      <c r="DL758" s="3"/>
      <c r="DM758" s="3"/>
      <c r="DN758" s="3"/>
      <c r="DO758" s="3"/>
      <c r="DP758" s="3"/>
      <c r="DQ758" s="131"/>
      <c r="DR758" s="15"/>
      <c r="DS758" s="99"/>
      <c r="DT758" s="149"/>
      <c r="DU758" s="134"/>
      <c r="DV758" s="134"/>
      <c r="DW758" s="137"/>
      <c r="DX758" s="150"/>
      <c r="DY758" s="137"/>
      <c r="DZ758" s="137"/>
      <c r="EA758" s="3"/>
      <c r="EB758" s="138"/>
      <c r="EC758" s="2"/>
      <c r="ED758" s="139"/>
      <c r="EE758" s="3"/>
      <c r="EF758" s="3"/>
      <c r="EG758" s="3"/>
      <c r="EH758" s="3"/>
      <c r="EI758" s="3"/>
      <c r="EJ758" s="3"/>
      <c r="EK758" s="3"/>
      <c r="EL758" s="3"/>
      <c r="EM758" s="3"/>
      <c r="EN758" s="3"/>
      <c r="EO758" s="131"/>
      <c r="EP758" s="15"/>
      <c r="EQ758" s="99"/>
      <c r="ER758" s="149"/>
      <c r="ES758" s="134"/>
      <c r="ET758" s="134"/>
      <c r="EU758" s="137"/>
      <c r="EV758" s="150"/>
      <c r="EW758" s="137"/>
      <c r="EX758" s="137"/>
      <c r="EY758" s="3"/>
      <c r="EZ758" s="138"/>
      <c r="FA758" s="2"/>
      <c r="FB758" s="139"/>
      <c r="FC758" s="3"/>
      <c r="FD758" s="3"/>
      <c r="FE758" s="3"/>
      <c r="FF758" s="3"/>
      <c r="FG758" s="3"/>
      <c r="FH758" s="3"/>
      <c r="FI758" s="3"/>
      <c r="FJ758" s="3"/>
      <c r="FK758" s="3"/>
      <c r="FL758" s="3"/>
      <c r="FM758" s="131"/>
      <c r="FN758" s="15"/>
      <c r="FO758" s="99"/>
      <c r="FP758" s="149"/>
      <c r="FQ758" s="134"/>
      <c r="FR758" s="134"/>
      <c r="FS758" s="137"/>
      <c r="FT758" s="150"/>
      <c r="FU758" s="137"/>
      <c r="FV758" s="137"/>
      <c r="FW758" s="3"/>
      <c r="FX758" s="138"/>
      <c r="FY758" s="2"/>
      <c r="FZ758" s="139"/>
      <c r="GA758" s="3"/>
      <c r="GB758" s="3"/>
      <c r="GC758" s="3"/>
      <c r="GD758" s="3"/>
      <c r="GE758" s="3"/>
      <c r="GF758" s="3"/>
      <c r="GG758" s="3"/>
      <c r="GH758" s="3"/>
      <c r="GI758" s="3"/>
      <c r="GJ758" s="3"/>
      <c r="GK758" s="131"/>
      <c r="GL758" s="15"/>
      <c r="GM758" s="99"/>
      <c r="GN758" s="149"/>
      <c r="GO758" s="134"/>
      <c r="GP758" s="134"/>
      <c r="GQ758" s="137"/>
      <c r="GR758" s="150"/>
      <c r="GS758" s="137"/>
      <c r="GT758" s="137"/>
      <c r="GU758" s="3"/>
      <c r="GV758" s="138"/>
      <c r="GW758" s="2"/>
      <c r="GX758" s="139"/>
      <c r="GY758" s="3"/>
      <c r="GZ758" s="3"/>
      <c r="HA758" s="3"/>
      <c r="HB758" s="3"/>
      <c r="HC758" s="3"/>
      <c r="HD758" s="3"/>
      <c r="HE758" s="3"/>
      <c r="HF758" s="3"/>
      <c r="HG758" s="3"/>
      <c r="HH758" s="3"/>
      <c r="HI758" s="131"/>
      <c r="HJ758" s="15"/>
      <c r="HK758" s="99"/>
      <c r="HL758" s="149"/>
      <c r="HM758" s="134"/>
      <c r="HN758" s="134"/>
      <c r="HO758" s="137"/>
      <c r="HP758" s="150"/>
      <c r="HQ758" s="137"/>
      <c r="HR758" s="137"/>
      <c r="HS758" s="3"/>
      <c r="HT758" s="138"/>
      <c r="HU758" s="2"/>
      <c r="HV758" s="139"/>
      <c r="HW758" s="3"/>
      <c r="HX758" s="3"/>
      <c r="HY758" s="3"/>
      <c r="HZ758" s="3"/>
      <c r="IA758" s="3"/>
      <c r="IB758" s="3"/>
      <c r="IC758" s="3"/>
      <c r="ID758" s="3"/>
      <c r="IE758" s="3"/>
      <c r="IF758" s="3"/>
      <c r="IG758" s="131"/>
      <c r="IH758" s="15"/>
      <c r="II758" s="99"/>
      <c r="IJ758" s="149"/>
      <c r="IK758" s="134"/>
      <c r="IL758" s="134"/>
      <c r="IM758" s="137"/>
      <c r="IN758" s="150"/>
      <c r="IO758" s="137"/>
      <c r="IP758" s="137"/>
      <c r="IQ758" s="3"/>
      <c r="IR758" s="138"/>
      <c r="IS758" s="2"/>
      <c r="IT758" s="139"/>
      <c r="IU758" s="3"/>
      <c r="IV758" s="3"/>
    </row>
    <row r="759" spans="1:256" s="125" customFormat="1">
      <c r="A759" s="86"/>
      <c r="B759" s="56"/>
      <c r="C759" s="18"/>
      <c r="D759" s="19" t="s">
        <v>158</v>
      </c>
      <c r="E759" s="20" t="s">
        <v>206</v>
      </c>
      <c r="F759" s="120" t="s">
        <v>993</v>
      </c>
      <c r="G759" s="58"/>
      <c r="H759" s="121"/>
      <c r="I759" s="24">
        <v>1594286</v>
      </c>
      <c r="J759" s="24"/>
      <c r="K759" s="24">
        <f>I759+J759</f>
        <v>1594286</v>
      </c>
      <c r="L759" s="123"/>
      <c r="M759" s="24"/>
      <c r="N759" s="59">
        <f t="shared" si="71"/>
        <v>1594286</v>
      </c>
      <c r="O759" s="108"/>
      <c r="P759" s="3"/>
      <c r="Q759" s="140"/>
      <c r="R759" s="3"/>
      <c r="S759" s="3"/>
      <c r="T759" s="3"/>
      <c r="U759" s="3"/>
      <c r="V759" s="3"/>
      <c r="W759" s="3"/>
      <c r="X759" s="3"/>
      <c r="Y759" s="131"/>
      <c r="Z759" s="15"/>
      <c r="AA759" s="99"/>
      <c r="AB759" s="149"/>
      <c r="AC759" s="134"/>
      <c r="AD759" s="134"/>
      <c r="AE759" s="137"/>
      <c r="AF759" s="150"/>
      <c r="AG759" s="137"/>
      <c r="AH759" s="137"/>
      <c r="AI759" s="3"/>
      <c r="AJ759" s="138"/>
      <c r="AK759" s="2"/>
      <c r="AL759" s="139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131"/>
      <c r="AX759" s="15"/>
      <c r="AY759" s="99"/>
      <c r="AZ759" s="149"/>
      <c r="BA759" s="134"/>
      <c r="BB759" s="134"/>
      <c r="BC759" s="137"/>
      <c r="BD759" s="150"/>
      <c r="BE759" s="137"/>
      <c r="BF759" s="137"/>
      <c r="BG759" s="3"/>
      <c r="BH759" s="138"/>
      <c r="BI759" s="2"/>
      <c r="BJ759" s="139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131"/>
      <c r="BV759" s="15"/>
      <c r="BW759" s="99"/>
      <c r="BX759" s="149"/>
      <c r="BY759" s="134"/>
      <c r="BZ759" s="134"/>
      <c r="CA759" s="137"/>
      <c r="CB759" s="150"/>
      <c r="CC759" s="137"/>
      <c r="CD759" s="137"/>
      <c r="CE759" s="3"/>
      <c r="CF759" s="138"/>
      <c r="CG759" s="2"/>
      <c r="CH759" s="139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131"/>
      <c r="CT759" s="15"/>
      <c r="CU759" s="99"/>
      <c r="CV759" s="149"/>
      <c r="CW759" s="134"/>
      <c r="CX759" s="134"/>
      <c r="CY759" s="137"/>
      <c r="CZ759" s="150"/>
      <c r="DA759" s="137"/>
      <c r="DB759" s="137"/>
      <c r="DC759" s="3"/>
      <c r="DD759" s="138"/>
      <c r="DE759" s="2"/>
      <c r="DF759" s="139"/>
      <c r="DG759" s="3"/>
      <c r="DH759" s="3"/>
      <c r="DI759" s="3"/>
      <c r="DJ759" s="3"/>
      <c r="DK759" s="3"/>
      <c r="DL759" s="3"/>
      <c r="DM759" s="3"/>
      <c r="DN759" s="3"/>
      <c r="DO759" s="3"/>
      <c r="DP759" s="3"/>
      <c r="DQ759" s="131"/>
      <c r="DR759" s="15"/>
      <c r="DS759" s="99"/>
      <c r="DT759" s="149"/>
      <c r="DU759" s="134"/>
      <c r="DV759" s="134"/>
      <c r="DW759" s="137"/>
      <c r="DX759" s="150"/>
      <c r="DY759" s="137"/>
      <c r="DZ759" s="137"/>
      <c r="EA759" s="3"/>
      <c r="EB759" s="138"/>
      <c r="EC759" s="2"/>
      <c r="ED759" s="139"/>
      <c r="EE759" s="3"/>
      <c r="EF759" s="3"/>
      <c r="EG759" s="3"/>
      <c r="EH759" s="3"/>
      <c r="EI759" s="3"/>
      <c r="EJ759" s="3"/>
      <c r="EK759" s="3"/>
      <c r="EL759" s="3"/>
      <c r="EM759" s="3"/>
      <c r="EN759" s="3"/>
      <c r="EO759" s="131"/>
      <c r="EP759" s="15"/>
      <c r="EQ759" s="99"/>
      <c r="ER759" s="149"/>
      <c r="ES759" s="134"/>
      <c r="ET759" s="134"/>
      <c r="EU759" s="137"/>
      <c r="EV759" s="150"/>
      <c r="EW759" s="137"/>
      <c r="EX759" s="137"/>
      <c r="EY759" s="3"/>
      <c r="EZ759" s="138"/>
      <c r="FA759" s="2"/>
      <c r="FB759" s="139"/>
      <c r="FC759" s="3"/>
      <c r="FD759" s="3"/>
      <c r="FE759" s="3"/>
      <c r="FF759" s="3"/>
      <c r="FG759" s="3"/>
      <c r="FH759" s="3"/>
      <c r="FI759" s="3"/>
      <c r="FJ759" s="3"/>
      <c r="FK759" s="3"/>
      <c r="FL759" s="3"/>
      <c r="FM759" s="131"/>
      <c r="FN759" s="15"/>
      <c r="FO759" s="99"/>
      <c r="FP759" s="149"/>
      <c r="FQ759" s="134"/>
      <c r="FR759" s="134"/>
      <c r="FS759" s="137"/>
      <c r="FT759" s="150"/>
      <c r="FU759" s="137"/>
      <c r="FV759" s="137"/>
      <c r="FW759" s="3"/>
      <c r="FX759" s="138"/>
      <c r="FY759" s="2"/>
      <c r="FZ759" s="139"/>
      <c r="GA759" s="3"/>
      <c r="GB759" s="3"/>
      <c r="GC759" s="3"/>
      <c r="GD759" s="3"/>
      <c r="GE759" s="3"/>
      <c r="GF759" s="3"/>
      <c r="GG759" s="3"/>
      <c r="GH759" s="3"/>
      <c r="GI759" s="3"/>
      <c r="GJ759" s="3"/>
      <c r="GK759" s="131"/>
      <c r="GL759" s="15"/>
      <c r="GM759" s="99"/>
      <c r="GN759" s="149"/>
      <c r="GO759" s="134"/>
      <c r="GP759" s="134"/>
      <c r="GQ759" s="137"/>
      <c r="GR759" s="150"/>
      <c r="GS759" s="137"/>
      <c r="GT759" s="137"/>
      <c r="GU759" s="3"/>
      <c r="GV759" s="138"/>
      <c r="GW759" s="2"/>
      <c r="GX759" s="139"/>
      <c r="GY759" s="3"/>
      <c r="GZ759" s="3"/>
      <c r="HA759" s="3"/>
      <c r="HB759" s="3"/>
      <c r="HC759" s="3"/>
      <c r="HD759" s="3"/>
      <c r="HE759" s="3"/>
      <c r="HF759" s="3"/>
      <c r="HG759" s="3"/>
      <c r="HH759" s="3"/>
      <c r="HI759" s="131"/>
      <c r="HJ759" s="15"/>
      <c r="HK759" s="99"/>
      <c r="HL759" s="149"/>
      <c r="HM759" s="134"/>
      <c r="HN759" s="134"/>
      <c r="HO759" s="137"/>
      <c r="HP759" s="150"/>
      <c r="HQ759" s="137"/>
      <c r="HR759" s="137"/>
      <c r="HS759" s="3"/>
      <c r="HT759" s="138"/>
      <c r="HU759" s="2"/>
      <c r="HV759" s="139"/>
      <c r="HW759" s="3"/>
      <c r="HX759" s="3"/>
      <c r="HY759" s="3"/>
      <c r="HZ759" s="3"/>
      <c r="IA759" s="3"/>
      <c r="IB759" s="3"/>
      <c r="IC759" s="3"/>
      <c r="ID759" s="3"/>
      <c r="IE759" s="3"/>
      <c r="IF759" s="3"/>
      <c r="IG759" s="131"/>
      <c r="IH759" s="15"/>
      <c r="II759" s="99"/>
      <c r="IJ759" s="149"/>
      <c r="IK759" s="134"/>
      <c r="IL759" s="134"/>
      <c r="IM759" s="137"/>
      <c r="IN759" s="150"/>
      <c r="IO759" s="137"/>
      <c r="IP759" s="137"/>
      <c r="IQ759" s="3"/>
      <c r="IR759" s="138"/>
      <c r="IS759" s="2"/>
      <c r="IT759" s="139"/>
      <c r="IU759" s="3"/>
      <c r="IV759" s="3"/>
    </row>
    <row r="760" spans="1:256" s="125" customFormat="1">
      <c r="A760" s="86"/>
      <c r="B760" s="56"/>
      <c r="C760" s="18"/>
      <c r="D760" s="19" t="s">
        <v>158</v>
      </c>
      <c r="E760" s="20" t="s">
        <v>206</v>
      </c>
      <c r="F760" s="120" t="s">
        <v>994</v>
      </c>
      <c r="G760" s="58"/>
      <c r="H760" s="121"/>
      <c r="I760" s="24">
        <v>1594286</v>
      </c>
      <c r="J760" s="24"/>
      <c r="K760" s="24">
        <f>I760+J760</f>
        <v>1594286</v>
      </c>
      <c r="L760" s="123"/>
      <c r="M760" s="24"/>
      <c r="N760" s="59">
        <f t="shared" si="71"/>
        <v>1594286</v>
      </c>
      <c r="O760" s="87" t="s">
        <v>155</v>
      </c>
      <c r="P760" s="3"/>
      <c r="Q760" s="140"/>
      <c r="R760" s="3"/>
      <c r="S760" s="3"/>
      <c r="T760" s="3"/>
      <c r="U760" s="3"/>
      <c r="V760" s="3"/>
      <c r="W760" s="3"/>
      <c r="X760" s="3"/>
      <c r="Y760" s="131"/>
      <c r="Z760" s="15"/>
      <c r="AA760" s="99"/>
      <c r="AB760" s="149"/>
      <c r="AC760" s="134"/>
      <c r="AD760" s="134"/>
      <c r="AE760" s="137"/>
      <c r="AF760" s="150"/>
      <c r="AG760" s="137"/>
      <c r="AH760" s="137"/>
      <c r="AI760" s="3"/>
      <c r="AJ760" s="138"/>
      <c r="AK760" s="2"/>
      <c r="AL760" s="139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131"/>
      <c r="AX760" s="15"/>
      <c r="AY760" s="99"/>
      <c r="AZ760" s="149"/>
      <c r="BA760" s="134"/>
      <c r="BB760" s="134"/>
      <c r="BC760" s="137"/>
      <c r="BD760" s="150"/>
      <c r="BE760" s="137"/>
      <c r="BF760" s="137"/>
      <c r="BG760" s="3"/>
      <c r="BH760" s="138"/>
      <c r="BI760" s="2"/>
      <c r="BJ760" s="139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131"/>
      <c r="BV760" s="15"/>
      <c r="BW760" s="99"/>
      <c r="BX760" s="149"/>
      <c r="BY760" s="134"/>
      <c r="BZ760" s="134"/>
      <c r="CA760" s="137"/>
      <c r="CB760" s="150"/>
      <c r="CC760" s="137"/>
      <c r="CD760" s="137"/>
      <c r="CE760" s="3"/>
      <c r="CF760" s="138"/>
      <c r="CG760" s="2"/>
      <c r="CH760" s="139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131"/>
      <c r="CT760" s="15"/>
      <c r="CU760" s="99"/>
      <c r="CV760" s="149"/>
      <c r="CW760" s="134"/>
      <c r="CX760" s="134"/>
      <c r="CY760" s="137"/>
      <c r="CZ760" s="150"/>
      <c r="DA760" s="137"/>
      <c r="DB760" s="137"/>
      <c r="DC760" s="3"/>
      <c r="DD760" s="138"/>
      <c r="DE760" s="2"/>
      <c r="DF760" s="139"/>
      <c r="DG760" s="3"/>
      <c r="DH760" s="3"/>
      <c r="DI760" s="3"/>
      <c r="DJ760" s="3"/>
      <c r="DK760" s="3"/>
      <c r="DL760" s="3"/>
      <c r="DM760" s="3"/>
      <c r="DN760" s="3"/>
      <c r="DO760" s="3"/>
      <c r="DP760" s="3"/>
      <c r="DQ760" s="131"/>
      <c r="DR760" s="15"/>
      <c r="DS760" s="99"/>
      <c r="DT760" s="149"/>
      <c r="DU760" s="134"/>
      <c r="DV760" s="134"/>
      <c r="DW760" s="137"/>
      <c r="DX760" s="150"/>
      <c r="DY760" s="137"/>
      <c r="DZ760" s="137"/>
      <c r="EA760" s="3"/>
      <c r="EB760" s="138"/>
      <c r="EC760" s="2"/>
      <c r="ED760" s="139"/>
      <c r="EE760" s="3"/>
      <c r="EF760" s="3"/>
      <c r="EG760" s="3"/>
      <c r="EH760" s="3"/>
      <c r="EI760" s="3"/>
      <c r="EJ760" s="3"/>
      <c r="EK760" s="3"/>
      <c r="EL760" s="3"/>
      <c r="EM760" s="3"/>
      <c r="EN760" s="3"/>
      <c r="EO760" s="131"/>
      <c r="EP760" s="15"/>
      <c r="EQ760" s="99"/>
      <c r="ER760" s="149"/>
      <c r="ES760" s="134"/>
      <c r="ET760" s="134"/>
      <c r="EU760" s="137"/>
      <c r="EV760" s="150"/>
      <c r="EW760" s="137"/>
      <c r="EX760" s="137"/>
      <c r="EY760" s="3"/>
      <c r="EZ760" s="138"/>
      <c r="FA760" s="2"/>
      <c r="FB760" s="139"/>
      <c r="FC760" s="3"/>
      <c r="FD760" s="3"/>
      <c r="FE760" s="3"/>
      <c r="FF760" s="3"/>
      <c r="FG760" s="3"/>
      <c r="FH760" s="3"/>
      <c r="FI760" s="3"/>
      <c r="FJ760" s="3"/>
      <c r="FK760" s="3"/>
      <c r="FL760" s="3"/>
      <c r="FM760" s="131"/>
      <c r="FN760" s="15"/>
      <c r="FO760" s="99"/>
      <c r="FP760" s="149"/>
      <c r="FQ760" s="134"/>
      <c r="FR760" s="134"/>
      <c r="FS760" s="137"/>
      <c r="FT760" s="150"/>
      <c r="FU760" s="137"/>
      <c r="FV760" s="137"/>
      <c r="FW760" s="3"/>
      <c r="FX760" s="138"/>
      <c r="FY760" s="2"/>
      <c r="FZ760" s="139"/>
      <c r="GA760" s="3"/>
      <c r="GB760" s="3"/>
      <c r="GC760" s="3"/>
      <c r="GD760" s="3"/>
      <c r="GE760" s="3"/>
      <c r="GF760" s="3"/>
      <c r="GG760" s="3"/>
      <c r="GH760" s="3"/>
      <c r="GI760" s="3"/>
      <c r="GJ760" s="3"/>
      <c r="GK760" s="131"/>
      <c r="GL760" s="15"/>
      <c r="GM760" s="99"/>
      <c r="GN760" s="149"/>
      <c r="GO760" s="134"/>
      <c r="GP760" s="134"/>
      <c r="GQ760" s="137"/>
      <c r="GR760" s="150"/>
      <c r="GS760" s="137"/>
      <c r="GT760" s="137"/>
      <c r="GU760" s="3"/>
      <c r="GV760" s="138"/>
      <c r="GW760" s="2"/>
      <c r="GX760" s="139"/>
      <c r="GY760" s="3"/>
      <c r="GZ760" s="3"/>
      <c r="HA760" s="3"/>
      <c r="HB760" s="3"/>
      <c r="HC760" s="3"/>
      <c r="HD760" s="3"/>
      <c r="HE760" s="3"/>
      <c r="HF760" s="3"/>
      <c r="HG760" s="3"/>
      <c r="HH760" s="3"/>
      <c r="HI760" s="131"/>
      <c r="HJ760" s="15"/>
      <c r="HK760" s="99"/>
      <c r="HL760" s="149"/>
      <c r="HM760" s="134"/>
      <c r="HN760" s="134"/>
      <c r="HO760" s="137"/>
      <c r="HP760" s="150"/>
      <c r="HQ760" s="137"/>
      <c r="HR760" s="137"/>
      <c r="HS760" s="3"/>
      <c r="HT760" s="138"/>
      <c r="HU760" s="2"/>
      <c r="HV760" s="139"/>
      <c r="HW760" s="3"/>
      <c r="HX760" s="3"/>
      <c r="HY760" s="3"/>
      <c r="HZ760" s="3"/>
      <c r="IA760" s="3"/>
      <c r="IB760" s="3"/>
      <c r="IC760" s="3"/>
      <c r="ID760" s="3"/>
      <c r="IE760" s="3"/>
      <c r="IF760" s="3"/>
      <c r="IG760" s="131"/>
      <c r="IH760" s="15"/>
      <c r="II760" s="99"/>
      <c r="IJ760" s="149"/>
      <c r="IK760" s="134"/>
      <c r="IL760" s="134"/>
      <c r="IM760" s="137"/>
      <c r="IN760" s="150"/>
      <c r="IO760" s="137"/>
      <c r="IP760" s="137"/>
      <c r="IQ760" s="3"/>
      <c r="IR760" s="138"/>
      <c r="IS760" s="2"/>
      <c r="IT760" s="139"/>
      <c r="IU760" s="3"/>
      <c r="IV760" s="3"/>
    </row>
    <row r="761" spans="1:256" s="125" customFormat="1">
      <c r="A761" s="86"/>
      <c r="B761" s="56"/>
      <c r="C761" s="18"/>
      <c r="D761" s="19" t="s">
        <v>156</v>
      </c>
      <c r="E761" s="20" t="s">
        <v>995</v>
      </c>
      <c r="F761" s="62" t="s">
        <v>996</v>
      </c>
      <c r="G761" s="63"/>
      <c r="H761" s="23"/>
      <c r="I761" s="24">
        <v>374076</v>
      </c>
      <c r="J761" s="24"/>
      <c r="K761" s="25">
        <f>I761+J761</f>
        <v>374076</v>
      </c>
      <c r="L761" s="26"/>
      <c r="M761" s="273"/>
      <c r="N761" s="129">
        <f t="shared" si="71"/>
        <v>374076</v>
      </c>
      <c r="O761" s="87" t="s">
        <v>155</v>
      </c>
      <c r="P761" s="3"/>
      <c r="Q761" s="140"/>
      <c r="R761" s="3"/>
      <c r="S761" s="3"/>
      <c r="T761" s="3"/>
      <c r="U761" s="3"/>
      <c r="V761" s="3"/>
      <c r="W761" s="3"/>
      <c r="X761" s="3"/>
      <c r="Y761" s="131"/>
      <c r="Z761" s="15"/>
      <c r="AA761" s="99"/>
      <c r="AB761" s="149"/>
      <c r="AC761" s="134"/>
      <c r="AD761" s="134"/>
      <c r="AE761" s="137"/>
      <c r="AF761" s="150"/>
      <c r="AG761" s="137"/>
      <c r="AH761" s="137"/>
      <c r="AI761" s="3"/>
      <c r="AJ761" s="138"/>
      <c r="AK761" s="2"/>
      <c r="AL761" s="139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131"/>
      <c r="AX761" s="15"/>
      <c r="AY761" s="99"/>
      <c r="AZ761" s="149"/>
      <c r="BA761" s="134"/>
      <c r="BB761" s="134"/>
      <c r="BC761" s="137"/>
      <c r="BD761" s="150"/>
      <c r="BE761" s="137"/>
      <c r="BF761" s="137"/>
      <c r="BG761" s="3"/>
      <c r="BH761" s="138"/>
      <c r="BI761" s="2"/>
      <c r="BJ761" s="139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131"/>
      <c r="BV761" s="15"/>
      <c r="BW761" s="99"/>
      <c r="BX761" s="149"/>
      <c r="BY761" s="134"/>
      <c r="BZ761" s="134"/>
      <c r="CA761" s="137"/>
      <c r="CB761" s="150"/>
      <c r="CC761" s="137"/>
      <c r="CD761" s="137"/>
      <c r="CE761" s="3"/>
      <c r="CF761" s="138"/>
      <c r="CG761" s="2"/>
      <c r="CH761" s="139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131"/>
      <c r="CT761" s="15"/>
      <c r="CU761" s="99"/>
      <c r="CV761" s="149"/>
      <c r="CW761" s="134"/>
      <c r="CX761" s="134"/>
      <c r="CY761" s="137"/>
      <c r="CZ761" s="150"/>
      <c r="DA761" s="137"/>
      <c r="DB761" s="137"/>
      <c r="DC761" s="3"/>
      <c r="DD761" s="138"/>
      <c r="DE761" s="2"/>
      <c r="DF761" s="139"/>
      <c r="DG761" s="3"/>
      <c r="DH761" s="3"/>
      <c r="DI761" s="3"/>
      <c r="DJ761" s="3"/>
      <c r="DK761" s="3"/>
      <c r="DL761" s="3"/>
      <c r="DM761" s="3"/>
      <c r="DN761" s="3"/>
      <c r="DO761" s="3"/>
      <c r="DP761" s="3"/>
      <c r="DQ761" s="131"/>
      <c r="DR761" s="15"/>
      <c r="DS761" s="99"/>
      <c r="DT761" s="149"/>
      <c r="DU761" s="134"/>
      <c r="DV761" s="134"/>
      <c r="DW761" s="137"/>
      <c r="DX761" s="150"/>
      <c r="DY761" s="137"/>
      <c r="DZ761" s="137"/>
      <c r="EA761" s="3"/>
      <c r="EB761" s="138"/>
      <c r="EC761" s="2"/>
      <c r="ED761" s="139"/>
      <c r="EE761" s="3"/>
      <c r="EF761" s="3"/>
      <c r="EG761" s="3"/>
      <c r="EH761" s="3"/>
      <c r="EI761" s="3"/>
      <c r="EJ761" s="3"/>
      <c r="EK761" s="3"/>
      <c r="EL761" s="3"/>
      <c r="EM761" s="3"/>
      <c r="EN761" s="3"/>
      <c r="EO761" s="131"/>
      <c r="EP761" s="15"/>
      <c r="EQ761" s="99"/>
      <c r="ER761" s="149"/>
      <c r="ES761" s="134"/>
      <c r="ET761" s="134"/>
      <c r="EU761" s="137"/>
      <c r="EV761" s="150"/>
      <c r="EW761" s="137"/>
      <c r="EX761" s="137"/>
      <c r="EY761" s="3"/>
      <c r="EZ761" s="138"/>
      <c r="FA761" s="2"/>
      <c r="FB761" s="139"/>
      <c r="FC761" s="3"/>
      <c r="FD761" s="3"/>
      <c r="FE761" s="3"/>
      <c r="FF761" s="3"/>
      <c r="FG761" s="3"/>
      <c r="FH761" s="3"/>
      <c r="FI761" s="3"/>
      <c r="FJ761" s="3"/>
      <c r="FK761" s="3"/>
      <c r="FL761" s="3"/>
      <c r="FM761" s="131"/>
      <c r="FN761" s="15"/>
      <c r="FO761" s="99"/>
      <c r="FP761" s="149"/>
      <c r="FQ761" s="134"/>
      <c r="FR761" s="134"/>
      <c r="FS761" s="137"/>
      <c r="FT761" s="150"/>
      <c r="FU761" s="137"/>
      <c r="FV761" s="137"/>
      <c r="FW761" s="3"/>
      <c r="FX761" s="138"/>
      <c r="FY761" s="2"/>
      <c r="FZ761" s="139"/>
      <c r="GA761" s="3"/>
      <c r="GB761" s="3"/>
      <c r="GC761" s="3"/>
      <c r="GD761" s="3"/>
      <c r="GE761" s="3"/>
      <c r="GF761" s="3"/>
      <c r="GG761" s="3"/>
      <c r="GH761" s="3"/>
      <c r="GI761" s="3"/>
      <c r="GJ761" s="3"/>
      <c r="GK761" s="131"/>
      <c r="GL761" s="15"/>
      <c r="GM761" s="99"/>
      <c r="GN761" s="149"/>
      <c r="GO761" s="134"/>
      <c r="GP761" s="134"/>
      <c r="GQ761" s="137"/>
      <c r="GR761" s="150"/>
      <c r="GS761" s="137"/>
      <c r="GT761" s="137"/>
      <c r="GU761" s="3"/>
      <c r="GV761" s="138"/>
      <c r="GW761" s="2"/>
      <c r="GX761" s="139"/>
      <c r="GY761" s="3"/>
      <c r="GZ761" s="3"/>
      <c r="HA761" s="3"/>
      <c r="HB761" s="3"/>
      <c r="HC761" s="3"/>
      <c r="HD761" s="3"/>
      <c r="HE761" s="3"/>
      <c r="HF761" s="3"/>
      <c r="HG761" s="3"/>
      <c r="HH761" s="3"/>
      <c r="HI761" s="131"/>
      <c r="HJ761" s="15"/>
      <c r="HK761" s="99"/>
      <c r="HL761" s="149"/>
      <c r="HM761" s="134"/>
      <c r="HN761" s="134"/>
      <c r="HO761" s="137"/>
      <c r="HP761" s="150"/>
      <c r="HQ761" s="137"/>
      <c r="HR761" s="137"/>
      <c r="HS761" s="3"/>
      <c r="HT761" s="138"/>
      <c r="HU761" s="2"/>
      <c r="HV761" s="139"/>
      <c r="HW761" s="3"/>
      <c r="HX761" s="3"/>
      <c r="HY761" s="3"/>
      <c r="HZ761" s="3"/>
      <c r="IA761" s="3"/>
      <c r="IB761" s="3"/>
      <c r="IC761" s="3"/>
      <c r="ID761" s="3"/>
      <c r="IE761" s="3"/>
      <c r="IF761" s="3"/>
      <c r="IG761" s="131"/>
      <c r="IH761" s="15"/>
      <c r="II761" s="99"/>
      <c r="IJ761" s="149"/>
      <c r="IK761" s="134"/>
      <c r="IL761" s="134"/>
      <c r="IM761" s="137"/>
      <c r="IN761" s="150"/>
      <c r="IO761" s="137"/>
      <c r="IP761" s="137"/>
      <c r="IQ761" s="3"/>
      <c r="IR761" s="138"/>
      <c r="IS761" s="2"/>
      <c r="IT761" s="139"/>
      <c r="IU761" s="3"/>
      <c r="IV761" s="3"/>
    </row>
    <row r="762" spans="1:256" s="125" customFormat="1">
      <c r="A762" s="86"/>
      <c r="B762" s="56"/>
      <c r="C762" s="18"/>
      <c r="D762" s="19" t="s">
        <v>156</v>
      </c>
      <c r="E762" s="20" t="s">
        <v>68</v>
      </c>
      <c r="F762" s="24" t="s">
        <v>997</v>
      </c>
      <c r="G762" s="238"/>
      <c r="H762" s="121">
        <v>18900</v>
      </c>
      <c r="I762" s="24">
        <v>700552</v>
      </c>
      <c r="J762" s="199"/>
      <c r="K762" s="24">
        <v>700552</v>
      </c>
      <c r="L762" s="24"/>
      <c r="M762" s="24"/>
      <c r="N762" s="129">
        <v>700552</v>
      </c>
      <c r="O762" s="108"/>
      <c r="P762" s="3"/>
      <c r="Q762" s="140"/>
      <c r="R762" s="3"/>
      <c r="S762" s="3"/>
      <c r="T762" s="3"/>
      <c r="U762" s="3"/>
      <c r="V762" s="3"/>
      <c r="W762" s="3"/>
      <c r="X762" s="3"/>
      <c r="Y762" s="131"/>
      <c r="Z762" s="15"/>
      <c r="AA762" s="99"/>
      <c r="AB762" s="149"/>
      <c r="AC762" s="134"/>
      <c r="AD762" s="134"/>
      <c r="AE762" s="137"/>
      <c r="AF762" s="150"/>
      <c r="AG762" s="137"/>
      <c r="AH762" s="137"/>
      <c r="AI762" s="3"/>
      <c r="AJ762" s="138"/>
      <c r="AK762" s="2"/>
      <c r="AL762" s="139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131"/>
      <c r="AX762" s="15"/>
      <c r="AY762" s="99"/>
      <c r="AZ762" s="149"/>
      <c r="BA762" s="134"/>
      <c r="BB762" s="134"/>
      <c r="BC762" s="137"/>
      <c r="BD762" s="150"/>
      <c r="BE762" s="137"/>
      <c r="BF762" s="137"/>
      <c r="BG762" s="3"/>
      <c r="BH762" s="138"/>
      <c r="BI762" s="2"/>
      <c r="BJ762" s="139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131"/>
      <c r="BV762" s="15"/>
      <c r="BW762" s="99"/>
      <c r="BX762" s="149"/>
      <c r="BY762" s="134"/>
      <c r="BZ762" s="134"/>
      <c r="CA762" s="137"/>
      <c r="CB762" s="150"/>
      <c r="CC762" s="137"/>
      <c r="CD762" s="137"/>
      <c r="CE762" s="3"/>
      <c r="CF762" s="138"/>
      <c r="CG762" s="2"/>
      <c r="CH762" s="139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131"/>
      <c r="CT762" s="15"/>
      <c r="CU762" s="99"/>
      <c r="CV762" s="149"/>
      <c r="CW762" s="134"/>
      <c r="CX762" s="134"/>
      <c r="CY762" s="137"/>
      <c r="CZ762" s="150"/>
      <c r="DA762" s="137"/>
      <c r="DB762" s="137"/>
      <c r="DC762" s="3"/>
      <c r="DD762" s="138"/>
      <c r="DE762" s="2"/>
      <c r="DF762" s="139"/>
      <c r="DG762" s="3"/>
      <c r="DH762" s="3"/>
      <c r="DI762" s="3"/>
      <c r="DJ762" s="3"/>
      <c r="DK762" s="3"/>
      <c r="DL762" s="3"/>
      <c r="DM762" s="3"/>
      <c r="DN762" s="3"/>
      <c r="DO762" s="3"/>
      <c r="DP762" s="3"/>
      <c r="DQ762" s="131"/>
      <c r="DR762" s="15"/>
      <c r="DS762" s="99"/>
      <c r="DT762" s="149"/>
      <c r="DU762" s="134"/>
      <c r="DV762" s="134"/>
      <c r="DW762" s="137"/>
      <c r="DX762" s="150"/>
      <c r="DY762" s="137"/>
      <c r="DZ762" s="137"/>
      <c r="EA762" s="3"/>
      <c r="EB762" s="138"/>
      <c r="EC762" s="2"/>
      <c r="ED762" s="139"/>
      <c r="EE762" s="3"/>
      <c r="EF762" s="3"/>
      <c r="EG762" s="3"/>
      <c r="EH762" s="3"/>
      <c r="EI762" s="3"/>
      <c r="EJ762" s="3"/>
      <c r="EK762" s="3"/>
      <c r="EL762" s="3"/>
      <c r="EM762" s="3"/>
      <c r="EN762" s="3"/>
      <c r="EO762" s="131"/>
      <c r="EP762" s="15"/>
      <c r="EQ762" s="99"/>
      <c r="ER762" s="149"/>
      <c r="ES762" s="134"/>
      <c r="ET762" s="134"/>
      <c r="EU762" s="137"/>
      <c r="EV762" s="150"/>
      <c r="EW762" s="137"/>
      <c r="EX762" s="137"/>
      <c r="EY762" s="3"/>
      <c r="EZ762" s="138"/>
      <c r="FA762" s="2"/>
      <c r="FB762" s="139"/>
      <c r="FC762" s="3"/>
      <c r="FD762" s="3"/>
      <c r="FE762" s="3"/>
      <c r="FF762" s="3"/>
      <c r="FG762" s="3"/>
      <c r="FH762" s="3"/>
      <c r="FI762" s="3"/>
      <c r="FJ762" s="3"/>
      <c r="FK762" s="3"/>
      <c r="FL762" s="3"/>
      <c r="FM762" s="131"/>
      <c r="FN762" s="15"/>
      <c r="FO762" s="99"/>
      <c r="FP762" s="149"/>
      <c r="FQ762" s="134"/>
      <c r="FR762" s="134"/>
      <c r="FS762" s="137"/>
      <c r="FT762" s="150"/>
      <c r="FU762" s="137"/>
      <c r="FV762" s="137"/>
      <c r="FW762" s="3"/>
      <c r="FX762" s="138"/>
      <c r="FY762" s="2"/>
      <c r="FZ762" s="139"/>
      <c r="GA762" s="3"/>
      <c r="GB762" s="3"/>
      <c r="GC762" s="3"/>
      <c r="GD762" s="3"/>
      <c r="GE762" s="3"/>
      <c r="GF762" s="3"/>
      <c r="GG762" s="3"/>
      <c r="GH762" s="3"/>
      <c r="GI762" s="3"/>
      <c r="GJ762" s="3"/>
      <c r="GK762" s="131"/>
      <c r="GL762" s="15"/>
      <c r="GM762" s="99"/>
      <c r="GN762" s="149"/>
      <c r="GO762" s="134"/>
      <c r="GP762" s="134"/>
      <c r="GQ762" s="137"/>
      <c r="GR762" s="150"/>
      <c r="GS762" s="137"/>
      <c r="GT762" s="137"/>
      <c r="GU762" s="3"/>
      <c r="GV762" s="138"/>
      <c r="GW762" s="2"/>
      <c r="GX762" s="139"/>
      <c r="GY762" s="3"/>
      <c r="GZ762" s="3"/>
      <c r="HA762" s="3"/>
      <c r="HB762" s="3"/>
      <c r="HC762" s="3"/>
      <c r="HD762" s="3"/>
      <c r="HE762" s="3"/>
      <c r="HF762" s="3"/>
      <c r="HG762" s="3"/>
      <c r="HH762" s="3"/>
      <c r="HI762" s="131"/>
      <c r="HJ762" s="15"/>
      <c r="HK762" s="99"/>
      <c r="HL762" s="149"/>
      <c r="HM762" s="134"/>
      <c r="HN762" s="134"/>
      <c r="HO762" s="137"/>
      <c r="HP762" s="150"/>
      <c r="HQ762" s="137"/>
      <c r="HR762" s="137"/>
      <c r="HS762" s="3"/>
      <c r="HT762" s="138"/>
      <c r="HU762" s="2"/>
      <c r="HV762" s="139"/>
      <c r="HW762" s="3"/>
      <c r="HX762" s="3"/>
      <c r="HY762" s="3"/>
      <c r="HZ762" s="3"/>
      <c r="IA762" s="3"/>
      <c r="IB762" s="3"/>
      <c r="IC762" s="3"/>
      <c r="ID762" s="3"/>
      <c r="IE762" s="3"/>
      <c r="IF762" s="3"/>
      <c r="IG762" s="131"/>
      <c r="IH762" s="15"/>
      <c r="II762" s="99"/>
      <c r="IJ762" s="149"/>
      <c r="IK762" s="134"/>
      <c r="IL762" s="134"/>
      <c r="IM762" s="137"/>
      <c r="IN762" s="150"/>
      <c r="IO762" s="137"/>
      <c r="IP762" s="137"/>
      <c r="IQ762" s="3"/>
      <c r="IR762" s="138"/>
      <c r="IS762" s="2"/>
      <c r="IT762" s="139"/>
      <c r="IU762" s="3"/>
      <c r="IV762" s="3"/>
    </row>
    <row r="763" spans="1:256" s="125" customFormat="1">
      <c r="A763" s="86"/>
      <c r="B763" s="56">
        <v>43047</v>
      </c>
      <c r="C763" s="18"/>
      <c r="D763" s="19" t="s">
        <v>841</v>
      </c>
      <c r="E763" s="20" t="s">
        <v>398</v>
      </c>
      <c r="F763" s="24" t="s">
        <v>791</v>
      </c>
      <c r="G763" s="238">
        <v>1707</v>
      </c>
      <c r="H763" s="121">
        <f>1729000-30000</f>
        <v>1699000</v>
      </c>
      <c r="I763" s="24">
        <v>1618095</v>
      </c>
      <c r="J763" s="199"/>
      <c r="K763" s="24">
        <f t="shared" ref="K763:K772" si="72">I763+J763</f>
        <v>1618095</v>
      </c>
      <c r="L763" s="24"/>
      <c r="M763" s="24">
        <f t="shared" ref="M763:M772" si="73">K763*L763</f>
        <v>0</v>
      </c>
      <c r="N763" s="129">
        <f t="shared" ref="N763:N772" si="74">K763-M763</f>
        <v>1618095</v>
      </c>
      <c r="O763" s="108" t="s">
        <v>900</v>
      </c>
      <c r="P763" s="3"/>
      <c r="Q763" s="140"/>
      <c r="R763" s="3"/>
      <c r="S763" s="3"/>
      <c r="T763" s="3"/>
      <c r="U763" s="3"/>
      <c r="V763" s="3"/>
      <c r="W763" s="3"/>
      <c r="X763" s="3"/>
      <c r="Y763" s="131"/>
      <c r="Z763" s="15"/>
      <c r="AA763" s="99"/>
      <c r="AB763" s="149"/>
      <c r="AC763" s="134"/>
      <c r="AD763" s="134"/>
      <c r="AE763" s="137"/>
      <c r="AF763" s="150"/>
      <c r="AG763" s="137"/>
      <c r="AH763" s="137"/>
      <c r="AI763" s="3"/>
      <c r="AJ763" s="138"/>
      <c r="AK763" s="2"/>
      <c r="AL763" s="139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131"/>
      <c r="AX763" s="15"/>
      <c r="AY763" s="99"/>
      <c r="AZ763" s="149"/>
      <c r="BA763" s="134"/>
      <c r="BB763" s="134"/>
      <c r="BC763" s="137"/>
      <c r="BD763" s="150"/>
      <c r="BE763" s="137"/>
      <c r="BF763" s="137"/>
      <c r="BG763" s="3"/>
      <c r="BH763" s="138"/>
      <c r="BI763" s="2"/>
      <c r="BJ763" s="139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131"/>
      <c r="BV763" s="15"/>
      <c r="BW763" s="99"/>
      <c r="BX763" s="149"/>
      <c r="BY763" s="134"/>
      <c r="BZ763" s="134"/>
      <c r="CA763" s="137"/>
      <c r="CB763" s="150"/>
      <c r="CC763" s="137"/>
      <c r="CD763" s="137"/>
      <c r="CE763" s="3"/>
      <c r="CF763" s="138"/>
      <c r="CG763" s="2"/>
      <c r="CH763" s="139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131"/>
      <c r="CT763" s="15"/>
      <c r="CU763" s="99"/>
      <c r="CV763" s="149"/>
      <c r="CW763" s="134"/>
      <c r="CX763" s="134"/>
      <c r="CY763" s="137"/>
      <c r="CZ763" s="150"/>
      <c r="DA763" s="137"/>
      <c r="DB763" s="137"/>
      <c r="DC763" s="3"/>
      <c r="DD763" s="138"/>
      <c r="DE763" s="2"/>
      <c r="DF763" s="139"/>
      <c r="DG763" s="3"/>
      <c r="DH763" s="3"/>
      <c r="DI763" s="3"/>
      <c r="DJ763" s="3"/>
      <c r="DK763" s="3"/>
      <c r="DL763" s="3"/>
      <c r="DM763" s="3"/>
      <c r="DN763" s="3"/>
      <c r="DO763" s="3"/>
      <c r="DP763" s="3"/>
      <c r="DQ763" s="131"/>
      <c r="DR763" s="15"/>
      <c r="DS763" s="99"/>
      <c r="DT763" s="149"/>
      <c r="DU763" s="134"/>
      <c r="DV763" s="134"/>
      <c r="DW763" s="137"/>
      <c r="DX763" s="150"/>
      <c r="DY763" s="137"/>
      <c r="DZ763" s="137"/>
      <c r="EA763" s="3"/>
      <c r="EB763" s="138"/>
      <c r="EC763" s="2"/>
      <c r="ED763" s="139"/>
      <c r="EE763" s="3"/>
      <c r="EF763" s="3"/>
      <c r="EG763" s="3"/>
      <c r="EH763" s="3"/>
      <c r="EI763" s="3"/>
      <c r="EJ763" s="3"/>
      <c r="EK763" s="3"/>
      <c r="EL763" s="3"/>
      <c r="EM763" s="3"/>
      <c r="EN763" s="3"/>
      <c r="EO763" s="131"/>
      <c r="EP763" s="15"/>
      <c r="EQ763" s="99"/>
      <c r="ER763" s="149"/>
      <c r="ES763" s="134"/>
      <c r="ET763" s="134"/>
      <c r="EU763" s="137"/>
      <c r="EV763" s="150"/>
      <c r="EW763" s="137"/>
      <c r="EX763" s="137"/>
      <c r="EY763" s="3"/>
      <c r="EZ763" s="138"/>
      <c r="FA763" s="2"/>
      <c r="FB763" s="139"/>
      <c r="FC763" s="3"/>
      <c r="FD763" s="3"/>
      <c r="FE763" s="3"/>
      <c r="FF763" s="3"/>
      <c r="FG763" s="3"/>
      <c r="FH763" s="3"/>
      <c r="FI763" s="3"/>
      <c r="FJ763" s="3"/>
      <c r="FK763" s="3"/>
      <c r="FL763" s="3"/>
      <c r="FM763" s="131"/>
      <c r="FN763" s="15"/>
      <c r="FO763" s="99"/>
      <c r="FP763" s="149"/>
      <c r="FQ763" s="134"/>
      <c r="FR763" s="134"/>
      <c r="FS763" s="137"/>
      <c r="FT763" s="150"/>
      <c r="FU763" s="137"/>
      <c r="FV763" s="137"/>
      <c r="FW763" s="3"/>
      <c r="FX763" s="138"/>
      <c r="FY763" s="2"/>
      <c r="FZ763" s="139"/>
      <c r="GA763" s="3"/>
      <c r="GB763" s="3"/>
      <c r="GC763" s="3"/>
      <c r="GD763" s="3"/>
      <c r="GE763" s="3"/>
      <c r="GF763" s="3"/>
      <c r="GG763" s="3"/>
      <c r="GH763" s="3"/>
      <c r="GI763" s="3"/>
      <c r="GJ763" s="3"/>
      <c r="GK763" s="131"/>
      <c r="GL763" s="15"/>
      <c r="GM763" s="99"/>
      <c r="GN763" s="149"/>
      <c r="GO763" s="134"/>
      <c r="GP763" s="134"/>
      <c r="GQ763" s="137"/>
      <c r="GR763" s="150"/>
      <c r="GS763" s="137"/>
      <c r="GT763" s="137"/>
      <c r="GU763" s="3"/>
      <c r="GV763" s="138"/>
      <c r="GW763" s="2"/>
      <c r="GX763" s="139"/>
      <c r="GY763" s="3"/>
      <c r="GZ763" s="3"/>
      <c r="HA763" s="3"/>
      <c r="HB763" s="3"/>
      <c r="HC763" s="3"/>
      <c r="HD763" s="3"/>
      <c r="HE763" s="3"/>
      <c r="HF763" s="3"/>
      <c r="HG763" s="3"/>
      <c r="HH763" s="3"/>
      <c r="HI763" s="131"/>
      <c r="HJ763" s="15"/>
      <c r="HK763" s="99"/>
      <c r="HL763" s="149"/>
      <c r="HM763" s="134"/>
      <c r="HN763" s="134"/>
      <c r="HO763" s="137"/>
      <c r="HP763" s="150"/>
      <c r="HQ763" s="137"/>
      <c r="HR763" s="137"/>
      <c r="HS763" s="3"/>
      <c r="HT763" s="138"/>
      <c r="HU763" s="2"/>
      <c r="HV763" s="139"/>
      <c r="HW763" s="3"/>
      <c r="HX763" s="3"/>
      <c r="HY763" s="3"/>
      <c r="HZ763" s="3"/>
      <c r="IA763" s="3"/>
      <c r="IB763" s="3"/>
      <c r="IC763" s="3"/>
      <c r="ID763" s="3"/>
      <c r="IE763" s="3"/>
      <c r="IF763" s="3"/>
      <c r="IG763" s="131"/>
      <c r="IH763" s="15"/>
      <c r="II763" s="99"/>
      <c r="IJ763" s="149"/>
      <c r="IK763" s="134"/>
      <c r="IL763" s="134"/>
      <c r="IM763" s="137"/>
      <c r="IN763" s="150"/>
      <c r="IO763" s="137"/>
      <c r="IP763" s="137"/>
      <c r="IQ763" s="3"/>
      <c r="IR763" s="138"/>
      <c r="IS763" s="2"/>
      <c r="IT763" s="139"/>
      <c r="IU763" s="3"/>
      <c r="IV763" s="3"/>
    </row>
    <row r="764" spans="1:256" s="125" customFormat="1">
      <c r="A764" s="86"/>
      <c r="B764" s="56">
        <v>43082</v>
      </c>
      <c r="C764" s="18"/>
      <c r="D764" s="19" t="s">
        <v>841</v>
      </c>
      <c r="E764" s="20" t="s">
        <v>398</v>
      </c>
      <c r="F764" s="24" t="s">
        <v>792</v>
      </c>
      <c r="G764" s="238">
        <v>1707</v>
      </c>
      <c r="H764" s="121">
        <f>1729000-30000</f>
        <v>1699000</v>
      </c>
      <c r="I764" s="24"/>
      <c r="J764" s="199">
        <f>SUM(H764)/1.05</f>
        <v>1618095.2380952381</v>
      </c>
      <c r="K764" s="24">
        <f t="shared" si="72"/>
        <v>1618095.2380952381</v>
      </c>
      <c r="L764" s="24"/>
      <c r="M764" s="24">
        <f t="shared" si="73"/>
        <v>0</v>
      </c>
      <c r="N764" s="129">
        <f t="shared" si="74"/>
        <v>1618095.2380952381</v>
      </c>
      <c r="O764" s="108" t="s">
        <v>900</v>
      </c>
      <c r="P764" s="3"/>
      <c r="Q764" s="140"/>
      <c r="R764" s="3"/>
      <c r="S764" s="3"/>
      <c r="T764" s="3"/>
      <c r="U764" s="3"/>
      <c r="V764" s="3"/>
      <c r="W764" s="3"/>
      <c r="X764" s="3"/>
      <c r="Y764" s="131"/>
      <c r="Z764" s="15"/>
      <c r="AA764" s="99"/>
      <c r="AB764" s="149"/>
      <c r="AC764" s="134"/>
      <c r="AD764" s="134"/>
      <c r="AE764" s="137"/>
      <c r="AF764" s="150"/>
      <c r="AG764" s="137"/>
      <c r="AH764" s="137"/>
      <c r="AI764" s="3"/>
      <c r="AJ764" s="138"/>
      <c r="AK764" s="2"/>
      <c r="AL764" s="139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131"/>
      <c r="AX764" s="15"/>
      <c r="AY764" s="99"/>
      <c r="AZ764" s="149"/>
      <c r="BA764" s="134"/>
      <c r="BB764" s="134"/>
      <c r="BC764" s="137"/>
      <c r="BD764" s="150"/>
      <c r="BE764" s="137"/>
      <c r="BF764" s="137"/>
      <c r="BG764" s="3"/>
      <c r="BH764" s="138"/>
      <c r="BI764" s="2"/>
      <c r="BJ764" s="139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131"/>
      <c r="BV764" s="15"/>
      <c r="BW764" s="99"/>
      <c r="BX764" s="149"/>
      <c r="BY764" s="134"/>
      <c r="BZ764" s="134"/>
      <c r="CA764" s="137"/>
      <c r="CB764" s="150"/>
      <c r="CC764" s="137"/>
      <c r="CD764" s="137"/>
      <c r="CE764" s="3"/>
      <c r="CF764" s="138"/>
      <c r="CG764" s="2"/>
      <c r="CH764" s="139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131"/>
      <c r="CT764" s="15"/>
      <c r="CU764" s="99"/>
      <c r="CV764" s="149"/>
      <c r="CW764" s="134"/>
      <c r="CX764" s="134"/>
      <c r="CY764" s="137"/>
      <c r="CZ764" s="150"/>
      <c r="DA764" s="137"/>
      <c r="DB764" s="137"/>
      <c r="DC764" s="3"/>
      <c r="DD764" s="138"/>
      <c r="DE764" s="2"/>
      <c r="DF764" s="139"/>
      <c r="DG764" s="3"/>
      <c r="DH764" s="3"/>
      <c r="DI764" s="3"/>
      <c r="DJ764" s="3"/>
      <c r="DK764" s="3"/>
      <c r="DL764" s="3"/>
      <c r="DM764" s="3"/>
      <c r="DN764" s="3"/>
      <c r="DO764" s="3"/>
      <c r="DP764" s="3"/>
      <c r="DQ764" s="131"/>
      <c r="DR764" s="15"/>
      <c r="DS764" s="99"/>
      <c r="DT764" s="149"/>
      <c r="DU764" s="134"/>
      <c r="DV764" s="134"/>
      <c r="DW764" s="137"/>
      <c r="DX764" s="150"/>
      <c r="DY764" s="137"/>
      <c r="DZ764" s="137"/>
      <c r="EA764" s="3"/>
      <c r="EB764" s="138"/>
      <c r="EC764" s="2"/>
      <c r="ED764" s="139"/>
      <c r="EE764" s="3"/>
      <c r="EF764" s="3"/>
      <c r="EG764" s="3"/>
      <c r="EH764" s="3"/>
      <c r="EI764" s="3"/>
      <c r="EJ764" s="3"/>
      <c r="EK764" s="3"/>
      <c r="EL764" s="3"/>
      <c r="EM764" s="3"/>
      <c r="EN764" s="3"/>
      <c r="EO764" s="131"/>
      <c r="EP764" s="15"/>
      <c r="EQ764" s="99"/>
      <c r="ER764" s="149"/>
      <c r="ES764" s="134"/>
      <c r="ET764" s="134"/>
      <c r="EU764" s="137"/>
      <c r="EV764" s="150"/>
      <c r="EW764" s="137"/>
      <c r="EX764" s="137"/>
      <c r="EY764" s="3"/>
      <c r="EZ764" s="138"/>
      <c r="FA764" s="2"/>
      <c r="FB764" s="139"/>
      <c r="FC764" s="3"/>
      <c r="FD764" s="3"/>
      <c r="FE764" s="3"/>
      <c r="FF764" s="3"/>
      <c r="FG764" s="3"/>
      <c r="FH764" s="3"/>
      <c r="FI764" s="3"/>
      <c r="FJ764" s="3"/>
      <c r="FK764" s="3"/>
      <c r="FL764" s="3"/>
      <c r="FM764" s="131"/>
      <c r="FN764" s="15"/>
      <c r="FO764" s="99"/>
      <c r="FP764" s="149"/>
      <c r="FQ764" s="134"/>
      <c r="FR764" s="134"/>
      <c r="FS764" s="137"/>
      <c r="FT764" s="150"/>
      <c r="FU764" s="137"/>
      <c r="FV764" s="137"/>
      <c r="FW764" s="3"/>
      <c r="FX764" s="138"/>
      <c r="FY764" s="2"/>
      <c r="FZ764" s="139"/>
      <c r="GA764" s="3"/>
      <c r="GB764" s="3"/>
      <c r="GC764" s="3"/>
      <c r="GD764" s="3"/>
      <c r="GE764" s="3"/>
      <c r="GF764" s="3"/>
      <c r="GG764" s="3"/>
      <c r="GH764" s="3"/>
      <c r="GI764" s="3"/>
      <c r="GJ764" s="3"/>
      <c r="GK764" s="131"/>
      <c r="GL764" s="15"/>
      <c r="GM764" s="99"/>
      <c r="GN764" s="149"/>
      <c r="GO764" s="134"/>
      <c r="GP764" s="134"/>
      <c r="GQ764" s="137"/>
      <c r="GR764" s="150"/>
      <c r="GS764" s="137"/>
      <c r="GT764" s="137"/>
      <c r="GU764" s="3"/>
      <c r="GV764" s="138"/>
      <c r="GW764" s="2"/>
      <c r="GX764" s="139"/>
      <c r="GY764" s="3"/>
      <c r="GZ764" s="3"/>
      <c r="HA764" s="3"/>
      <c r="HB764" s="3"/>
      <c r="HC764" s="3"/>
      <c r="HD764" s="3"/>
      <c r="HE764" s="3"/>
      <c r="HF764" s="3"/>
      <c r="HG764" s="3"/>
      <c r="HH764" s="3"/>
      <c r="HI764" s="131"/>
      <c r="HJ764" s="15"/>
      <c r="HK764" s="99"/>
      <c r="HL764" s="149"/>
      <c r="HM764" s="134"/>
      <c r="HN764" s="134"/>
      <c r="HO764" s="137"/>
      <c r="HP764" s="150"/>
      <c r="HQ764" s="137"/>
      <c r="HR764" s="137"/>
      <c r="HS764" s="3"/>
      <c r="HT764" s="138"/>
      <c r="HU764" s="2"/>
      <c r="HV764" s="139"/>
      <c r="HW764" s="3"/>
      <c r="HX764" s="3"/>
      <c r="HY764" s="3"/>
      <c r="HZ764" s="3"/>
      <c r="IA764" s="3"/>
      <c r="IB764" s="3"/>
      <c r="IC764" s="3"/>
      <c r="ID764" s="3"/>
      <c r="IE764" s="3"/>
      <c r="IF764" s="3"/>
      <c r="IG764" s="131"/>
      <c r="IH764" s="15"/>
      <c r="II764" s="99"/>
      <c r="IJ764" s="149"/>
      <c r="IK764" s="134"/>
      <c r="IL764" s="134"/>
      <c r="IM764" s="137"/>
      <c r="IN764" s="150"/>
      <c r="IO764" s="137"/>
      <c r="IP764" s="137"/>
      <c r="IQ764" s="3"/>
      <c r="IR764" s="138"/>
      <c r="IS764" s="2"/>
      <c r="IT764" s="139"/>
      <c r="IU764" s="3"/>
      <c r="IV764" s="3"/>
    </row>
    <row r="765" spans="1:256" s="125" customFormat="1">
      <c r="A765" s="86"/>
      <c r="B765" s="56">
        <v>43070</v>
      </c>
      <c r="C765" s="18"/>
      <c r="D765" s="19" t="s">
        <v>841</v>
      </c>
      <c r="E765" s="20" t="s">
        <v>306</v>
      </c>
      <c r="F765" s="24" t="s">
        <v>793</v>
      </c>
      <c r="G765" s="238">
        <v>1709</v>
      </c>
      <c r="H765" s="121">
        <v>1660000</v>
      </c>
      <c r="I765" s="24"/>
      <c r="J765" s="199">
        <f>SUM(H765)/1.05</f>
        <v>1580952.3809523808</v>
      </c>
      <c r="K765" s="24">
        <f t="shared" si="72"/>
        <v>1580952.3809523808</v>
      </c>
      <c r="L765" s="24"/>
      <c r="M765" s="24">
        <f t="shared" si="73"/>
        <v>0</v>
      </c>
      <c r="N765" s="129">
        <f t="shared" si="74"/>
        <v>1580952.3809523808</v>
      </c>
      <c r="O765" s="108" t="s">
        <v>900</v>
      </c>
      <c r="P765" s="3"/>
      <c r="Q765" s="140"/>
      <c r="R765" s="3"/>
      <c r="S765" s="3"/>
      <c r="T765" s="3"/>
      <c r="U765" s="3"/>
      <c r="V765" s="3"/>
      <c r="W765" s="3"/>
      <c r="X765" s="3"/>
      <c r="Y765" s="131"/>
      <c r="Z765" s="15"/>
      <c r="AA765" s="99"/>
      <c r="AB765" s="149"/>
      <c r="AC765" s="134"/>
      <c r="AD765" s="134"/>
      <c r="AE765" s="137"/>
      <c r="AF765" s="150"/>
      <c r="AG765" s="137"/>
      <c r="AH765" s="137"/>
      <c r="AI765" s="3"/>
      <c r="AJ765" s="138"/>
      <c r="AK765" s="2"/>
      <c r="AL765" s="139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131"/>
      <c r="AX765" s="15"/>
      <c r="AY765" s="99"/>
      <c r="AZ765" s="149"/>
      <c r="BA765" s="134"/>
      <c r="BB765" s="134"/>
      <c r="BC765" s="137"/>
      <c r="BD765" s="150"/>
      <c r="BE765" s="137"/>
      <c r="BF765" s="137"/>
      <c r="BG765" s="3"/>
      <c r="BH765" s="138"/>
      <c r="BI765" s="2"/>
      <c r="BJ765" s="139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131"/>
      <c r="BV765" s="15"/>
      <c r="BW765" s="99"/>
      <c r="BX765" s="149"/>
      <c r="BY765" s="134"/>
      <c r="BZ765" s="134"/>
      <c r="CA765" s="137"/>
      <c r="CB765" s="150"/>
      <c r="CC765" s="137"/>
      <c r="CD765" s="137"/>
      <c r="CE765" s="3"/>
      <c r="CF765" s="138"/>
      <c r="CG765" s="2"/>
      <c r="CH765" s="139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131"/>
      <c r="CT765" s="15"/>
      <c r="CU765" s="99"/>
      <c r="CV765" s="149"/>
      <c r="CW765" s="134"/>
      <c r="CX765" s="134"/>
      <c r="CY765" s="137"/>
      <c r="CZ765" s="150"/>
      <c r="DA765" s="137"/>
      <c r="DB765" s="137"/>
      <c r="DC765" s="3"/>
      <c r="DD765" s="138"/>
      <c r="DE765" s="2"/>
      <c r="DF765" s="139"/>
      <c r="DG765" s="3"/>
      <c r="DH765" s="3"/>
      <c r="DI765" s="3"/>
      <c r="DJ765" s="3"/>
      <c r="DK765" s="3"/>
      <c r="DL765" s="3"/>
      <c r="DM765" s="3"/>
      <c r="DN765" s="3"/>
      <c r="DO765" s="3"/>
      <c r="DP765" s="3"/>
      <c r="DQ765" s="131"/>
      <c r="DR765" s="15"/>
      <c r="DS765" s="99"/>
      <c r="DT765" s="149"/>
      <c r="DU765" s="134"/>
      <c r="DV765" s="134"/>
      <c r="DW765" s="137"/>
      <c r="DX765" s="150"/>
      <c r="DY765" s="137"/>
      <c r="DZ765" s="137"/>
      <c r="EA765" s="3"/>
      <c r="EB765" s="138"/>
      <c r="EC765" s="2"/>
      <c r="ED765" s="139"/>
      <c r="EE765" s="3"/>
      <c r="EF765" s="3"/>
      <c r="EG765" s="3"/>
      <c r="EH765" s="3"/>
      <c r="EI765" s="3"/>
      <c r="EJ765" s="3"/>
      <c r="EK765" s="3"/>
      <c r="EL765" s="3"/>
      <c r="EM765" s="3"/>
      <c r="EN765" s="3"/>
      <c r="EO765" s="131"/>
      <c r="EP765" s="15"/>
      <c r="EQ765" s="99"/>
      <c r="ER765" s="149"/>
      <c r="ES765" s="134"/>
      <c r="ET765" s="134"/>
      <c r="EU765" s="137"/>
      <c r="EV765" s="150"/>
      <c r="EW765" s="137"/>
      <c r="EX765" s="137"/>
      <c r="EY765" s="3"/>
      <c r="EZ765" s="138"/>
      <c r="FA765" s="2"/>
      <c r="FB765" s="139"/>
      <c r="FC765" s="3"/>
      <c r="FD765" s="3"/>
      <c r="FE765" s="3"/>
      <c r="FF765" s="3"/>
      <c r="FG765" s="3"/>
      <c r="FH765" s="3"/>
      <c r="FI765" s="3"/>
      <c r="FJ765" s="3"/>
      <c r="FK765" s="3"/>
      <c r="FL765" s="3"/>
      <c r="FM765" s="131"/>
      <c r="FN765" s="15"/>
      <c r="FO765" s="99"/>
      <c r="FP765" s="149"/>
      <c r="FQ765" s="134"/>
      <c r="FR765" s="134"/>
      <c r="FS765" s="137"/>
      <c r="FT765" s="150"/>
      <c r="FU765" s="137"/>
      <c r="FV765" s="137"/>
      <c r="FW765" s="3"/>
      <c r="FX765" s="138"/>
      <c r="FY765" s="2"/>
      <c r="FZ765" s="139"/>
      <c r="GA765" s="3"/>
      <c r="GB765" s="3"/>
      <c r="GC765" s="3"/>
      <c r="GD765" s="3"/>
      <c r="GE765" s="3"/>
      <c r="GF765" s="3"/>
      <c r="GG765" s="3"/>
      <c r="GH765" s="3"/>
      <c r="GI765" s="3"/>
      <c r="GJ765" s="3"/>
      <c r="GK765" s="131"/>
      <c r="GL765" s="15"/>
      <c r="GM765" s="99"/>
      <c r="GN765" s="149"/>
      <c r="GO765" s="134"/>
      <c r="GP765" s="134"/>
      <c r="GQ765" s="137"/>
      <c r="GR765" s="150"/>
      <c r="GS765" s="137"/>
      <c r="GT765" s="137"/>
      <c r="GU765" s="3"/>
      <c r="GV765" s="138"/>
      <c r="GW765" s="2"/>
      <c r="GX765" s="139"/>
      <c r="GY765" s="3"/>
      <c r="GZ765" s="3"/>
      <c r="HA765" s="3"/>
      <c r="HB765" s="3"/>
      <c r="HC765" s="3"/>
      <c r="HD765" s="3"/>
      <c r="HE765" s="3"/>
      <c r="HF765" s="3"/>
      <c r="HG765" s="3"/>
      <c r="HH765" s="3"/>
      <c r="HI765" s="131"/>
      <c r="HJ765" s="15"/>
      <c r="HK765" s="99"/>
      <c r="HL765" s="149"/>
      <c r="HM765" s="134"/>
      <c r="HN765" s="134"/>
      <c r="HO765" s="137"/>
      <c r="HP765" s="150"/>
      <c r="HQ765" s="137"/>
      <c r="HR765" s="137"/>
      <c r="HS765" s="3"/>
      <c r="HT765" s="138"/>
      <c r="HU765" s="2"/>
      <c r="HV765" s="139"/>
      <c r="HW765" s="3"/>
      <c r="HX765" s="3"/>
      <c r="HY765" s="3"/>
      <c r="HZ765" s="3"/>
      <c r="IA765" s="3"/>
      <c r="IB765" s="3"/>
      <c r="IC765" s="3"/>
      <c r="ID765" s="3"/>
      <c r="IE765" s="3"/>
      <c r="IF765" s="3"/>
      <c r="IG765" s="131"/>
      <c r="IH765" s="15"/>
      <c r="II765" s="99"/>
      <c r="IJ765" s="149"/>
      <c r="IK765" s="134"/>
      <c r="IL765" s="134"/>
      <c r="IM765" s="137"/>
      <c r="IN765" s="150"/>
      <c r="IO765" s="137"/>
      <c r="IP765" s="137"/>
      <c r="IQ765" s="3"/>
      <c r="IR765" s="138"/>
      <c r="IS765" s="2"/>
      <c r="IT765" s="139"/>
      <c r="IU765" s="3"/>
      <c r="IV765" s="3"/>
    </row>
    <row r="766" spans="1:256" s="125" customFormat="1">
      <c r="A766" s="86"/>
      <c r="B766" s="56">
        <v>43048</v>
      </c>
      <c r="C766" s="18"/>
      <c r="D766" s="19" t="s">
        <v>841</v>
      </c>
      <c r="E766" s="20" t="s">
        <v>536</v>
      </c>
      <c r="F766" s="24" t="s">
        <v>794</v>
      </c>
      <c r="G766" s="238">
        <v>1708</v>
      </c>
      <c r="H766" s="121">
        <v>1840000</v>
      </c>
      <c r="I766" s="24">
        <v>1752381</v>
      </c>
      <c r="J766" s="199"/>
      <c r="K766" s="24">
        <f t="shared" si="72"/>
        <v>1752381</v>
      </c>
      <c r="L766" s="24"/>
      <c r="M766" s="24">
        <f t="shared" si="73"/>
        <v>0</v>
      </c>
      <c r="N766" s="129">
        <f t="shared" si="74"/>
        <v>1752381</v>
      </c>
      <c r="O766" s="108" t="s">
        <v>900</v>
      </c>
      <c r="P766" s="3"/>
      <c r="Q766" s="140"/>
      <c r="R766" s="3"/>
      <c r="S766" s="3"/>
      <c r="T766" s="3"/>
      <c r="U766" s="3"/>
      <c r="V766" s="3"/>
      <c r="W766" s="3"/>
      <c r="X766" s="3"/>
      <c r="Y766" s="131"/>
      <c r="Z766" s="15"/>
      <c r="AA766" s="99"/>
      <c r="AB766" s="149"/>
      <c r="AC766" s="134"/>
      <c r="AD766" s="134"/>
      <c r="AE766" s="137"/>
      <c r="AF766" s="150"/>
      <c r="AG766" s="137"/>
      <c r="AH766" s="137"/>
      <c r="AI766" s="3"/>
      <c r="AJ766" s="138"/>
      <c r="AK766" s="2"/>
      <c r="AL766" s="139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131"/>
      <c r="AX766" s="15"/>
      <c r="AY766" s="99"/>
      <c r="AZ766" s="149"/>
      <c r="BA766" s="134"/>
      <c r="BB766" s="134"/>
      <c r="BC766" s="137"/>
      <c r="BD766" s="150"/>
      <c r="BE766" s="137"/>
      <c r="BF766" s="137"/>
      <c r="BG766" s="3"/>
      <c r="BH766" s="138"/>
      <c r="BI766" s="2"/>
      <c r="BJ766" s="139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131"/>
      <c r="BV766" s="15"/>
      <c r="BW766" s="99"/>
      <c r="BX766" s="149"/>
      <c r="BY766" s="134"/>
      <c r="BZ766" s="134"/>
      <c r="CA766" s="137"/>
      <c r="CB766" s="150"/>
      <c r="CC766" s="137"/>
      <c r="CD766" s="137"/>
      <c r="CE766" s="3"/>
      <c r="CF766" s="138"/>
      <c r="CG766" s="2"/>
      <c r="CH766" s="139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131"/>
      <c r="CT766" s="15"/>
      <c r="CU766" s="99"/>
      <c r="CV766" s="149"/>
      <c r="CW766" s="134"/>
      <c r="CX766" s="134"/>
      <c r="CY766" s="137"/>
      <c r="CZ766" s="150"/>
      <c r="DA766" s="137"/>
      <c r="DB766" s="137"/>
      <c r="DC766" s="3"/>
      <c r="DD766" s="138"/>
      <c r="DE766" s="2"/>
      <c r="DF766" s="139"/>
      <c r="DG766" s="3"/>
      <c r="DH766" s="3"/>
      <c r="DI766" s="3"/>
      <c r="DJ766" s="3"/>
      <c r="DK766" s="3"/>
      <c r="DL766" s="3"/>
      <c r="DM766" s="3"/>
      <c r="DN766" s="3"/>
      <c r="DO766" s="3"/>
      <c r="DP766" s="3"/>
      <c r="DQ766" s="131"/>
      <c r="DR766" s="15"/>
      <c r="DS766" s="99"/>
      <c r="DT766" s="149"/>
      <c r="DU766" s="134"/>
      <c r="DV766" s="134"/>
      <c r="DW766" s="137"/>
      <c r="DX766" s="150"/>
      <c r="DY766" s="137"/>
      <c r="DZ766" s="137"/>
      <c r="EA766" s="3"/>
      <c r="EB766" s="138"/>
      <c r="EC766" s="2"/>
      <c r="ED766" s="139"/>
      <c r="EE766" s="3"/>
      <c r="EF766" s="3"/>
      <c r="EG766" s="3"/>
      <c r="EH766" s="3"/>
      <c r="EI766" s="3"/>
      <c r="EJ766" s="3"/>
      <c r="EK766" s="3"/>
      <c r="EL766" s="3"/>
      <c r="EM766" s="3"/>
      <c r="EN766" s="3"/>
      <c r="EO766" s="131"/>
      <c r="EP766" s="15"/>
      <c r="EQ766" s="99"/>
      <c r="ER766" s="149"/>
      <c r="ES766" s="134"/>
      <c r="ET766" s="134"/>
      <c r="EU766" s="137"/>
      <c r="EV766" s="150"/>
      <c r="EW766" s="137"/>
      <c r="EX766" s="137"/>
      <c r="EY766" s="3"/>
      <c r="EZ766" s="138"/>
      <c r="FA766" s="2"/>
      <c r="FB766" s="139"/>
      <c r="FC766" s="3"/>
      <c r="FD766" s="3"/>
      <c r="FE766" s="3"/>
      <c r="FF766" s="3"/>
      <c r="FG766" s="3"/>
      <c r="FH766" s="3"/>
      <c r="FI766" s="3"/>
      <c r="FJ766" s="3"/>
      <c r="FK766" s="3"/>
      <c r="FL766" s="3"/>
      <c r="FM766" s="131"/>
      <c r="FN766" s="15"/>
      <c r="FO766" s="99"/>
      <c r="FP766" s="149"/>
      <c r="FQ766" s="134"/>
      <c r="FR766" s="134"/>
      <c r="FS766" s="137"/>
      <c r="FT766" s="150"/>
      <c r="FU766" s="137"/>
      <c r="FV766" s="137"/>
      <c r="FW766" s="3"/>
      <c r="FX766" s="138"/>
      <c r="FY766" s="2"/>
      <c r="FZ766" s="139"/>
      <c r="GA766" s="3"/>
      <c r="GB766" s="3"/>
      <c r="GC766" s="3"/>
      <c r="GD766" s="3"/>
      <c r="GE766" s="3"/>
      <c r="GF766" s="3"/>
      <c r="GG766" s="3"/>
      <c r="GH766" s="3"/>
      <c r="GI766" s="3"/>
      <c r="GJ766" s="3"/>
      <c r="GK766" s="131"/>
      <c r="GL766" s="15"/>
      <c r="GM766" s="99"/>
      <c r="GN766" s="149"/>
      <c r="GO766" s="134"/>
      <c r="GP766" s="134"/>
      <c r="GQ766" s="137"/>
      <c r="GR766" s="150"/>
      <c r="GS766" s="137"/>
      <c r="GT766" s="137"/>
      <c r="GU766" s="3"/>
      <c r="GV766" s="138"/>
      <c r="GW766" s="2"/>
      <c r="GX766" s="139"/>
      <c r="GY766" s="3"/>
      <c r="GZ766" s="3"/>
      <c r="HA766" s="3"/>
      <c r="HB766" s="3"/>
      <c r="HC766" s="3"/>
      <c r="HD766" s="3"/>
      <c r="HE766" s="3"/>
      <c r="HF766" s="3"/>
      <c r="HG766" s="3"/>
      <c r="HH766" s="3"/>
      <c r="HI766" s="131"/>
      <c r="HJ766" s="15"/>
      <c r="HK766" s="99"/>
      <c r="HL766" s="149"/>
      <c r="HM766" s="134"/>
      <c r="HN766" s="134"/>
      <c r="HO766" s="137"/>
      <c r="HP766" s="150"/>
      <c r="HQ766" s="137"/>
      <c r="HR766" s="137"/>
      <c r="HS766" s="3"/>
      <c r="HT766" s="138"/>
      <c r="HU766" s="2"/>
      <c r="HV766" s="139"/>
      <c r="HW766" s="3"/>
      <c r="HX766" s="3"/>
      <c r="HY766" s="3"/>
      <c r="HZ766" s="3"/>
      <c r="IA766" s="3"/>
      <c r="IB766" s="3"/>
      <c r="IC766" s="3"/>
      <c r="ID766" s="3"/>
      <c r="IE766" s="3"/>
      <c r="IF766" s="3"/>
      <c r="IG766" s="131"/>
      <c r="IH766" s="15"/>
      <c r="II766" s="99"/>
      <c r="IJ766" s="149"/>
      <c r="IK766" s="134"/>
      <c r="IL766" s="134"/>
      <c r="IM766" s="137"/>
      <c r="IN766" s="150"/>
      <c r="IO766" s="137"/>
      <c r="IP766" s="137"/>
      <c r="IQ766" s="3"/>
      <c r="IR766" s="138"/>
      <c r="IS766" s="2"/>
      <c r="IT766" s="139"/>
      <c r="IU766" s="3"/>
      <c r="IV766" s="3"/>
    </row>
    <row r="767" spans="1:256" s="125" customFormat="1">
      <c r="A767" s="86"/>
      <c r="B767" s="56">
        <v>43062</v>
      </c>
      <c r="C767" s="18"/>
      <c r="D767" s="19" t="s">
        <v>841</v>
      </c>
      <c r="E767" s="20" t="s">
        <v>795</v>
      </c>
      <c r="F767" s="24" t="s">
        <v>796</v>
      </c>
      <c r="G767" s="238">
        <v>1708</v>
      </c>
      <c r="H767" s="121">
        <f>160000+1938000</f>
        <v>2098000</v>
      </c>
      <c r="I767" s="24">
        <v>1998095</v>
      </c>
      <c r="J767" s="199"/>
      <c r="K767" s="24">
        <f t="shared" si="72"/>
        <v>1998095</v>
      </c>
      <c r="L767" s="24"/>
      <c r="M767" s="24">
        <f t="shared" si="73"/>
        <v>0</v>
      </c>
      <c r="N767" s="129">
        <f t="shared" si="74"/>
        <v>1998095</v>
      </c>
      <c r="O767" s="108" t="s">
        <v>900</v>
      </c>
      <c r="P767" s="3"/>
      <c r="Q767" s="140"/>
      <c r="R767" s="3"/>
      <c r="S767" s="3"/>
      <c r="T767" s="3"/>
      <c r="U767" s="3"/>
      <c r="V767" s="3"/>
      <c r="W767" s="3"/>
      <c r="X767" s="3"/>
      <c r="Y767" s="131"/>
      <c r="Z767" s="15"/>
      <c r="AA767" s="99"/>
      <c r="AB767" s="149"/>
      <c r="AC767" s="134"/>
      <c r="AD767" s="134"/>
      <c r="AE767" s="137"/>
      <c r="AF767" s="150"/>
      <c r="AG767" s="137"/>
      <c r="AH767" s="137"/>
      <c r="AI767" s="3"/>
      <c r="AJ767" s="138"/>
      <c r="AK767" s="2"/>
      <c r="AL767" s="139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131"/>
      <c r="AX767" s="15"/>
      <c r="AY767" s="99"/>
      <c r="AZ767" s="149"/>
      <c r="BA767" s="134"/>
      <c r="BB767" s="134"/>
      <c r="BC767" s="137"/>
      <c r="BD767" s="150"/>
      <c r="BE767" s="137"/>
      <c r="BF767" s="137"/>
      <c r="BG767" s="3"/>
      <c r="BH767" s="138"/>
      <c r="BI767" s="2"/>
      <c r="BJ767" s="139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131"/>
      <c r="BV767" s="15"/>
      <c r="BW767" s="99"/>
      <c r="BX767" s="149"/>
      <c r="BY767" s="134"/>
      <c r="BZ767" s="134"/>
      <c r="CA767" s="137"/>
      <c r="CB767" s="150"/>
      <c r="CC767" s="137"/>
      <c r="CD767" s="137"/>
      <c r="CE767" s="3"/>
      <c r="CF767" s="138"/>
      <c r="CG767" s="2"/>
      <c r="CH767" s="139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131"/>
      <c r="CT767" s="15"/>
      <c r="CU767" s="99"/>
      <c r="CV767" s="149"/>
      <c r="CW767" s="134"/>
      <c r="CX767" s="134"/>
      <c r="CY767" s="137"/>
      <c r="CZ767" s="150"/>
      <c r="DA767" s="137"/>
      <c r="DB767" s="137"/>
      <c r="DC767" s="3"/>
      <c r="DD767" s="138"/>
      <c r="DE767" s="2"/>
      <c r="DF767" s="139"/>
      <c r="DG767" s="3"/>
      <c r="DH767" s="3"/>
      <c r="DI767" s="3"/>
      <c r="DJ767" s="3"/>
      <c r="DK767" s="3"/>
      <c r="DL767" s="3"/>
      <c r="DM767" s="3"/>
      <c r="DN767" s="3"/>
      <c r="DO767" s="3"/>
      <c r="DP767" s="3"/>
      <c r="DQ767" s="131"/>
      <c r="DR767" s="15"/>
      <c r="DS767" s="99"/>
      <c r="DT767" s="149"/>
      <c r="DU767" s="134"/>
      <c r="DV767" s="134"/>
      <c r="DW767" s="137"/>
      <c r="DX767" s="150"/>
      <c r="DY767" s="137"/>
      <c r="DZ767" s="137"/>
      <c r="EA767" s="3"/>
      <c r="EB767" s="138"/>
      <c r="EC767" s="2"/>
      <c r="ED767" s="139"/>
      <c r="EE767" s="3"/>
      <c r="EF767" s="3"/>
      <c r="EG767" s="3"/>
      <c r="EH767" s="3"/>
      <c r="EI767" s="3"/>
      <c r="EJ767" s="3"/>
      <c r="EK767" s="3"/>
      <c r="EL767" s="3"/>
      <c r="EM767" s="3"/>
      <c r="EN767" s="3"/>
      <c r="EO767" s="131"/>
      <c r="EP767" s="15"/>
      <c r="EQ767" s="99"/>
      <c r="ER767" s="149"/>
      <c r="ES767" s="134"/>
      <c r="ET767" s="134"/>
      <c r="EU767" s="137"/>
      <c r="EV767" s="150"/>
      <c r="EW767" s="137"/>
      <c r="EX767" s="137"/>
      <c r="EY767" s="3"/>
      <c r="EZ767" s="138"/>
      <c r="FA767" s="2"/>
      <c r="FB767" s="139"/>
      <c r="FC767" s="3"/>
      <c r="FD767" s="3"/>
      <c r="FE767" s="3"/>
      <c r="FF767" s="3"/>
      <c r="FG767" s="3"/>
      <c r="FH767" s="3"/>
      <c r="FI767" s="3"/>
      <c r="FJ767" s="3"/>
      <c r="FK767" s="3"/>
      <c r="FL767" s="3"/>
      <c r="FM767" s="131"/>
      <c r="FN767" s="15"/>
      <c r="FO767" s="99"/>
      <c r="FP767" s="149"/>
      <c r="FQ767" s="134"/>
      <c r="FR767" s="134"/>
      <c r="FS767" s="137"/>
      <c r="FT767" s="150"/>
      <c r="FU767" s="137"/>
      <c r="FV767" s="137"/>
      <c r="FW767" s="3"/>
      <c r="FX767" s="138"/>
      <c r="FY767" s="2"/>
      <c r="FZ767" s="139"/>
      <c r="GA767" s="3"/>
      <c r="GB767" s="3"/>
      <c r="GC767" s="3"/>
      <c r="GD767" s="3"/>
      <c r="GE767" s="3"/>
      <c r="GF767" s="3"/>
      <c r="GG767" s="3"/>
      <c r="GH767" s="3"/>
      <c r="GI767" s="3"/>
      <c r="GJ767" s="3"/>
      <c r="GK767" s="131"/>
      <c r="GL767" s="15"/>
      <c r="GM767" s="99"/>
      <c r="GN767" s="149"/>
      <c r="GO767" s="134"/>
      <c r="GP767" s="134"/>
      <c r="GQ767" s="137"/>
      <c r="GR767" s="150"/>
      <c r="GS767" s="137"/>
      <c r="GT767" s="137"/>
      <c r="GU767" s="3"/>
      <c r="GV767" s="138"/>
      <c r="GW767" s="2"/>
      <c r="GX767" s="139"/>
      <c r="GY767" s="3"/>
      <c r="GZ767" s="3"/>
      <c r="HA767" s="3"/>
      <c r="HB767" s="3"/>
      <c r="HC767" s="3"/>
      <c r="HD767" s="3"/>
      <c r="HE767" s="3"/>
      <c r="HF767" s="3"/>
      <c r="HG767" s="3"/>
      <c r="HH767" s="3"/>
      <c r="HI767" s="131"/>
      <c r="HJ767" s="15"/>
      <c r="HK767" s="99"/>
      <c r="HL767" s="149"/>
      <c r="HM767" s="134"/>
      <c r="HN767" s="134"/>
      <c r="HO767" s="137"/>
      <c r="HP767" s="150"/>
      <c r="HQ767" s="137"/>
      <c r="HR767" s="137"/>
      <c r="HS767" s="3"/>
      <c r="HT767" s="138"/>
      <c r="HU767" s="2"/>
      <c r="HV767" s="139"/>
      <c r="HW767" s="3"/>
      <c r="HX767" s="3"/>
      <c r="HY767" s="3"/>
      <c r="HZ767" s="3"/>
      <c r="IA767" s="3"/>
      <c r="IB767" s="3"/>
      <c r="IC767" s="3"/>
      <c r="ID767" s="3"/>
      <c r="IE767" s="3"/>
      <c r="IF767" s="3"/>
      <c r="IG767" s="131"/>
      <c r="IH767" s="15"/>
      <c r="II767" s="99"/>
      <c r="IJ767" s="149"/>
      <c r="IK767" s="134"/>
      <c r="IL767" s="134"/>
      <c r="IM767" s="137"/>
      <c r="IN767" s="150"/>
      <c r="IO767" s="137"/>
      <c r="IP767" s="137"/>
      <c r="IQ767" s="3"/>
      <c r="IR767" s="138"/>
      <c r="IS767" s="2"/>
      <c r="IT767" s="139"/>
      <c r="IU767" s="3"/>
      <c r="IV767" s="3"/>
    </row>
    <row r="768" spans="1:256" s="125" customFormat="1">
      <c r="A768" s="86"/>
      <c r="B768" s="56">
        <v>43075</v>
      </c>
      <c r="C768" s="18"/>
      <c r="D768" s="19" t="s">
        <v>841</v>
      </c>
      <c r="E768" s="20" t="s">
        <v>407</v>
      </c>
      <c r="F768" s="24" t="s">
        <v>797</v>
      </c>
      <c r="G768" s="238">
        <v>1708</v>
      </c>
      <c r="H768" s="121">
        <v>2000000</v>
      </c>
      <c r="I768" s="24"/>
      <c r="J768" s="199">
        <f>SUM(H768)/1.05</f>
        <v>1904761.9047619046</v>
      </c>
      <c r="K768" s="24">
        <f t="shared" si="72"/>
        <v>1904761.9047619046</v>
      </c>
      <c r="L768" s="24"/>
      <c r="M768" s="24">
        <f t="shared" si="73"/>
        <v>0</v>
      </c>
      <c r="N768" s="129">
        <f t="shared" si="74"/>
        <v>1904761.9047619046</v>
      </c>
      <c r="O768" s="108" t="s">
        <v>900</v>
      </c>
      <c r="P768" s="3"/>
      <c r="Q768" s="140"/>
      <c r="R768" s="3"/>
      <c r="S768" s="3"/>
      <c r="T768" s="3"/>
      <c r="U768" s="3"/>
      <c r="V768" s="3"/>
      <c r="W768" s="3"/>
      <c r="X768" s="3"/>
      <c r="Y768" s="131"/>
      <c r="Z768" s="15"/>
      <c r="AA768" s="99"/>
      <c r="AB768" s="149"/>
      <c r="AC768" s="134"/>
      <c r="AD768" s="134"/>
      <c r="AE768" s="137"/>
      <c r="AF768" s="150"/>
      <c r="AG768" s="137"/>
      <c r="AH768" s="137"/>
      <c r="AI768" s="3"/>
      <c r="AJ768" s="138"/>
      <c r="AK768" s="2"/>
      <c r="AL768" s="139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131"/>
      <c r="AX768" s="15"/>
      <c r="AY768" s="99"/>
      <c r="AZ768" s="149"/>
      <c r="BA768" s="134"/>
      <c r="BB768" s="134"/>
      <c r="BC768" s="137"/>
      <c r="BD768" s="150"/>
      <c r="BE768" s="137"/>
      <c r="BF768" s="137"/>
      <c r="BG768" s="3"/>
      <c r="BH768" s="138"/>
      <c r="BI768" s="2"/>
      <c r="BJ768" s="139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131"/>
      <c r="BV768" s="15"/>
      <c r="BW768" s="99"/>
      <c r="BX768" s="149"/>
      <c r="BY768" s="134"/>
      <c r="BZ768" s="134"/>
      <c r="CA768" s="137"/>
      <c r="CB768" s="150"/>
      <c r="CC768" s="137"/>
      <c r="CD768" s="137"/>
      <c r="CE768" s="3"/>
      <c r="CF768" s="138"/>
      <c r="CG768" s="2"/>
      <c r="CH768" s="139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131"/>
      <c r="CT768" s="15"/>
      <c r="CU768" s="99"/>
      <c r="CV768" s="149"/>
      <c r="CW768" s="134"/>
      <c r="CX768" s="134"/>
      <c r="CY768" s="137"/>
      <c r="CZ768" s="150"/>
      <c r="DA768" s="137"/>
      <c r="DB768" s="137"/>
      <c r="DC768" s="3"/>
      <c r="DD768" s="138"/>
      <c r="DE768" s="2"/>
      <c r="DF768" s="139"/>
      <c r="DG768" s="3"/>
      <c r="DH768" s="3"/>
      <c r="DI768" s="3"/>
      <c r="DJ768" s="3"/>
      <c r="DK768" s="3"/>
      <c r="DL768" s="3"/>
      <c r="DM768" s="3"/>
      <c r="DN768" s="3"/>
      <c r="DO768" s="3"/>
      <c r="DP768" s="3"/>
      <c r="DQ768" s="131"/>
      <c r="DR768" s="15"/>
      <c r="DS768" s="99"/>
      <c r="DT768" s="149"/>
      <c r="DU768" s="134"/>
      <c r="DV768" s="134"/>
      <c r="DW768" s="137"/>
      <c r="DX768" s="150"/>
      <c r="DY768" s="137"/>
      <c r="DZ768" s="137"/>
      <c r="EA768" s="3"/>
      <c r="EB768" s="138"/>
      <c r="EC768" s="2"/>
      <c r="ED768" s="139"/>
      <c r="EE768" s="3"/>
      <c r="EF768" s="3"/>
      <c r="EG768" s="3"/>
      <c r="EH768" s="3"/>
      <c r="EI768" s="3"/>
      <c r="EJ768" s="3"/>
      <c r="EK768" s="3"/>
      <c r="EL768" s="3"/>
      <c r="EM768" s="3"/>
      <c r="EN768" s="3"/>
      <c r="EO768" s="131"/>
      <c r="EP768" s="15"/>
      <c r="EQ768" s="99"/>
      <c r="ER768" s="149"/>
      <c r="ES768" s="134"/>
      <c r="ET768" s="134"/>
      <c r="EU768" s="137"/>
      <c r="EV768" s="150"/>
      <c r="EW768" s="137"/>
      <c r="EX768" s="137"/>
      <c r="EY768" s="3"/>
      <c r="EZ768" s="138"/>
      <c r="FA768" s="2"/>
      <c r="FB768" s="139"/>
      <c r="FC768" s="3"/>
      <c r="FD768" s="3"/>
      <c r="FE768" s="3"/>
      <c r="FF768" s="3"/>
      <c r="FG768" s="3"/>
      <c r="FH768" s="3"/>
      <c r="FI768" s="3"/>
      <c r="FJ768" s="3"/>
      <c r="FK768" s="3"/>
      <c r="FL768" s="3"/>
      <c r="FM768" s="131"/>
      <c r="FN768" s="15"/>
      <c r="FO768" s="99"/>
      <c r="FP768" s="149"/>
      <c r="FQ768" s="134"/>
      <c r="FR768" s="134"/>
      <c r="FS768" s="137"/>
      <c r="FT768" s="150"/>
      <c r="FU768" s="137"/>
      <c r="FV768" s="137"/>
      <c r="FW768" s="3"/>
      <c r="FX768" s="138"/>
      <c r="FY768" s="2"/>
      <c r="FZ768" s="139"/>
      <c r="GA768" s="3"/>
      <c r="GB768" s="3"/>
      <c r="GC768" s="3"/>
      <c r="GD768" s="3"/>
      <c r="GE768" s="3"/>
      <c r="GF768" s="3"/>
      <c r="GG768" s="3"/>
      <c r="GH768" s="3"/>
      <c r="GI768" s="3"/>
      <c r="GJ768" s="3"/>
      <c r="GK768" s="131"/>
      <c r="GL768" s="15"/>
      <c r="GM768" s="99"/>
      <c r="GN768" s="149"/>
      <c r="GO768" s="134"/>
      <c r="GP768" s="134"/>
      <c r="GQ768" s="137"/>
      <c r="GR768" s="150"/>
      <c r="GS768" s="137"/>
      <c r="GT768" s="137"/>
      <c r="GU768" s="3"/>
      <c r="GV768" s="138"/>
      <c r="GW768" s="2"/>
      <c r="GX768" s="139"/>
      <c r="GY768" s="3"/>
      <c r="GZ768" s="3"/>
      <c r="HA768" s="3"/>
      <c r="HB768" s="3"/>
      <c r="HC768" s="3"/>
      <c r="HD768" s="3"/>
      <c r="HE768" s="3"/>
      <c r="HF768" s="3"/>
      <c r="HG768" s="3"/>
      <c r="HH768" s="3"/>
      <c r="HI768" s="131"/>
      <c r="HJ768" s="15"/>
      <c r="HK768" s="99"/>
      <c r="HL768" s="149"/>
      <c r="HM768" s="134"/>
      <c r="HN768" s="134"/>
      <c r="HO768" s="137"/>
      <c r="HP768" s="150"/>
      <c r="HQ768" s="137"/>
      <c r="HR768" s="137"/>
      <c r="HS768" s="3"/>
      <c r="HT768" s="138"/>
      <c r="HU768" s="2"/>
      <c r="HV768" s="139"/>
      <c r="HW768" s="3"/>
      <c r="HX768" s="3"/>
      <c r="HY768" s="3"/>
      <c r="HZ768" s="3"/>
      <c r="IA768" s="3"/>
      <c r="IB768" s="3"/>
      <c r="IC768" s="3"/>
      <c r="ID768" s="3"/>
      <c r="IE768" s="3"/>
      <c r="IF768" s="3"/>
      <c r="IG768" s="131"/>
      <c r="IH768" s="15"/>
      <c r="II768" s="99"/>
      <c r="IJ768" s="149"/>
      <c r="IK768" s="134"/>
      <c r="IL768" s="134"/>
      <c r="IM768" s="137"/>
      <c r="IN768" s="150"/>
      <c r="IO768" s="137"/>
      <c r="IP768" s="137"/>
      <c r="IQ768" s="3"/>
      <c r="IR768" s="138"/>
      <c r="IS768" s="2"/>
      <c r="IT768" s="139"/>
      <c r="IU768" s="3"/>
      <c r="IV768" s="3"/>
    </row>
    <row r="769" spans="1:256" s="125" customFormat="1">
      <c r="A769" s="86"/>
      <c r="B769" s="56">
        <v>43082</v>
      </c>
      <c r="C769" s="18"/>
      <c r="D769" s="19" t="s">
        <v>841</v>
      </c>
      <c r="E769" s="20" t="s">
        <v>407</v>
      </c>
      <c r="F769" s="24" t="s">
        <v>798</v>
      </c>
      <c r="G769" s="238">
        <v>1709</v>
      </c>
      <c r="H769" s="121">
        <v>2000000</v>
      </c>
      <c r="I769" s="24"/>
      <c r="J769" s="199">
        <f>SUM(H769)/1.05</f>
        <v>1904761.9047619046</v>
      </c>
      <c r="K769" s="24">
        <f t="shared" si="72"/>
        <v>1904761.9047619046</v>
      </c>
      <c r="L769" s="24"/>
      <c r="M769" s="24">
        <f t="shared" si="73"/>
        <v>0</v>
      </c>
      <c r="N769" s="129">
        <f t="shared" si="74"/>
        <v>1904761.9047619046</v>
      </c>
      <c r="O769" s="108" t="s">
        <v>900</v>
      </c>
      <c r="P769" s="3"/>
      <c r="Q769" s="140"/>
      <c r="R769" s="3"/>
      <c r="S769" s="3"/>
      <c r="T769" s="3"/>
      <c r="U769" s="3"/>
      <c r="V769" s="3"/>
      <c r="W769" s="3"/>
      <c r="X769" s="3"/>
      <c r="Y769" s="131"/>
      <c r="Z769" s="15"/>
      <c r="AA769" s="99"/>
      <c r="AB769" s="149"/>
      <c r="AC769" s="134"/>
      <c r="AD769" s="134"/>
      <c r="AE769" s="137"/>
      <c r="AF769" s="150"/>
      <c r="AG769" s="137"/>
      <c r="AH769" s="137"/>
      <c r="AI769" s="3"/>
      <c r="AJ769" s="138"/>
      <c r="AK769" s="2"/>
      <c r="AL769" s="139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131"/>
      <c r="AX769" s="15"/>
      <c r="AY769" s="99"/>
      <c r="AZ769" s="149"/>
      <c r="BA769" s="134"/>
      <c r="BB769" s="134"/>
      <c r="BC769" s="137"/>
      <c r="BD769" s="150"/>
      <c r="BE769" s="137"/>
      <c r="BF769" s="137"/>
      <c r="BG769" s="3"/>
      <c r="BH769" s="138"/>
      <c r="BI769" s="2"/>
      <c r="BJ769" s="139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131"/>
      <c r="BV769" s="15"/>
      <c r="BW769" s="99"/>
      <c r="BX769" s="149"/>
      <c r="BY769" s="134"/>
      <c r="BZ769" s="134"/>
      <c r="CA769" s="137"/>
      <c r="CB769" s="150"/>
      <c r="CC769" s="137"/>
      <c r="CD769" s="137"/>
      <c r="CE769" s="3"/>
      <c r="CF769" s="138"/>
      <c r="CG769" s="2"/>
      <c r="CH769" s="139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131"/>
      <c r="CT769" s="15"/>
      <c r="CU769" s="99"/>
      <c r="CV769" s="149"/>
      <c r="CW769" s="134"/>
      <c r="CX769" s="134"/>
      <c r="CY769" s="137"/>
      <c r="CZ769" s="150"/>
      <c r="DA769" s="137"/>
      <c r="DB769" s="137"/>
      <c r="DC769" s="3"/>
      <c r="DD769" s="138"/>
      <c r="DE769" s="2"/>
      <c r="DF769" s="139"/>
      <c r="DG769" s="3"/>
      <c r="DH769" s="3"/>
      <c r="DI769" s="3"/>
      <c r="DJ769" s="3"/>
      <c r="DK769" s="3"/>
      <c r="DL769" s="3"/>
      <c r="DM769" s="3"/>
      <c r="DN769" s="3"/>
      <c r="DO769" s="3"/>
      <c r="DP769" s="3"/>
      <c r="DQ769" s="131"/>
      <c r="DR769" s="15"/>
      <c r="DS769" s="99"/>
      <c r="DT769" s="149"/>
      <c r="DU769" s="134"/>
      <c r="DV769" s="134"/>
      <c r="DW769" s="137"/>
      <c r="DX769" s="150"/>
      <c r="DY769" s="137"/>
      <c r="DZ769" s="137"/>
      <c r="EA769" s="3"/>
      <c r="EB769" s="138"/>
      <c r="EC769" s="2"/>
      <c r="ED769" s="139"/>
      <c r="EE769" s="3"/>
      <c r="EF769" s="3"/>
      <c r="EG769" s="3"/>
      <c r="EH769" s="3"/>
      <c r="EI769" s="3"/>
      <c r="EJ769" s="3"/>
      <c r="EK769" s="3"/>
      <c r="EL769" s="3"/>
      <c r="EM769" s="3"/>
      <c r="EN769" s="3"/>
      <c r="EO769" s="131"/>
      <c r="EP769" s="15"/>
      <c r="EQ769" s="99"/>
      <c r="ER769" s="149"/>
      <c r="ES769" s="134"/>
      <c r="ET769" s="134"/>
      <c r="EU769" s="137"/>
      <c r="EV769" s="150"/>
      <c r="EW769" s="137"/>
      <c r="EX769" s="137"/>
      <c r="EY769" s="3"/>
      <c r="EZ769" s="138"/>
      <c r="FA769" s="2"/>
      <c r="FB769" s="139"/>
      <c r="FC769" s="3"/>
      <c r="FD769" s="3"/>
      <c r="FE769" s="3"/>
      <c r="FF769" s="3"/>
      <c r="FG769" s="3"/>
      <c r="FH769" s="3"/>
      <c r="FI769" s="3"/>
      <c r="FJ769" s="3"/>
      <c r="FK769" s="3"/>
      <c r="FL769" s="3"/>
      <c r="FM769" s="131"/>
      <c r="FN769" s="15"/>
      <c r="FO769" s="99"/>
      <c r="FP769" s="149"/>
      <c r="FQ769" s="134"/>
      <c r="FR769" s="134"/>
      <c r="FS769" s="137"/>
      <c r="FT769" s="150"/>
      <c r="FU769" s="137"/>
      <c r="FV769" s="137"/>
      <c r="FW769" s="3"/>
      <c r="FX769" s="138"/>
      <c r="FY769" s="2"/>
      <c r="FZ769" s="139"/>
      <c r="GA769" s="3"/>
      <c r="GB769" s="3"/>
      <c r="GC769" s="3"/>
      <c r="GD769" s="3"/>
      <c r="GE769" s="3"/>
      <c r="GF769" s="3"/>
      <c r="GG769" s="3"/>
      <c r="GH769" s="3"/>
      <c r="GI769" s="3"/>
      <c r="GJ769" s="3"/>
      <c r="GK769" s="131"/>
      <c r="GL769" s="15"/>
      <c r="GM769" s="99"/>
      <c r="GN769" s="149"/>
      <c r="GO769" s="134"/>
      <c r="GP769" s="134"/>
      <c r="GQ769" s="137"/>
      <c r="GR769" s="150"/>
      <c r="GS769" s="137"/>
      <c r="GT769" s="137"/>
      <c r="GU769" s="3"/>
      <c r="GV769" s="138"/>
      <c r="GW769" s="2"/>
      <c r="GX769" s="139"/>
      <c r="GY769" s="3"/>
      <c r="GZ769" s="3"/>
      <c r="HA769" s="3"/>
      <c r="HB769" s="3"/>
      <c r="HC769" s="3"/>
      <c r="HD769" s="3"/>
      <c r="HE769" s="3"/>
      <c r="HF769" s="3"/>
      <c r="HG769" s="3"/>
      <c r="HH769" s="3"/>
      <c r="HI769" s="131"/>
      <c r="HJ769" s="15"/>
      <c r="HK769" s="99"/>
      <c r="HL769" s="149"/>
      <c r="HM769" s="134"/>
      <c r="HN769" s="134"/>
      <c r="HO769" s="137"/>
      <c r="HP769" s="150"/>
      <c r="HQ769" s="137"/>
      <c r="HR769" s="137"/>
      <c r="HS769" s="3"/>
      <c r="HT769" s="138"/>
      <c r="HU769" s="2"/>
      <c r="HV769" s="139"/>
      <c r="HW769" s="3"/>
      <c r="HX769" s="3"/>
      <c r="HY769" s="3"/>
      <c r="HZ769" s="3"/>
      <c r="IA769" s="3"/>
      <c r="IB769" s="3"/>
      <c r="IC769" s="3"/>
      <c r="ID769" s="3"/>
      <c r="IE769" s="3"/>
      <c r="IF769" s="3"/>
      <c r="IG769" s="131"/>
      <c r="IH769" s="15"/>
      <c r="II769" s="99"/>
      <c r="IJ769" s="149"/>
      <c r="IK769" s="134"/>
      <c r="IL769" s="134"/>
      <c r="IM769" s="137"/>
      <c r="IN769" s="150"/>
      <c r="IO769" s="137"/>
      <c r="IP769" s="137"/>
      <c r="IQ769" s="3"/>
      <c r="IR769" s="138"/>
      <c r="IS769" s="2"/>
      <c r="IT769" s="139"/>
      <c r="IU769" s="3"/>
      <c r="IV769" s="3"/>
    </row>
    <row r="770" spans="1:256" s="125" customFormat="1">
      <c r="A770" s="86"/>
      <c r="B770" s="56">
        <v>43013</v>
      </c>
      <c r="C770" s="18"/>
      <c r="D770" s="19" t="s">
        <v>841</v>
      </c>
      <c r="E770" s="20" t="s">
        <v>424</v>
      </c>
      <c r="F770" s="24" t="s">
        <v>799</v>
      </c>
      <c r="G770" s="238">
        <v>1708</v>
      </c>
      <c r="H770" s="121">
        <f>65700+3329400</f>
        <v>3395100</v>
      </c>
      <c r="I770" s="24">
        <v>3233429</v>
      </c>
      <c r="J770" s="199"/>
      <c r="K770" s="24">
        <f t="shared" si="72"/>
        <v>3233429</v>
      </c>
      <c r="L770" s="24"/>
      <c r="M770" s="24">
        <f t="shared" si="73"/>
        <v>0</v>
      </c>
      <c r="N770" s="129">
        <f t="shared" si="74"/>
        <v>3233429</v>
      </c>
      <c r="O770" s="108" t="s">
        <v>900</v>
      </c>
      <c r="P770" s="3"/>
      <c r="Q770" s="140"/>
      <c r="R770" s="3"/>
      <c r="S770" s="3"/>
      <c r="T770" s="3"/>
      <c r="U770" s="3"/>
      <c r="V770" s="3"/>
      <c r="W770" s="3"/>
      <c r="X770" s="3"/>
      <c r="Y770" s="131"/>
      <c r="Z770" s="15"/>
      <c r="AA770" s="99"/>
      <c r="AB770" s="149"/>
      <c r="AC770" s="134"/>
      <c r="AD770" s="134"/>
      <c r="AE770" s="137"/>
      <c r="AF770" s="150"/>
      <c r="AG770" s="137"/>
      <c r="AH770" s="137"/>
      <c r="AI770" s="3"/>
      <c r="AJ770" s="138"/>
      <c r="AK770" s="2"/>
      <c r="AL770" s="139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131"/>
      <c r="AX770" s="15"/>
      <c r="AY770" s="99"/>
      <c r="AZ770" s="149"/>
      <c r="BA770" s="134"/>
      <c r="BB770" s="134"/>
      <c r="BC770" s="137"/>
      <c r="BD770" s="150"/>
      <c r="BE770" s="137"/>
      <c r="BF770" s="137"/>
      <c r="BG770" s="3"/>
      <c r="BH770" s="138"/>
      <c r="BI770" s="2"/>
      <c r="BJ770" s="139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131"/>
      <c r="BV770" s="15"/>
      <c r="BW770" s="99"/>
      <c r="BX770" s="149"/>
      <c r="BY770" s="134"/>
      <c r="BZ770" s="134"/>
      <c r="CA770" s="137"/>
      <c r="CB770" s="150"/>
      <c r="CC770" s="137"/>
      <c r="CD770" s="137"/>
      <c r="CE770" s="3"/>
      <c r="CF770" s="138"/>
      <c r="CG770" s="2"/>
      <c r="CH770" s="139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131"/>
      <c r="CT770" s="15"/>
      <c r="CU770" s="99"/>
      <c r="CV770" s="149"/>
      <c r="CW770" s="134"/>
      <c r="CX770" s="134"/>
      <c r="CY770" s="137"/>
      <c r="CZ770" s="150"/>
      <c r="DA770" s="137"/>
      <c r="DB770" s="137"/>
      <c r="DC770" s="3"/>
      <c r="DD770" s="138"/>
      <c r="DE770" s="2"/>
      <c r="DF770" s="139"/>
      <c r="DG770" s="3"/>
      <c r="DH770" s="3"/>
      <c r="DI770" s="3"/>
      <c r="DJ770" s="3"/>
      <c r="DK770" s="3"/>
      <c r="DL770" s="3"/>
      <c r="DM770" s="3"/>
      <c r="DN770" s="3"/>
      <c r="DO770" s="3"/>
      <c r="DP770" s="3"/>
      <c r="DQ770" s="131"/>
      <c r="DR770" s="15"/>
      <c r="DS770" s="99"/>
      <c r="DT770" s="149"/>
      <c r="DU770" s="134"/>
      <c r="DV770" s="134"/>
      <c r="DW770" s="137"/>
      <c r="DX770" s="150"/>
      <c r="DY770" s="137"/>
      <c r="DZ770" s="137"/>
      <c r="EA770" s="3"/>
      <c r="EB770" s="138"/>
      <c r="EC770" s="2"/>
      <c r="ED770" s="139"/>
      <c r="EE770" s="3"/>
      <c r="EF770" s="3"/>
      <c r="EG770" s="3"/>
      <c r="EH770" s="3"/>
      <c r="EI770" s="3"/>
      <c r="EJ770" s="3"/>
      <c r="EK770" s="3"/>
      <c r="EL770" s="3"/>
      <c r="EM770" s="3"/>
      <c r="EN770" s="3"/>
      <c r="EO770" s="131"/>
      <c r="EP770" s="15"/>
      <c r="EQ770" s="99"/>
      <c r="ER770" s="149"/>
      <c r="ES770" s="134"/>
      <c r="ET770" s="134"/>
      <c r="EU770" s="137"/>
      <c r="EV770" s="150"/>
      <c r="EW770" s="137"/>
      <c r="EX770" s="137"/>
      <c r="EY770" s="3"/>
      <c r="EZ770" s="138"/>
      <c r="FA770" s="2"/>
      <c r="FB770" s="139"/>
      <c r="FC770" s="3"/>
      <c r="FD770" s="3"/>
      <c r="FE770" s="3"/>
      <c r="FF770" s="3"/>
      <c r="FG770" s="3"/>
      <c r="FH770" s="3"/>
      <c r="FI770" s="3"/>
      <c r="FJ770" s="3"/>
      <c r="FK770" s="3"/>
      <c r="FL770" s="3"/>
      <c r="FM770" s="131"/>
      <c r="FN770" s="15"/>
      <c r="FO770" s="99"/>
      <c r="FP770" s="149"/>
      <c r="FQ770" s="134"/>
      <c r="FR770" s="134"/>
      <c r="FS770" s="137"/>
      <c r="FT770" s="150"/>
      <c r="FU770" s="137"/>
      <c r="FV770" s="137"/>
      <c r="FW770" s="3"/>
      <c r="FX770" s="138"/>
      <c r="FY770" s="2"/>
      <c r="FZ770" s="139"/>
      <c r="GA770" s="3"/>
      <c r="GB770" s="3"/>
      <c r="GC770" s="3"/>
      <c r="GD770" s="3"/>
      <c r="GE770" s="3"/>
      <c r="GF770" s="3"/>
      <c r="GG770" s="3"/>
      <c r="GH770" s="3"/>
      <c r="GI770" s="3"/>
      <c r="GJ770" s="3"/>
      <c r="GK770" s="131"/>
      <c r="GL770" s="15"/>
      <c r="GM770" s="99"/>
      <c r="GN770" s="149"/>
      <c r="GO770" s="134"/>
      <c r="GP770" s="134"/>
      <c r="GQ770" s="137"/>
      <c r="GR770" s="150"/>
      <c r="GS770" s="137"/>
      <c r="GT770" s="137"/>
      <c r="GU770" s="3"/>
      <c r="GV770" s="138"/>
      <c r="GW770" s="2"/>
      <c r="GX770" s="139"/>
      <c r="GY770" s="3"/>
      <c r="GZ770" s="3"/>
      <c r="HA770" s="3"/>
      <c r="HB770" s="3"/>
      <c r="HC770" s="3"/>
      <c r="HD770" s="3"/>
      <c r="HE770" s="3"/>
      <c r="HF770" s="3"/>
      <c r="HG770" s="3"/>
      <c r="HH770" s="3"/>
      <c r="HI770" s="131"/>
      <c r="HJ770" s="15"/>
      <c r="HK770" s="99"/>
      <c r="HL770" s="149"/>
      <c r="HM770" s="134"/>
      <c r="HN770" s="134"/>
      <c r="HO770" s="137"/>
      <c r="HP770" s="150"/>
      <c r="HQ770" s="137"/>
      <c r="HR770" s="137"/>
      <c r="HS770" s="3"/>
      <c r="HT770" s="138"/>
      <c r="HU770" s="2"/>
      <c r="HV770" s="139"/>
      <c r="HW770" s="3"/>
      <c r="HX770" s="3"/>
      <c r="HY770" s="3"/>
      <c r="HZ770" s="3"/>
      <c r="IA770" s="3"/>
      <c r="IB770" s="3"/>
      <c r="IC770" s="3"/>
      <c r="ID770" s="3"/>
      <c r="IE770" s="3"/>
      <c r="IF770" s="3"/>
      <c r="IG770" s="131"/>
      <c r="IH770" s="15"/>
      <c r="II770" s="99"/>
      <c r="IJ770" s="149"/>
      <c r="IK770" s="134"/>
      <c r="IL770" s="134"/>
      <c r="IM770" s="137"/>
      <c r="IN770" s="150"/>
      <c r="IO770" s="137"/>
      <c r="IP770" s="137"/>
      <c r="IQ770" s="3"/>
      <c r="IR770" s="138"/>
      <c r="IS770" s="2"/>
      <c r="IT770" s="139"/>
      <c r="IU770" s="3"/>
      <c r="IV770" s="3"/>
    </row>
    <row r="771" spans="1:256" s="125" customFormat="1">
      <c r="A771" s="86"/>
      <c r="B771" s="56">
        <v>43005</v>
      </c>
      <c r="C771" s="18"/>
      <c r="D771" s="19" t="s">
        <v>841</v>
      </c>
      <c r="E771" s="20" t="s">
        <v>442</v>
      </c>
      <c r="F771" s="24" t="s">
        <v>800</v>
      </c>
      <c r="G771" s="238">
        <v>1707</v>
      </c>
      <c r="H771" s="121">
        <f>-30000+1711200</f>
        <v>1681200</v>
      </c>
      <c r="I771" s="24">
        <v>1601143</v>
      </c>
      <c r="J771" s="199"/>
      <c r="K771" s="24">
        <f t="shared" si="72"/>
        <v>1601143</v>
      </c>
      <c r="L771" s="24"/>
      <c r="M771" s="24">
        <f t="shared" si="73"/>
        <v>0</v>
      </c>
      <c r="N771" s="129">
        <f t="shared" si="74"/>
        <v>1601143</v>
      </c>
      <c r="O771" s="108" t="s">
        <v>900</v>
      </c>
      <c r="P771" s="3"/>
      <c r="Q771" s="140"/>
      <c r="R771" s="3"/>
      <c r="S771" s="3"/>
      <c r="T771" s="3"/>
      <c r="U771" s="3"/>
      <c r="V771" s="3"/>
      <c r="W771" s="3"/>
      <c r="X771" s="3"/>
      <c r="Y771" s="131"/>
      <c r="Z771" s="15"/>
      <c r="AA771" s="99"/>
      <c r="AB771" s="149"/>
      <c r="AC771" s="134"/>
      <c r="AD771" s="134"/>
      <c r="AE771" s="137"/>
      <c r="AF771" s="150"/>
      <c r="AG771" s="137"/>
      <c r="AH771" s="137"/>
      <c r="AI771" s="3"/>
      <c r="AJ771" s="138"/>
      <c r="AK771" s="2"/>
      <c r="AL771" s="139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131"/>
      <c r="AX771" s="15"/>
      <c r="AY771" s="99"/>
      <c r="AZ771" s="149"/>
      <c r="BA771" s="134"/>
      <c r="BB771" s="134"/>
      <c r="BC771" s="137"/>
      <c r="BD771" s="150"/>
      <c r="BE771" s="137"/>
      <c r="BF771" s="137"/>
      <c r="BG771" s="3"/>
      <c r="BH771" s="138"/>
      <c r="BI771" s="2"/>
      <c r="BJ771" s="139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131"/>
      <c r="BV771" s="15"/>
      <c r="BW771" s="99"/>
      <c r="BX771" s="149"/>
      <c r="BY771" s="134"/>
      <c r="BZ771" s="134"/>
      <c r="CA771" s="137"/>
      <c r="CB771" s="150"/>
      <c r="CC771" s="137"/>
      <c r="CD771" s="137"/>
      <c r="CE771" s="3"/>
      <c r="CF771" s="138"/>
      <c r="CG771" s="2"/>
      <c r="CH771" s="139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131"/>
      <c r="CT771" s="15"/>
      <c r="CU771" s="99"/>
      <c r="CV771" s="149"/>
      <c r="CW771" s="134"/>
      <c r="CX771" s="134"/>
      <c r="CY771" s="137"/>
      <c r="CZ771" s="150"/>
      <c r="DA771" s="137"/>
      <c r="DB771" s="137"/>
      <c r="DC771" s="3"/>
      <c r="DD771" s="138"/>
      <c r="DE771" s="2"/>
      <c r="DF771" s="139"/>
      <c r="DG771" s="3"/>
      <c r="DH771" s="3"/>
      <c r="DI771" s="3"/>
      <c r="DJ771" s="3"/>
      <c r="DK771" s="3"/>
      <c r="DL771" s="3"/>
      <c r="DM771" s="3"/>
      <c r="DN771" s="3"/>
      <c r="DO771" s="3"/>
      <c r="DP771" s="3"/>
      <c r="DQ771" s="131"/>
      <c r="DR771" s="15"/>
      <c r="DS771" s="99"/>
      <c r="DT771" s="149"/>
      <c r="DU771" s="134"/>
      <c r="DV771" s="134"/>
      <c r="DW771" s="137"/>
      <c r="DX771" s="150"/>
      <c r="DY771" s="137"/>
      <c r="DZ771" s="137"/>
      <c r="EA771" s="3"/>
      <c r="EB771" s="138"/>
      <c r="EC771" s="2"/>
      <c r="ED771" s="139"/>
      <c r="EE771" s="3"/>
      <c r="EF771" s="3"/>
      <c r="EG771" s="3"/>
      <c r="EH771" s="3"/>
      <c r="EI771" s="3"/>
      <c r="EJ771" s="3"/>
      <c r="EK771" s="3"/>
      <c r="EL771" s="3"/>
      <c r="EM771" s="3"/>
      <c r="EN771" s="3"/>
      <c r="EO771" s="131"/>
      <c r="EP771" s="15"/>
      <c r="EQ771" s="99"/>
      <c r="ER771" s="149"/>
      <c r="ES771" s="134"/>
      <c r="ET771" s="134"/>
      <c r="EU771" s="137"/>
      <c r="EV771" s="150"/>
      <c r="EW771" s="137"/>
      <c r="EX771" s="137"/>
      <c r="EY771" s="3"/>
      <c r="EZ771" s="138"/>
      <c r="FA771" s="2"/>
      <c r="FB771" s="139"/>
      <c r="FC771" s="3"/>
      <c r="FD771" s="3"/>
      <c r="FE771" s="3"/>
      <c r="FF771" s="3"/>
      <c r="FG771" s="3"/>
      <c r="FH771" s="3"/>
      <c r="FI771" s="3"/>
      <c r="FJ771" s="3"/>
      <c r="FK771" s="3"/>
      <c r="FL771" s="3"/>
      <c r="FM771" s="131"/>
      <c r="FN771" s="15"/>
      <c r="FO771" s="99"/>
      <c r="FP771" s="149"/>
      <c r="FQ771" s="134"/>
      <c r="FR771" s="134"/>
      <c r="FS771" s="137"/>
      <c r="FT771" s="150"/>
      <c r="FU771" s="137"/>
      <c r="FV771" s="137"/>
      <c r="FW771" s="3"/>
      <c r="FX771" s="138"/>
      <c r="FY771" s="2"/>
      <c r="FZ771" s="139"/>
      <c r="GA771" s="3"/>
      <c r="GB771" s="3"/>
      <c r="GC771" s="3"/>
      <c r="GD771" s="3"/>
      <c r="GE771" s="3"/>
      <c r="GF771" s="3"/>
      <c r="GG771" s="3"/>
      <c r="GH771" s="3"/>
      <c r="GI771" s="3"/>
      <c r="GJ771" s="3"/>
      <c r="GK771" s="131"/>
      <c r="GL771" s="15"/>
      <c r="GM771" s="99"/>
      <c r="GN771" s="149"/>
      <c r="GO771" s="134"/>
      <c r="GP771" s="134"/>
      <c r="GQ771" s="137"/>
      <c r="GR771" s="150"/>
      <c r="GS771" s="137"/>
      <c r="GT771" s="137"/>
      <c r="GU771" s="3"/>
      <c r="GV771" s="138"/>
      <c r="GW771" s="2"/>
      <c r="GX771" s="139"/>
      <c r="GY771" s="3"/>
      <c r="GZ771" s="3"/>
      <c r="HA771" s="3"/>
      <c r="HB771" s="3"/>
      <c r="HC771" s="3"/>
      <c r="HD771" s="3"/>
      <c r="HE771" s="3"/>
      <c r="HF771" s="3"/>
      <c r="HG771" s="3"/>
      <c r="HH771" s="3"/>
      <c r="HI771" s="131"/>
      <c r="HJ771" s="15"/>
      <c r="HK771" s="99"/>
      <c r="HL771" s="149"/>
      <c r="HM771" s="134"/>
      <c r="HN771" s="134"/>
      <c r="HO771" s="137"/>
      <c r="HP771" s="150"/>
      <c r="HQ771" s="137"/>
      <c r="HR771" s="137"/>
      <c r="HS771" s="3"/>
      <c r="HT771" s="138"/>
      <c r="HU771" s="2"/>
      <c r="HV771" s="139"/>
      <c r="HW771" s="3"/>
      <c r="HX771" s="3"/>
      <c r="HY771" s="3"/>
      <c r="HZ771" s="3"/>
      <c r="IA771" s="3"/>
      <c r="IB771" s="3"/>
      <c r="IC771" s="3"/>
      <c r="ID771" s="3"/>
      <c r="IE771" s="3"/>
      <c r="IF771" s="3"/>
      <c r="IG771" s="131"/>
      <c r="IH771" s="15"/>
      <c r="II771" s="99"/>
      <c r="IJ771" s="149"/>
      <c r="IK771" s="134"/>
      <c r="IL771" s="134"/>
      <c r="IM771" s="137"/>
      <c r="IN771" s="150"/>
      <c r="IO771" s="137"/>
      <c r="IP771" s="137"/>
      <c r="IQ771" s="3"/>
      <c r="IR771" s="138"/>
      <c r="IS771" s="2"/>
      <c r="IT771" s="139"/>
      <c r="IU771" s="3"/>
      <c r="IV771" s="3"/>
    </row>
    <row r="772" spans="1:256" s="125" customFormat="1">
      <c r="A772" s="86"/>
      <c r="B772" s="56">
        <v>43081</v>
      </c>
      <c r="C772" s="18"/>
      <c r="D772" s="19" t="s">
        <v>841</v>
      </c>
      <c r="E772" s="20" t="s">
        <v>495</v>
      </c>
      <c r="F772" s="24" t="s">
        <v>801</v>
      </c>
      <c r="G772" s="238">
        <v>1708</v>
      </c>
      <c r="H772" s="121">
        <v>3320100</v>
      </c>
      <c r="I772" s="24"/>
      <c r="J772" s="199">
        <f>SUM(H772)/1.05</f>
        <v>3162000</v>
      </c>
      <c r="K772" s="24">
        <f t="shared" si="72"/>
        <v>3162000</v>
      </c>
      <c r="L772" s="24"/>
      <c r="M772" s="24">
        <f t="shared" si="73"/>
        <v>0</v>
      </c>
      <c r="N772" s="129">
        <f t="shared" si="74"/>
        <v>3162000</v>
      </c>
      <c r="O772" s="108" t="s">
        <v>900</v>
      </c>
      <c r="P772" s="3"/>
      <c r="Q772" s="140"/>
      <c r="R772" s="3"/>
      <c r="S772" s="3"/>
      <c r="T772" s="3"/>
      <c r="U772" s="3"/>
      <c r="V772" s="3"/>
      <c r="W772" s="3"/>
      <c r="X772" s="3"/>
      <c r="Y772" s="131"/>
      <c r="Z772" s="15"/>
      <c r="AA772" s="99"/>
      <c r="AB772" s="149"/>
      <c r="AC772" s="134"/>
      <c r="AD772" s="134"/>
      <c r="AE772" s="137"/>
      <c r="AF772" s="150"/>
      <c r="AG772" s="137"/>
      <c r="AH772" s="137"/>
      <c r="AI772" s="3"/>
      <c r="AJ772" s="138"/>
      <c r="AK772" s="2"/>
      <c r="AL772" s="139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131"/>
      <c r="AX772" s="15"/>
      <c r="AY772" s="99"/>
      <c r="AZ772" s="149"/>
      <c r="BA772" s="134"/>
      <c r="BB772" s="134"/>
      <c r="BC772" s="137"/>
      <c r="BD772" s="150"/>
      <c r="BE772" s="137"/>
      <c r="BF772" s="137"/>
      <c r="BG772" s="3"/>
      <c r="BH772" s="138"/>
      <c r="BI772" s="2"/>
      <c r="BJ772" s="139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131"/>
      <c r="BV772" s="15"/>
      <c r="BW772" s="99"/>
      <c r="BX772" s="149"/>
      <c r="BY772" s="134"/>
      <c r="BZ772" s="134"/>
      <c r="CA772" s="137"/>
      <c r="CB772" s="150"/>
      <c r="CC772" s="137"/>
      <c r="CD772" s="137"/>
      <c r="CE772" s="3"/>
      <c r="CF772" s="138"/>
      <c r="CG772" s="2"/>
      <c r="CH772" s="139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131"/>
      <c r="CT772" s="15"/>
      <c r="CU772" s="99"/>
      <c r="CV772" s="149"/>
      <c r="CW772" s="134"/>
      <c r="CX772" s="134"/>
      <c r="CY772" s="137"/>
      <c r="CZ772" s="150"/>
      <c r="DA772" s="137"/>
      <c r="DB772" s="137"/>
      <c r="DC772" s="3"/>
      <c r="DD772" s="138"/>
      <c r="DE772" s="2"/>
      <c r="DF772" s="139"/>
      <c r="DG772" s="3"/>
      <c r="DH772" s="3"/>
      <c r="DI772" s="3"/>
      <c r="DJ772" s="3"/>
      <c r="DK772" s="3"/>
      <c r="DL772" s="3"/>
      <c r="DM772" s="3"/>
      <c r="DN772" s="3"/>
      <c r="DO772" s="3"/>
      <c r="DP772" s="3"/>
      <c r="DQ772" s="131"/>
      <c r="DR772" s="15"/>
      <c r="DS772" s="99"/>
      <c r="DT772" s="149"/>
      <c r="DU772" s="134"/>
      <c r="DV772" s="134"/>
      <c r="DW772" s="137"/>
      <c r="DX772" s="150"/>
      <c r="DY772" s="137"/>
      <c r="DZ772" s="137"/>
      <c r="EA772" s="3"/>
      <c r="EB772" s="138"/>
      <c r="EC772" s="2"/>
      <c r="ED772" s="139"/>
      <c r="EE772" s="3"/>
      <c r="EF772" s="3"/>
      <c r="EG772" s="3"/>
      <c r="EH772" s="3"/>
      <c r="EI772" s="3"/>
      <c r="EJ772" s="3"/>
      <c r="EK772" s="3"/>
      <c r="EL772" s="3"/>
      <c r="EM772" s="3"/>
      <c r="EN772" s="3"/>
      <c r="EO772" s="131"/>
      <c r="EP772" s="15"/>
      <c r="EQ772" s="99"/>
      <c r="ER772" s="149"/>
      <c r="ES772" s="134"/>
      <c r="ET772" s="134"/>
      <c r="EU772" s="137"/>
      <c r="EV772" s="150"/>
      <c r="EW772" s="137"/>
      <c r="EX772" s="137"/>
      <c r="EY772" s="3"/>
      <c r="EZ772" s="138"/>
      <c r="FA772" s="2"/>
      <c r="FB772" s="139"/>
      <c r="FC772" s="3"/>
      <c r="FD772" s="3"/>
      <c r="FE772" s="3"/>
      <c r="FF772" s="3"/>
      <c r="FG772" s="3"/>
      <c r="FH772" s="3"/>
      <c r="FI772" s="3"/>
      <c r="FJ772" s="3"/>
      <c r="FK772" s="3"/>
      <c r="FL772" s="3"/>
      <c r="FM772" s="131"/>
      <c r="FN772" s="15"/>
      <c r="FO772" s="99"/>
      <c r="FP772" s="149"/>
      <c r="FQ772" s="134"/>
      <c r="FR772" s="134"/>
      <c r="FS772" s="137"/>
      <c r="FT772" s="150"/>
      <c r="FU772" s="137"/>
      <c r="FV772" s="137"/>
      <c r="FW772" s="3"/>
      <c r="FX772" s="138"/>
      <c r="FY772" s="2"/>
      <c r="FZ772" s="139"/>
      <c r="GA772" s="3"/>
      <c r="GB772" s="3"/>
      <c r="GC772" s="3"/>
      <c r="GD772" s="3"/>
      <c r="GE772" s="3"/>
      <c r="GF772" s="3"/>
      <c r="GG772" s="3"/>
      <c r="GH772" s="3"/>
      <c r="GI772" s="3"/>
      <c r="GJ772" s="3"/>
      <c r="GK772" s="131"/>
      <c r="GL772" s="15"/>
      <c r="GM772" s="99"/>
      <c r="GN772" s="149"/>
      <c r="GO772" s="134"/>
      <c r="GP772" s="134"/>
      <c r="GQ772" s="137"/>
      <c r="GR772" s="150"/>
      <c r="GS772" s="137"/>
      <c r="GT772" s="137"/>
      <c r="GU772" s="3"/>
      <c r="GV772" s="138"/>
      <c r="GW772" s="2"/>
      <c r="GX772" s="139"/>
      <c r="GY772" s="3"/>
      <c r="GZ772" s="3"/>
      <c r="HA772" s="3"/>
      <c r="HB772" s="3"/>
      <c r="HC772" s="3"/>
      <c r="HD772" s="3"/>
      <c r="HE772" s="3"/>
      <c r="HF772" s="3"/>
      <c r="HG772" s="3"/>
      <c r="HH772" s="3"/>
      <c r="HI772" s="131"/>
      <c r="HJ772" s="15"/>
      <c r="HK772" s="99"/>
      <c r="HL772" s="149"/>
      <c r="HM772" s="134"/>
      <c r="HN772" s="134"/>
      <c r="HO772" s="137"/>
      <c r="HP772" s="150"/>
      <c r="HQ772" s="137"/>
      <c r="HR772" s="137"/>
      <c r="HS772" s="3"/>
      <c r="HT772" s="138"/>
      <c r="HU772" s="2"/>
      <c r="HV772" s="139"/>
      <c r="HW772" s="3"/>
      <c r="HX772" s="3"/>
      <c r="HY772" s="3"/>
      <c r="HZ772" s="3"/>
      <c r="IA772" s="3"/>
      <c r="IB772" s="3"/>
      <c r="IC772" s="3"/>
      <c r="ID772" s="3"/>
      <c r="IE772" s="3"/>
      <c r="IF772" s="3"/>
      <c r="IG772" s="131"/>
      <c r="IH772" s="15"/>
      <c r="II772" s="99"/>
      <c r="IJ772" s="149"/>
      <c r="IK772" s="134"/>
      <c r="IL772" s="134"/>
      <c r="IM772" s="137"/>
      <c r="IN772" s="150"/>
      <c r="IO772" s="137"/>
      <c r="IP772" s="137"/>
      <c r="IQ772" s="3"/>
      <c r="IR772" s="138"/>
      <c r="IS772" s="2"/>
      <c r="IT772" s="139"/>
      <c r="IU772" s="3"/>
      <c r="IV772" s="3"/>
    </row>
    <row r="773" spans="1:256" s="125" customFormat="1">
      <c r="A773" s="86">
        <v>1</v>
      </c>
      <c r="B773" s="56">
        <v>43039</v>
      </c>
      <c r="C773" s="18"/>
      <c r="D773" s="19" t="s">
        <v>998</v>
      </c>
      <c r="E773" s="20" t="s">
        <v>77</v>
      </c>
      <c r="F773" s="24" t="s">
        <v>999</v>
      </c>
      <c r="G773" s="238">
        <v>1611</v>
      </c>
      <c r="H773" s="121">
        <f>754400+9900</f>
        <v>764300</v>
      </c>
      <c r="I773" s="24">
        <v>727905</v>
      </c>
      <c r="J773" s="199"/>
      <c r="K773" s="24">
        <f>I773+J773</f>
        <v>727905</v>
      </c>
      <c r="L773" s="24"/>
      <c r="M773" s="24"/>
      <c r="N773" s="129">
        <f>K773-M773</f>
        <v>727905</v>
      </c>
      <c r="O773" s="108" t="s">
        <v>900</v>
      </c>
      <c r="P773" s="3"/>
      <c r="Q773" s="140"/>
      <c r="R773" s="3"/>
      <c r="S773" s="3"/>
      <c r="T773" s="3"/>
      <c r="U773" s="3"/>
      <c r="V773" s="3"/>
      <c r="W773" s="3"/>
      <c r="X773" s="3"/>
      <c r="Y773" s="131"/>
      <c r="Z773" s="15"/>
      <c r="AA773" s="99"/>
      <c r="AB773" s="149"/>
      <c r="AC773" s="134"/>
      <c r="AD773" s="134"/>
      <c r="AE773" s="137"/>
      <c r="AF773" s="150"/>
      <c r="AG773" s="137"/>
      <c r="AH773" s="137"/>
      <c r="AI773" s="3"/>
      <c r="AJ773" s="138"/>
      <c r="AK773" s="2"/>
      <c r="AL773" s="139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131"/>
      <c r="AX773" s="15"/>
      <c r="AY773" s="99"/>
      <c r="AZ773" s="149"/>
      <c r="BA773" s="134"/>
      <c r="BB773" s="134"/>
      <c r="BC773" s="137"/>
      <c r="BD773" s="150"/>
      <c r="BE773" s="137"/>
      <c r="BF773" s="137"/>
      <c r="BG773" s="3"/>
      <c r="BH773" s="138"/>
      <c r="BI773" s="2"/>
      <c r="BJ773" s="139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131"/>
      <c r="BV773" s="15"/>
      <c r="BW773" s="99"/>
      <c r="BX773" s="149"/>
      <c r="BY773" s="134"/>
      <c r="BZ773" s="134"/>
      <c r="CA773" s="137"/>
      <c r="CB773" s="150"/>
      <c r="CC773" s="137"/>
      <c r="CD773" s="137"/>
      <c r="CE773" s="3"/>
      <c r="CF773" s="138"/>
      <c r="CG773" s="2"/>
      <c r="CH773" s="139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131"/>
      <c r="CT773" s="15"/>
      <c r="CU773" s="99"/>
      <c r="CV773" s="149"/>
      <c r="CW773" s="134"/>
      <c r="CX773" s="134"/>
      <c r="CY773" s="137"/>
      <c r="CZ773" s="150"/>
      <c r="DA773" s="137"/>
      <c r="DB773" s="137"/>
      <c r="DC773" s="3"/>
      <c r="DD773" s="138"/>
      <c r="DE773" s="2"/>
      <c r="DF773" s="139"/>
      <c r="DG773" s="3"/>
      <c r="DH773" s="3"/>
      <c r="DI773" s="3"/>
      <c r="DJ773" s="3"/>
      <c r="DK773" s="3"/>
      <c r="DL773" s="3"/>
      <c r="DM773" s="3"/>
      <c r="DN773" s="3"/>
      <c r="DO773" s="3"/>
      <c r="DP773" s="3"/>
      <c r="DQ773" s="131"/>
      <c r="DR773" s="15"/>
      <c r="DS773" s="99"/>
      <c r="DT773" s="149"/>
      <c r="DU773" s="134"/>
      <c r="DV773" s="134"/>
      <c r="DW773" s="137"/>
      <c r="DX773" s="150"/>
      <c r="DY773" s="137"/>
      <c r="DZ773" s="137"/>
      <c r="EA773" s="3"/>
      <c r="EB773" s="138"/>
      <c r="EC773" s="2"/>
      <c r="ED773" s="139"/>
      <c r="EE773" s="3"/>
      <c r="EF773" s="3"/>
      <c r="EG773" s="3"/>
      <c r="EH773" s="3"/>
      <c r="EI773" s="3"/>
      <c r="EJ773" s="3"/>
      <c r="EK773" s="3"/>
      <c r="EL773" s="3"/>
      <c r="EM773" s="3"/>
      <c r="EN773" s="3"/>
      <c r="EO773" s="131"/>
      <c r="EP773" s="15"/>
      <c r="EQ773" s="99"/>
      <c r="ER773" s="149"/>
      <c r="ES773" s="134"/>
      <c r="ET773" s="134"/>
      <c r="EU773" s="137"/>
      <c r="EV773" s="150"/>
      <c r="EW773" s="137"/>
      <c r="EX773" s="137"/>
      <c r="EY773" s="3"/>
      <c r="EZ773" s="138"/>
      <c r="FA773" s="2"/>
      <c r="FB773" s="139"/>
      <c r="FC773" s="3"/>
      <c r="FD773" s="3"/>
      <c r="FE773" s="3"/>
      <c r="FF773" s="3"/>
      <c r="FG773" s="3"/>
      <c r="FH773" s="3"/>
      <c r="FI773" s="3"/>
      <c r="FJ773" s="3"/>
      <c r="FK773" s="3"/>
      <c r="FL773" s="3"/>
      <c r="FM773" s="131"/>
      <c r="FN773" s="15"/>
      <c r="FO773" s="99"/>
      <c r="FP773" s="149"/>
      <c r="FQ773" s="134"/>
      <c r="FR773" s="134"/>
      <c r="FS773" s="137"/>
      <c r="FT773" s="150"/>
      <c r="FU773" s="137"/>
      <c r="FV773" s="137"/>
      <c r="FW773" s="3"/>
      <c r="FX773" s="138"/>
      <c r="FY773" s="2"/>
      <c r="FZ773" s="139"/>
      <c r="GA773" s="3"/>
      <c r="GB773" s="3"/>
      <c r="GC773" s="3"/>
      <c r="GD773" s="3"/>
      <c r="GE773" s="3"/>
      <c r="GF773" s="3"/>
      <c r="GG773" s="3"/>
      <c r="GH773" s="3"/>
      <c r="GI773" s="3"/>
      <c r="GJ773" s="3"/>
      <c r="GK773" s="131"/>
      <c r="GL773" s="15"/>
      <c r="GM773" s="99"/>
      <c r="GN773" s="149"/>
      <c r="GO773" s="134"/>
      <c r="GP773" s="134"/>
      <c r="GQ773" s="137"/>
      <c r="GR773" s="150"/>
      <c r="GS773" s="137"/>
      <c r="GT773" s="137"/>
      <c r="GU773" s="3"/>
      <c r="GV773" s="138"/>
      <c r="GW773" s="2"/>
      <c r="GX773" s="139"/>
      <c r="GY773" s="3"/>
      <c r="GZ773" s="3"/>
      <c r="HA773" s="3"/>
      <c r="HB773" s="3"/>
      <c r="HC773" s="3"/>
      <c r="HD773" s="3"/>
      <c r="HE773" s="3"/>
      <c r="HF773" s="3"/>
      <c r="HG773" s="3"/>
      <c r="HH773" s="3"/>
      <c r="HI773" s="131"/>
      <c r="HJ773" s="15"/>
      <c r="HK773" s="99"/>
      <c r="HL773" s="149"/>
      <c r="HM773" s="134"/>
      <c r="HN773" s="134"/>
      <c r="HO773" s="137"/>
      <c r="HP773" s="150"/>
      <c r="HQ773" s="137"/>
      <c r="HR773" s="137"/>
      <c r="HS773" s="3"/>
      <c r="HT773" s="138"/>
      <c r="HU773" s="2"/>
      <c r="HV773" s="139"/>
      <c r="HW773" s="3"/>
      <c r="HX773" s="3"/>
      <c r="HY773" s="3"/>
      <c r="HZ773" s="3"/>
      <c r="IA773" s="3"/>
      <c r="IB773" s="3"/>
      <c r="IC773" s="3"/>
      <c r="ID773" s="3"/>
      <c r="IE773" s="3"/>
      <c r="IF773" s="3"/>
      <c r="IG773" s="131"/>
      <c r="IH773" s="15"/>
      <c r="II773" s="99"/>
      <c r="IJ773" s="149"/>
      <c r="IK773" s="134"/>
      <c r="IL773" s="134"/>
      <c r="IM773" s="137"/>
      <c r="IN773" s="150"/>
      <c r="IO773" s="137"/>
      <c r="IP773" s="137"/>
      <c r="IQ773" s="3"/>
      <c r="IR773" s="138"/>
      <c r="IS773" s="2"/>
      <c r="IT773" s="139"/>
      <c r="IU773" s="3"/>
      <c r="IV773" s="3"/>
    </row>
    <row r="774" spans="1:256" s="125" customFormat="1">
      <c r="A774" s="86"/>
      <c r="B774" s="56"/>
      <c r="C774" s="18"/>
      <c r="D774" s="19"/>
      <c r="E774" s="20"/>
      <c r="F774" s="24"/>
      <c r="G774" s="238"/>
      <c r="H774" s="121"/>
      <c r="I774" s="24"/>
      <c r="J774" s="199"/>
      <c r="K774" s="24"/>
      <c r="L774" s="24"/>
      <c r="M774" s="24"/>
      <c r="N774" s="129"/>
      <c r="O774" s="108"/>
      <c r="P774" s="3"/>
      <c r="Q774" s="140"/>
      <c r="R774" s="3"/>
      <c r="S774" s="3"/>
      <c r="T774" s="3"/>
      <c r="U774" s="3"/>
      <c r="V774" s="3"/>
      <c r="W774" s="3"/>
      <c r="X774" s="3"/>
      <c r="Y774" s="131"/>
      <c r="Z774" s="15"/>
      <c r="AA774" s="99"/>
      <c r="AB774" s="149"/>
      <c r="AC774" s="134"/>
      <c r="AD774" s="134"/>
      <c r="AE774" s="137"/>
      <c r="AF774" s="150"/>
      <c r="AG774" s="137"/>
      <c r="AH774" s="137"/>
      <c r="AI774" s="3"/>
      <c r="AJ774" s="138"/>
      <c r="AK774" s="2"/>
      <c r="AL774" s="139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131"/>
      <c r="AX774" s="15"/>
      <c r="AY774" s="99"/>
      <c r="AZ774" s="149"/>
      <c r="BA774" s="134"/>
      <c r="BB774" s="134"/>
      <c r="BC774" s="137"/>
      <c r="BD774" s="150"/>
      <c r="BE774" s="137"/>
      <c r="BF774" s="137"/>
      <c r="BG774" s="3"/>
      <c r="BH774" s="138"/>
      <c r="BI774" s="2"/>
      <c r="BJ774" s="139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131"/>
      <c r="BV774" s="15"/>
      <c r="BW774" s="99"/>
      <c r="BX774" s="149"/>
      <c r="BY774" s="134"/>
      <c r="BZ774" s="134"/>
      <c r="CA774" s="137"/>
      <c r="CB774" s="150"/>
      <c r="CC774" s="137"/>
      <c r="CD774" s="137"/>
      <c r="CE774" s="3"/>
      <c r="CF774" s="138"/>
      <c r="CG774" s="2"/>
      <c r="CH774" s="139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131"/>
      <c r="CT774" s="15"/>
      <c r="CU774" s="99"/>
      <c r="CV774" s="149"/>
      <c r="CW774" s="134"/>
      <c r="CX774" s="134"/>
      <c r="CY774" s="137"/>
      <c r="CZ774" s="150"/>
      <c r="DA774" s="137"/>
      <c r="DB774" s="137"/>
      <c r="DC774" s="3"/>
      <c r="DD774" s="138"/>
      <c r="DE774" s="2"/>
      <c r="DF774" s="139"/>
      <c r="DG774" s="3"/>
      <c r="DH774" s="3"/>
      <c r="DI774" s="3"/>
      <c r="DJ774" s="3"/>
      <c r="DK774" s="3"/>
      <c r="DL774" s="3"/>
      <c r="DM774" s="3"/>
      <c r="DN774" s="3"/>
      <c r="DO774" s="3"/>
      <c r="DP774" s="3"/>
      <c r="DQ774" s="131"/>
      <c r="DR774" s="15"/>
      <c r="DS774" s="99"/>
      <c r="DT774" s="149"/>
      <c r="DU774" s="134"/>
      <c r="DV774" s="134"/>
      <c r="DW774" s="137"/>
      <c r="DX774" s="150"/>
      <c r="DY774" s="137"/>
      <c r="DZ774" s="137"/>
      <c r="EA774" s="3"/>
      <c r="EB774" s="138"/>
      <c r="EC774" s="2"/>
      <c r="ED774" s="139"/>
      <c r="EE774" s="3"/>
      <c r="EF774" s="3"/>
      <c r="EG774" s="3"/>
      <c r="EH774" s="3"/>
      <c r="EI774" s="3"/>
      <c r="EJ774" s="3"/>
      <c r="EK774" s="3"/>
      <c r="EL774" s="3"/>
      <c r="EM774" s="3"/>
      <c r="EN774" s="3"/>
      <c r="EO774" s="131"/>
      <c r="EP774" s="15"/>
      <c r="EQ774" s="99"/>
      <c r="ER774" s="149"/>
      <c r="ES774" s="134"/>
      <c r="ET774" s="134"/>
      <c r="EU774" s="137"/>
      <c r="EV774" s="150"/>
      <c r="EW774" s="137"/>
      <c r="EX774" s="137"/>
      <c r="EY774" s="3"/>
      <c r="EZ774" s="138"/>
      <c r="FA774" s="2"/>
      <c r="FB774" s="139"/>
      <c r="FC774" s="3"/>
      <c r="FD774" s="3"/>
      <c r="FE774" s="3"/>
      <c r="FF774" s="3"/>
      <c r="FG774" s="3"/>
      <c r="FH774" s="3"/>
      <c r="FI774" s="3"/>
      <c r="FJ774" s="3"/>
      <c r="FK774" s="3"/>
      <c r="FL774" s="3"/>
      <c r="FM774" s="131"/>
      <c r="FN774" s="15"/>
      <c r="FO774" s="99"/>
      <c r="FP774" s="149"/>
      <c r="FQ774" s="134"/>
      <c r="FR774" s="134"/>
      <c r="FS774" s="137"/>
      <c r="FT774" s="150"/>
      <c r="FU774" s="137"/>
      <c r="FV774" s="137"/>
      <c r="FW774" s="3"/>
      <c r="FX774" s="138"/>
      <c r="FY774" s="2"/>
      <c r="FZ774" s="139"/>
      <c r="GA774" s="3"/>
      <c r="GB774" s="3"/>
      <c r="GC774" s="3"/>
      <c r="GD774" s="3"/>
      <c r="GE774" s="3"/>
      <c r="GF774" s="3"/>
      <c r="GG774" s="3"/>
      <c r="GH774" s="3"/>
      <c r="GI774" s="3"/>
      <c r="GJ774" s="3"/>
      <c r="GK774" s="131"/>
      <c r="GL774" s="15"/>
      <c r="GM774" s="99"/>
      <c r="GN774" s="149"/>
      <c r="GO774" s="134"/>
      <c r="GP774" s="134"/>
      <c r="GQ774" s="137"/>
      <c r="GR774" s="150"/>
      <c r="GS774" s="137"/>
      <c r="GT774" s="137"/>
      <c r="GU774" s="3"/>
      <c r="GV774" s="138"/>
      <c r="GW774" s="2"/>
      <c r="GX774" s="139"/>
      <c r="GY774" s="3"/>
      <c r="GZ774" s="3"/>
      <c r="HA774" s="3"/>
      <c r="HB774" s="3"/>
      <c r="HC774" s="3"/>
      <c r="HD774" s="3"/>
      <c r="HE774" s="3"/>
      <c r="HF774" s="3"/>
      <c r="HG774" s="3"/>
      <c r="HH774" s="3"/>
      <c r="HI774" s="131"/>
      <c r="HJ774" s="15"/>
      <c r="HK774" s="99"/>
      <c r="HL774" s="149"/>
      <c r="HM774" s="134"/>
      <c r="HN774" s="134"/>
      <c r="HO774" s="137"/>
      <c r="HP774" s="150"/>
      <c r="HQ774" s="137"/>
      <c r="HR774" s="137"/>
      <c r="HS774" s="3"/>
      <c r="HT774" s="138"/>
      <c r="HU774" s="2"/>
      <c r="HV774" s="139"/>
      <c r="HW774" s="3"/>
      <c r="HX774" s="3"/>
      <c r="HY774" s="3"/>
      <c r="HZ774" s="3"/>
      <c r="IA774" s="3"/>
      <c r="IB774" s="3"/>
      <c r="IC774" s="3"/>
      <c r="ID774" s="3"/>
      <c r="IE774" s="3"/>
      <c r="IF774" s="3"/>
      <c r="IG774" s="131"/>
      <c r="IH774" s="15"/>
      <c r="II774" s="99"/>
      <c r="IJ774" s="149"/>
      <c r="IK774" s="134"/>
      <c r="IL774" s="134"/>
      <c r="IM774" s="137"/>
      <c r="IN774" s="150"/>
      <c r="IO774" s="137"/>
      <c r="IP774" s="137"/>
      <c r="IQ774" s="3"/>
      <c r="IR774" s="138"/>
      <c r="IS774" s="2"/>
      <c r="IT774" s="139"/>
      <c r="IU774" s="3"/>
      <c r="IV774" s="3"/>
    </row>
    <row r="775" spans="1:256" s="125" customFormat="1">
      <c r="A775" s="86"/>
      <c r="B775" s="56"/>
      <c r="C775" s="18"/>
      <c r="D775" s="19"/>
      <c r="E775" s="20"/>
      <c r="F775" s="24"/>
      <c r="G775" s="238"/>
      <c r="H775" s="121"/>
      <c r="I775" s="24"/>
      <c r="J775" s="199"/>
      <c r="K775" s="24"/>
      <c r="L775" s="24"/>
      <c r="M775" s="24"/>
      <c r="N775" s="129"/>
      <c r="O775" s="108"/>
      <c r="P775" s="3"/>
      <c r="Q775" s="140"/>
      <c r="R775" s="3"/>
      <c r="S775" s="3"/>
      <c r="T775" s="3"/>
      <c r="U775" s="3"/>
      <c r="V775" s="3"/>
      <c r="W775" s="3"/>
      <c r="X775" s="3"/>
      <c r="Y775" s="131"/>
      <c r="Z775" s="15"/>
      <c r="AA775" s="99"/>
      <c r="AB775" s="149"/>
      <c r="AC775" s="134"/>
      <c r="AD775" s="134"/>
      <c r="AE775" s="137"/>
      <c r="AF775" s="150"/>
      <c r="AG775" s="137"/>
      <c r="AH775" s="137"/>
      <c r="AI775" s="3"/>
      <c r="AJ775" s="138"/>
      <c r="AK775" s="2"/>
      <c r="AL775" s="139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131"/>
      <c r="AX775" s="15"/>
      <c r="AY775" s="99"/>
      <c r="AZ775" s="149"/>
      <c r="BA775" s="134"/>
      <c r="BB775" s="134"/>
      <c r="BC775" s="137"/>
      <c r="BD775" s="150"/>
      <c r="BE775" s="137"/>
      <c r="BF775" s="137"/>
      <c r="BG775" s="3"/>
      <c r="BH775" s="138"/>
      <c r="BI775" s="2"/>
      <c r="BJ775" s="139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131"/>
      <c r="BV775" s="15"/>
      <c r="BW775" s="99"/>
      <c r="BX775" s="149"/>
      <c r="BY775" s="134"/>
      <c r="BZ775" s="134"/>
      <c r="CA775" s="137"/>
      <c r="CB775" s="150"/>
      <c r="CC775" s="137"/>
      <c r="CD775" s="137"/>
      <c r="CE775" s="3"/>
      <c r="CF775" s="138"/>
      <c r="CG775" s="2"/>
      <c r="CH775" s="139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131"/>
      <c r="CT775" s="15"/>
      <c r="CU775" s="99"/>
      <c r="CV775" s="149"/>
      <c r="CW775" s="134"/>
      <c r="CX775" s="134"/>
      <c r="CY775" s="137"/>
      <c r="CZ775" s="150"/>
      <c r="DA775" s="137"/>
      <c r="DB775" s="137"/>
      <c r="DC775" s="3"/>
      <c r="DD775" s="138"/>
      <c r="DE775" s="2"/>
      <c r="DF775" s="139"/>
      <c r="DG775" s="3"/>
      <c r="DH775" s="3"/>
      <c r="DI775" s="3"/>
      <c r="DJ775" s="3"/>
      <c r="DK775" s="3"/>
      <c r="DL775" s="3"/>
      <c r="DM775" s="3"/>
      <c r="DN775" s="3"/>
      <c r="DO775" s="3"/>
      <c r="DP775" s="3"/>
      <c r="DQ775" s="131"/>
      <c r="DR775" s="15"/>
      <c r="DS775" s="99"/>
      <c r="DT775" s="149"/>
      <c r="DU775" s="134"/>
      <c r="DV775" s="134"/>
      <c r="DW775" s="137"/>
      <c r="DX775" s="150"/>
      <c r="DY775" s="137"/>
      <c r="DZ775" s="137"/>
      <c r="EA775" s="3"/>
      <c r="EB775" s="138"/>
      <c r="EC775" s="2"/>
      <c r="ED775" s="139"/>
      <c r="EE775" s="3"/>
      <c r="EF775" s="3"/>
      <c r="EG775" s="3"/>
      <c r="EH775" s="3"/>
      <c r="EI775" s="3"/>
      <c r="EJ775" s="3"/>
      <c r="EK775" s="3"/>
      <c r="EL775" s="3"/>
      <c r="EM775" s="3"/>
      <c r="EN775" s="3"/>
      <c r="EO775" s="131"/>
      <c r="EP775" s="15"/>
      <c r="EQ775" s="99"/>
      <c r="ER775" s="149"/>
      <c r="ES775" s="134"/>
      <c r="ET775" s="134"/>
      <c r="EU775" s="137"/>
      <c r="EV775" s="150"/>
      <c r="EW775" s="137"/>
      <c r="EX775" s="137"/>
      <c r="EY775" s="3"/>
      <c r="EZ775" s="138"/>
      <c r="FA775" s="2"/>
      <c r="FB775" s="139"/>
      <c r="FC775" s="3"/>
      <c r="FD775" s="3"/>
      <c r="FE775" s="3"/>
      <c r="FF775" s="3"/>
      <c r="FG775" s="3"/>
      <c r="FH775" s="3"/>
      <c r="FI775" s="3"/>
      <c r="FJ775" s="3"/>
      <c r="FK775" s="3"/>
      <c r="FL775" s="3"/>
      <c r="FM775" s="131"/>
      <c r="FN775" s="15"/>
      <c r="FO775" s="99"/>
      <c r="FP775" s="149"/>
      <c r="FQ775" s="134"/>
      <c r="FR775" s="134"/>
      <c r="FS775" s="137"/>
      <c r="FT775" s="150"/>
      <c r="FU775" s="137"/>
      <c r="FV775" s="137"/>
      <c r="FW775" s="3"/>
      <c r="FX775" s="138"/>
      <c r="FY775" s="2"/>
      <c r="FZ775" s="139"/>
      <c r="GA775" s="3"/>
      <c r="GB775" s="3"/>
      <c r="GC775" s="3"/>
      <c r="GD775" s="3"/>
      <c r="GE775" s="3"/>
      <c r="GF775" s="3"/>
      <c r="GG775" s="3"/>
      <c r="GH775" s="3"/>
      <c r="GI775" s="3"/>
      <c r="GJ775" s="3"/>
      <c r="GK775" s="131"/>
      <c r="GL775" s="15"/>
      <c r="GM775" s="99"/>
      <c r="GN775" s="149"/>
      <c r="GO775" s="134"/>
      <c r="GP775" s="134"/>
      <c r="GQ775" s="137"/>
      <c r="GR775" s="150"/>
      <c r="GS775" s="137"/>
      <c r="GT775" s="137"/>
      <c r="GU775" s="3"/>
      <c r="GV775" s="138"/>
      <c r="GW775" s="2"/>
      <c r="GX775" s="139"/>
      <c r="GY775" s="3"/>
      <c r="GZ775" s="3"/>
      <c r="HA775" s="3"/>
      <c r="HB775" s="3"/>
      <c r="HC775" s="3"/>
      <c r="HD775" s="3"/>
      <c r="HE775" s="3"/>
      <c r="HF775" s="3"/>
      <c r="HG775" s="3"/>
      <c r="HH775" s="3"/>
      <c r="HI775" s="131"/>
      <c r="HJ775" s="15"/>
      <c r="HK775" s="99"/>
      <c r="HL775" s="149"/>
      <c r="HM775" s="134"/>
      <c r="HN775" s="134"/>
      <c r="HO775" s="137"/>
      <c r="HP775" s="150"/>
      <c r="HQ775" s="137"/>
      <c r="HR775" s="137"/>
      <c r="HS775" s="3"/>
      <c r="HT775" s="138"/>
      <c r="HU775" s="2"/>
      <c r="HV775" s="139"/>
      <c r="HW775" s="3"/>
      <c r="HX775" s="3"/>
      <c r="HY775" s="3"/>
      <c r="HZ775" s="3"/>
      <c r="IA775" s="3"/>
      <c r="IB775" s="3"/>
      <c r="IC775" s="3"/>
      <c r="ID775" s="3"/>
      <c r="IE775" s="3"/>
      <c r="IF775" s="3"/>
      <c r="IG775" s="131"/>
      <c r="IH775" s="15"/>
      <c r="II775" s="99"/>
      <c r="IJ775" s="149"/>
      <c r="IK775" s="134"/>
      <c r="IL775" s="134"/>
      <c r="IM775" s="137"/>
      <c r="IN775" s="150"/>
      <c r="IO775" s="137"/>
      <c r="IP775" s="137"/>
      <c r="IQ775" s="3"/>
      <c r="IR775" s="138"/>
      <c r="IS775" s="2"/>
      <c r="IT775" s="139"/>
      <c r="IU775" s="3"/>
      <c r="IV775" s="3"/>
    </row>
    <row r="776" spans="1:256" s="125" customFormat="1">
      <c r="A776" s="86"/>
      <c r="B776" s="56"/>
      <c r="C776" s="18"/>
      <c r="D776" s="19"/>
      <c r="E776" s="20"/>
      <c r="F776" s="24"/>
      <c r="G776" s="238"/>
      <c r="H776" s="121"/>
      <c r="I776" s="24"/>
      <c r="J776" s="199"/>
      <c r="K776" s="24"/>
      <c r="L776" s="24"/>
      <c r="M776" s="24"/>
      <c r="N776" s="129"/>
      <c r="O776" s="108"/>
      <c r="P776" s="3"/>
      <c r="Q776" s="140"/>
      <c r="R776" s="3"/>
      <c r="S776" s="3"/>
      <c r="T776" s="3"/>
      <c r="U776" s="3"/>
      <c r="V776" s="3"/>
      <c r="W776" s="3"/>
      <c r="X776" s="3"/>
      <c r="Y776" s="131"/>
      <c r="Z776" s="15"/>
      <c r="AA776" s="99"/>
      <c r="AB776" s="149"/>
      <c r="AC776" s="134"/>
      <c r="AD776" s="134"/>
      <c r="AE776" s="137"/>
      <c r="AF776" s="150"/>
      <c r="AG776" s="137"/>
      <c r="AH776" s="137"/>
      <c r="AI776" s="3"/>
      <c r="AJ776" s="138"/>
      <c r="AK776" s="2"/>
      <c r="AL776" s="139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131"/>
      <c r="AX776" s="15"/>
      <c r="AY776" s="99"/>
      <c r="AZ776" s="149"/>
      <c r="BA776" s="134"/>
      <c r="BB776" s="134"/>
      <c r="BC776" s="137"/>
      <c r="BD776" s="150"/>
      <c r="BE776" s="137"/>
      <c r="BF776" s="137"/>
      <c r="BG776" s="3"/>
      <c r="BH776" s="138"/>
      <c r="BI776" s="2"/>
      <c r="BJ776" s="139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131"/>
      <c r="BV776" s="15"/>
      <c r="BW776" s="99"/>
      <c r="BX776" s="149"/>
      <c r="BY776" s="134"/>
      <c r="BZ776" s="134"/>
      <c r="CA776" s="137"/>
      <c r="CB776" s="150"/>
      <c r="CC776" s="137"/>
      <c r="CD776" s="137"/>
      <c r="CE776" s="3"/>
      <c r="CF776" s="138"/>
      <c r="CG776" s="2"/>
      <c r="CH776" s="139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131"/>
      <c r="CT776" s="15"/>
      <c r="CU776" s="99"/>
      <c r="CV776" s="149"/>
      <c r="CW776" s="134"/>
      <c r="CX776" s="134"/>
      <c r="CY776" s="137"/>
      <c r="CZ776" s="150"/>
      <c r="DA776" s="137"/>
      <c r="DB776" s="137"/>
      <c r="DC776" s="3"/>
      <c r="DD776" s="138"/>
      <c r="DE776" s="2"/>
      <c r="DF776" s="139"/>
      <c r="DG776" s="3"/>
      <c r="DH776" s="3"/>
      <c r="DI776" s="3"/>
      <c r="DJ776" s="3"/>
      <c r="DK776" s="3"/>
      <c r="DL776" s="3"/>
      <c r="DM776" s="3"/>
      <c r="DN776" s="3"/>
      <c r="DO776" s="3"/>
      <c r="DP776" s="3"/>
      <c r="DQ776" s="131"/>
      <c r="DR776" s="15"/>
      <c r="DS776" s="99"/>
      <c r="DT776" s="149"/>
      <c r="DU776" s="134"/>
      <c r="DV776" s="134"/>
      <c r="DW776" s="137"/>
      <c r="DX776" s="150"/>
      <c r="DY776" s="137"/>
      <c r="DZ776" s="137"/>
      <c r="EA776" s="3"/>
      <c r="EB776" s="138"/>
      <c r="EC776" s="2"/>
      <c r="ED776" s="139"/>
      <c r="EE776" s="3"/>
      <c r="EF776" s="3"/>
      <c r="EG776" s="3"/>
      <c r="EH776" s="3"/>
      <c r="EI776" s="3"/>
      <c r="EJ776" s="3"/>
      <c r="EK776" s="3"/>
      <c r="EL776" s="3"/>
      <c r="EM776" s="3"/>
      <c r="EN776" s="3"/>
      <c r="EO776" s="131"/>
      <c r="EP776" s="15"/>
      <c r="EQ776" s="99"/>
      <c r="ER776" s="149"/>
      <c r="ES776" s="134"/>
      <c r="ET776" s="134"/>
      <c r="EU776" s="137"/>
      <c r="EV776" s="150"/>
      <c r="EW776" s="137"/>
      <c r="EX776" s="137"/>
      <c r="EY776" s="3"/>
      <c r="EZ776" s="138"/>
      <c r="FA776" s="2"/>
      <c r="FB776" s="139"/>
      <c r="FC776" s="3"/>
      <c r="FD776" s="3"/>
      <c r="FE776" s="3"/>
      <c r="FF776" s="3"/>
      <c r="FG776" s="3"/>
      <c r="FH776" s="3"/>
      <c r="FI776" s="3"/>
      <c r="FJ776" s="3"/>
      <c r="FK776" s="3"/>
      <c r="FL776" s="3"/>
      <c r="FM776" s="131"/>
      <c r="FN776" s="15"/>
      <c r="FO776" s="99"/>
      <c r="FP776" s="149"/>
      <c r="FQ776" s="134"/>
      <c r="FR776" s="134"/>
      <c r="FS776" s="137"/>
      <c r="FT776" s="150"/>
      <c r="FU776" s="137"/>
      <c r="FV776" s="137"/>
      <c r="FW776" s="3"/>
      <c r="FX776" s="138"/>
      <c r="FY776" s="2"/>
      <c r="FZ776" s="139"/>
      <c r="GA776" s="3"/>
      <c r="GB776" s="3"/>
      <c r="GC776" s="3"/>
      <c r="GD776" s="3"/>
      <c r="GE776" s="3"/>
      <c r="GF776" s="3"/>
      <c r="GG776" s="3"/>
      <c r="GH776" s="3"/>
      <c r="GI776" s="3"/>
      <c r="GJ776" s="3"/>
      <c r="GK776" s="131"/>
      <c r="GL776" s="15"/>
      <c r="GM776" s="99"/>
      <c r="GN776" s="149"/>
      <c r="GO776" s="134"/>
      <c r="GP776" s="134"/>
      <c r="GQ776" s="137"/>
      <c r="GR776" s="150"/>
      <c r="GS776" s="137"/>
      <c r="GT776" s="137"/>
      <c r="GU776" s="3"/>
      <c r="GV776" s="138"/>
      <c r="GW776" s="2"/>
      <c r="GX776" s="139"/>
      <c r="GY776" s="3"/>
      <c r="GZ776" s="3"/>
      <c r="HA776" s="3"/>
      <c r="HB776" s="3"/>
      <c r="HC776" s="3"/>
      <c r="HD776" s="3"/>
      <c r="HE776" s="3"/>
      <c r="HF776" s="3"/>
      <c r="HG776" s="3"/>
      <c r="HH776" s="3"/>
      <c r="HI776" s="131"/>
      <c r="HJ776" s="15"/>
      <c r="HK776" s="99"/>
      <c r="HL776" s="149"/>
      <c r="HM776" s="134"/>
      <c r="HN776" s="134"/>
      <c r="HO776" s="137"/>
      <c r="HP776" s="150"/>
      <c r="HQ776" s="137"/>
      <c r="HR776" s="137"/>
      <c r="HS776" s="3"/>
      <c r="HT776" s="138"/>
      <c r="HU776" s="2"/>
      <c r="HV776" s="139"/>
      <c r="HW776" s="3"/>
      <c r="HX776" s="3"/>
      <c r="HY776" s="3"/>
      <c r="HZ776" s="3"/>
      <c r="IA776" s="3"/>
      <c r="IB776" s="3"/>
      <c r="IC776" s="3"/>
      <c r="ID776" s="3"/>
      <c r="IE776" s="3"/>
      <c r="IF776" s="3"/>
      <c r="IG776" s="131"/>
      <c r="IH776" s="15"/>
      <c r="II776" s="99"/>
      <c r="IJ776" s="149"/>
      <c r="IK776" s="134"/>
      <c r="IL776" s="134"/>
      <c r="IM776" s="137"/>
      <c r="IN776" s="150"/>
      <c r="IO776" s="137"/>
      <c r="IP776" s="137"/>
      <c r="IQ776" s="3"/>
      <c r="IR776" s="138"/>
      <c r="IS776" s="2"/>
      <c r="IT776" s="139"/>
      <c r="IU776" s="3"/>
      <c r="IV776" s="3"/>
    </row>
    <row r="777" spans="1:256" s="125" customFormat="1">
      <c r="A777" s="86"/>
      <c r="B777" s="56"/>
      <c r="C777" s="18"/>
      <c r="D777" s="19"/>
      <c r="E777" s="20"/>
      <c r="F777" s="24"/>
      <c r="G777" s="238"/>
      <c r="H777" s="121"/>
      <c r="I777" s="24"/>
      <c r="J777" s="199"/>
      <c r="K777" s="24"/>
      <c r="L777" s="24"/>
      <c r="M777" s="24"/>
      <c r="N777" s="129"/>
      <c r="O777" s="108"/>
      <c r="P777" s="3"/>
      <c r="Q777" s="140"/>
      <c r="R777" s="3"/>
      <c r="S777" s="3"/>
      <c r="T777" s="3"/>
      <c r="U777" s="3"/>
      <c r="V777" s="3"/>
      <c r="W777" s="3"/>
      <c r="X777" s="3"/>
      <c r="Y777" s="131"/>
      <c r="Z777" s="15"/>
      <c r="AA777" s="99"/>
      <c r="AB777" s="149"/>
      <c r="AC777" s="134"/>
      <c r="AD777" s="134"/>
      <c r="AE777" s="137"/>
      <c r="AF777" s="150"/>
      <c r="AG777" s="137"/>
      <c r="AH777" s="137"/>
      <c r="AI777" s="3"/>
      <c r="AJ777" s="138"/>
      <c r="AK777" s="2"/>
      <c r="AL777" s="139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131"/>
      <c r="AX777" s="15"/>
      <c r="AY777" s="99"/>
      <c r="AZ777" s="149"/>
      <c r="BA777" s="134"/>
      <c r="BB777" s="134"/>
      <c r="BC777" s="137"/>
      <c r="BD777" s="150"/>
      <c r="BE777" s="137"/>
      <c r="BF777" s="137"/>
      <c r="BG777" s="3"/>
      <c r="BH777" s="138"/>
      <c r="BI777" s="2"/>
      <c r="BJ777" s="139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131"/>
      <c r="BV777" s="15"/>
      <c r="BW777" s="99"/>
      <c r="BX777" s="149"/>
      <c r="BY777" s="134"/>
      <c r="BZ777" s="134"/>
      <c r="CA777" s="137"/>
      <c r="CB777" s="150"/>
      <c r="CC777" s="137"/>
      <c r="CD777" s="137"/>
      <c r="CE777" s="3"/>
      <c r="CF777" s="138"/>
      <c r="CG777" s="2"/>
      <c r="CH777" s="139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131"/>
      <c r="CT777" s="15"/>
      <c r="CU777" s="99"/>
      <c r="CV777" s="149"/>
      <c r="CW777" s="134"/>
      <c r="CX777" s="134"/>
      <c r="CY777" s="137"/>
      <c r="CZ777" s="150"/>
      <c r="DA777" s="137"/>
      <c r="DB777" s="137"/>
      <c r="DC777" s="3"/>
      <c r="DD777" s="138"/>
      <c r="DE777" s="2"/>
      <c r="DF777" s="139"/>
      <c r="DG777" s="3"/>
      <c r="DH777" s="3"/>
      <c r="DI777" s="3"/>
      <c r="DJ777" s="3"/>
      <c r="DK777" s="3"/>
      <c r="DL777" s="3"/>
      <c r="DM777" s="3"/>
      <c r="DN777" s="3"/>
      <c r="DO777" s="3"/>
      <c r="DP777" s="3"/>
      <c r="DQ777" s="131"/>
      <c r="DR777" s="15"/>
      <c r="DS777" s="99"/>
      <c r="DT777" s="149"/>
      <c r="DU777" s="134"/>
      <c r="DV777" s="134"/>
      <c r="DW777" s="137"/>
      <c r="DX777" s="150"/>
      <c r="DY777" s="137"/>
      <c r="DZ777" s="137"/>
      <c r="EA777" s="3"/>
      <c r="EB777" s="138"/>
      <c r="EC777" s="2"/>
      <c r="ED777" s="139"/>
      <c r="EE777" s="3"/>
      <c r="EF777" s="3"/>
      <c r="EG777" s="3"/>
      <c r="EH777" s="3"/>
      <c r="EI777" s="3"/>
      <c r="EJ777" s="3"/>
      <c r="EK777" s="3"/>
      <c r="EL777" s="3"/>
      <c r="EM777" s="3"/>
      <c r="EN777" s="3"/>
      <c r="EO777" s="131"/>
      <c r="EP777" s="15"/>
      <c r="EQ777" s="99"/>
      <c r="ER777" s="149"/>
      <c r="ES777" s="134"/>
      <c r="ET777" s="134"/>
      <c r="EU777" s="137"/>
      <c r="EV777" s="150"/>
      <c r="EW777" s="137"/>
      <c r="EX777" s="137"/>
      <c r="EY777" s="3"/>
      <c r="EZ777" s="138"/>
      <c r="FA777" s="2"/>
      <c r="FB777" s="139"/>
      <c r="FC777" s="3"/>
      <c r="FD777" s="3"/>
      <c r="FE777" s="3"/>
      <c r="FF777" s="3"/>
      <c r="FG777" s="3"/>
      <c r="FH777" s="3"/>
      <c r="FI777" s="3"/>
      <c r="FJ777" s="3"/>
      <c r="FK777" s="3"/>
      <c r="FL777" s="3"/>
      <c r="FM777" s="131"/>
      <c r="FN777" s="15"/>
      <c r="FO777" s="99"/>
      <c r="FP777" s="149"/>
      <c r="FQ777" s="134"/>
      <c r="FR777" s="134"/>
      <c r="FS777" s="137"/>
      <c r="FT777" s="150"/>
      <c r="FU777" s="137"/>
      <c r="FV777" s="137"/>
      <c r="FW777" s="3"/>
      <c r="FX777" s="138"/>
      <c r="FY777" s="2"/>
      <c r="FZ777" s="139"/>
      <c r="GA777" s="3"/>
      <c r="GB777" s="3"/>
      <c r="GC777" s="3"/>
      <c r="GD777" s="3"/>
      <c r="GE777" s="3"/>
      <c r="GF777" s="3"/>
      <c r="GG777" s="3"/>
      <c r="GH777" s="3"/>
      <c r="GI777" s="3"/>
      <c r="GJ777" s="3"/>
      <c r="GK777" s="131"/>
      <c r="GL777" s="15"/>
      <c r="GM777" s="99"/>
      <c r="GN777" s="149"/>
      <c r="GO777" s="134"/>
      <c r="GP777" s="134"/>
      <c r="GQ777" s="137"/>
      <c r="GR777" s="150"/>
      <c r="GS777" s="137"/>
      <c r="GT777" s="137"/>
      <c r="GU777" s="3"/>
      <c r="GV777" s="138"/>
      <c r="GW777" s="2"/>
      <c r="GX777" s="139"/>
      <c r="GY777" s="3"/>
      <c r="GZ777" s="3"/>
      <c r="HA777" s="3"/>
      <c r="HB777" s="3"/>
      <c r="HC777" s="3"/>
      <c r="HD777" s="3"/>
      <c r="HE777" s="3"/>
      <c r="HF777" s="3"/>
      <c r="HG777" s="3"/>
      <c r="HH777" s="3"/>
      <c r="HI777" s="131"/>
      <c r="HJ777" s="15"/>
      <c r="HK777" s="99"/>
      <c r="HL777" s="149"/>
      <c r="HM777" s="134"/>
      <c r="HN777" s="134"/>
      <c r="HO777" s="137"/>
      <c r="HP777" s="150"/>
      <c r="HQ777" s="137"/>
      <c r="HR777" s="137"/>
      <c r="HS777" s="3"/>
      <c r="HT777" s="138"/>
      <c r="HU777" s="2"/>
      <c r="HV777" s="139"/>
      <c r="HW777" s="3"/>
      <c r="HX777" s="3"/>
      <c r="HY777" s="3"/>
      <c r="HZ777" s="3"/>
      <c r="IA777" s="3"/>
      <c r="IB777" s="3"/>
      <c r="IC777" s="3"/>
      <c r="ID777" s="3"/>
      <c r="IE777" s="3"/>
      <c r="IF777" s="3"/>
      <c r="IG777" s="131"/>
      <c r="IH777" s="15"/>
      <c r="II777" s="99"/>
      <c r="IJ777" s="149"/>
      <c r="IK777" s="134"/>
      <c r="IL777" s="134"/>
      <c r="IM777" s="137"/>
      <c r="IN777" s="150"/>
      <c r="IO777" s="137"/>
      <c r="IP777" s="137"/>
      <c r="IQ777" s="3"/>
      <c r="IR777" s="138"/>
      <c r="IS777" s="2"/>
      <c r="IT777" s="139"/>
      <c r="IU777" s="3"/>
      <c r="IV777" s="3"/>
    </row>
    <row r="778" spans="1:256" s="125" customFormat="1">
      <c r="A778" s="86"/>
      <c r="B778" s="56"/>
      <c r="C778" s="18"/>
      <c r="D778" s="19"/>
      <c r="E778" s="20"/>
      <c r="F778" s="24"/>
      <c r="G778" s="238"/>
      <c r="H778" s="121"/>
      <c r="I778" s="24"/>
      <c r="J778" s="199"/>
      <c r="K778" s="24"/>
      <c r="L778" s="24"/>
      <c r="M778" s="24"/>
      <c r="N778" s="129"/>
      <c r="O778" s="108"/>
      <c r="P778" s="3"/>
      <c r="Q778" s="140"/>
      <c r="R778" s="3"/>
      <c r="S778" s="3"/>
      <c r="T778" s="3"/>
      <c r="U778" s="3"/>
      <c r="V778" s="3"/>
      <c r="W778" s="3"/>
      <c r="X778" s="3"/>
      <c r="Y778" s="131"/>
      <c r="Z778" s="15"/>
      <c r="AA778" s="99"/>
      <c r="AB778" s="149"/>
      <c r="AC778" s="134"/>
      <c r="AD778" s="134"/>
      <c r="AE778" s="137"/>
      <c r="AF778" s="150"/>
      <c r="AG778" s="137"/>
      <c r="AH778" s="137"/>
      <c r="AI778" s="3"/>
      <c r="AJ778" s="138"/>
      <c r="AK778" s="2"/>
      <c r="AL778" s="139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131"/>
      <c r="AX778" s="15"/>
      <c r="AY778" s="99"/>
      <c r="AZ778" s="149"/>
      <c r="BA778" s="134"/>
      <c r="BB778" s="134"/>
      <c r="BC778" s="137"/>
      <c r="BD778" s="150"/>
      <c r="BE778" s="137"/>
      <c r="BF778" s="137"/>
      <c r="BG778" s="3"/>
      <c r="BH778" s="138"/>
      <c r="BI778" s="2"/>
      <c r="BJ778" s="139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131"/>
      <c r="BV778" s="15"/>
      <c r="BW778" s="99"/>
      <c r="BX778" s="149"/>
      <c r="BY778" s="134"/>
      <c r="BZ778" s="134"/>
      <c r="CA778" s="137"/>
      <c r="CB778" s="150"/>
      <c r="CC778" s="137"/>
      <c r="CD778" s="137"/>
      <c r="CE778" s="3"/>
      <c r="CF778" s="138"/>
      <c r="CG778" s="2"/>
      <c r="CH778" s="139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131"/>
      <c r="CT778" s="15"/>
      <c r="CU778" s="99"/>
      <c r="CV778" s="149"/>
      <c r="CW778" s="134"/>
      <c r="CX778" s="134"/>
      <c r="CY778" s="137"/>
      <c r="CZ778" s="150"/>
      <c r="DA778" s="137"/>
      <c r="DB778" s="137"/>
      <c r="DC778" s="3"/>
      <c r="DD778" s="138"/>
      <c r="DE778" s="2"/>
      <c r="DF778" s="139"/>
      <c r="DG778" s="3"/>
      <c r="DH778" s="3"/>
      <c r="DI778" s="3"/>
      <c r="DJ778" s="3"/>
      <c r="DK778" s="3"/>
      <c r="DL778" s="3"/>
      <c r="DM778" s="3"/>
      <c r="DN778" s="3"/>
      <c r="DO778" s="3"/>
      <c r="DP778" s="3"/>
      <c r="DQ778" s="131"/>
      <c r="DR778" s="15"/>
      <c r="DS778" s="99"/>
      <c r="DT778" s="149"/>
      <c r="DU778" s="134"/>
      <c r="DV778" s="134"/>
      <c r="DW778" s="137"/>
      <c r="DX778" s="150"/>
      <c r="DY778" s="137"/>
      <c r="DZ778" s="137"/>
      <c r="EA778" s="3"/>
      <c r="EB778" s="138"/>
      <c r="EC778" s="2"/>
      <c r="ED778" s="139"/>
      <c r="EE778" s="3"/>
      <c r="EF778" s="3"/>
      <c r="EG778" s="3"/>
      <c r="EH778" s="3"/>
      <c r="EI778" s="3"/>
      <c r="EJ778" s="3"/>
      <c r="EK778" s="3"/>
      <c r="EL778" s="3"/>
      <c r="EM778" s="3"/>
      <c r="EN778" s="3"/>
      <c r="EO778" s="131"/>
      <c r="EP778" s="15"/>
      <c r="EQ778" s="99"/>
      <c r="ER778" s="149"/>
      <c r="ES778" s="134"/>
      <c r="ET778" s="134"/>
      <c r="EU778" s="137"/>
      <c r="EV778" s="150"/>
      <c r="EW778" s="137"/>
      <c r="EX778" s="137"/>
      <c r="EY778" s="3"/>
      <c r="EZ778" s="138"/>
      <c r="FA778" s="2"/>
      <c r="FB778" s="139"/>
      <c r="FC778" s="3"/>
      <c r="FD778" s="3"/>
      <c r="FE778" s="3"/>
      <c r="FF778" s="3"/>
      <c r="FG778" s="3"/>
      <c r="FH778" s="3"/>
      <c r="FI778" s="3"/>
      <c r="FJ778" s="3"/>
      <c r="FK778" s="3"/>
      <c r="FL778" s="3"/>
      <c r="FM778" s="131"/>
      <c r="FN778" s="15"/>
      <c r="FO778" s="99"/>
      <c r="FP778" s="149"/>
      <c r="FQ778" s="134"/>
      <c r="FR778" s="134"/>
      <c r="FS778" s="137"/>
      <c r="FT778" s="150"/>
      <c r="FU778" s="137"/>
      <c r="FV778" s="137"/>
      <c r="FW778" s="3"/>
      <c r="FX778" s="138"/>
      <c r="FY778" s="2"/>
      <c r="FZ778" s="139"/>
      <c r="GA778" s="3"/>
      <c r="GB778" s="3"/>
      <c r="GC778" s="3"/>
      <c r="GD778" s="3"/>
      <c r="GE778" s="3"/>
      <c r="GF778" s="3"/>
      <c r="GG778" s="3"/>
      <c r="GH778" s="3"/>
      <c r="GI778" s="3"/>
      <c r="GJ778" s="3"/>
      <c r="GK778" s="131"/>
      <c r="GL778" s="15"/>
      <c r="GM778" s="99"/>
      <c r="GN778" s="149"/>
      <c r="GO778" s="134"/>
      <c r="GP778" s="134"/>
      <c r="GQ778" s="137"/>
      <c r="GR778" s="150"/>
      <c r="GS778" s="137"/>
      <c r="GT778" s="137"/>
      <c r="GU778" s="3"/>
      <c r="GV778" s="138"/>
      <c r="GW778" s="2"/>
      <c r="GX778" s="139"/>
      <c r="GY778" s="3"/>
      <c r="GZ778" s="3"/>
      <c r="HA778" s="3"/>
      <c r="HB778" s="3"/>
      <c r="HC778" s="3"/>
      <c r="HD778" s="3"/>
      <c r="HE778" s="3"/>
      <c r="HF778" s="3"/>
      <c r="HG778" s="3"/>
      <c r="HH778" s="3"/>
      <c r="HI778" s="131"/>
      <c r="HJ778" s="15"/>
      <c r="HK778" s="99"/>
      <c r="HL778" s="149"/>
      <c r="HM778" s="134"/>
      <c r="HN778" s="134"/>
      <c r="HO778" s="137"/>
      <c r="HP778" s="150"/>
      <c r="HQ778" s="137"/>
      <c r="HR778" s="137"/>
      <c r="HS778" s="3"/>
      <c r="HT778" s="138"/>
      <c r="HU778" s="2"/>
      <c r="HV778" s="139"/>
      <c r="HW778" s="3"/>
      <c r="HX778" s="3"/>
      <c r="HY778" s="3"/>
      <c r="HZ778" s="3"/>
      <c r="IA778" s="3"/>
      <c r="IB778" s="3"/>
      <c r="IC778" s="3"/>
      <c r="ID778" s="3"/>
      <c r="IE778" s="3"/>
      <c r="IF778" s="3"/>
      <c r="IG778" s="131"/>
      <c r="IH778" s="15"/>
      <c r="II778" s="99"/>
      <c r="IJ778" s="149"/>
      <c r="IK778" s="134"/>
      <c r="IL778" s="134"/>
      <c r="IM778" s="137"/>
      <c r="IN778" s="150"/>
      <c r="IO778" s="137"/>
      <c r="IP778" s="137"/>
      <c r="IQ778" s="3"/>
      <c r="IR778" s="138"/>
      <c r="IS778" s="2"/>
      <c r="IT778" s="139"/>
      <c r="IU778" s="3"/>
      <c r="IV778" s="3"/>
    </row>
    <row r="779" spans="1:256" s="125" customFormat="1">
      <c r="A779" s="86"/>
      <c r="B779" s="56"/>
      <c r="C779" s="18"/>
      <c r="D779" s="19"/>
      <c r="E779" s="20"/>
      <c r="F779" s="24"/>
      <c r="G779" s="238"/>
      <c r="H779" s="121"/>
      <c r="I779" s="24"/>
      <c r="J779" s="199"/>
      <c r="K779" s="24"/>
      <c r="L779" s="24"/>
      <c r="M779" s="24"/>
      <c r="N779" s="129"/>
      <c r="O779" s="108"/>
      <c r="P779" s="3"/>
      <c r="Q779" s="140"/>
      <c r="R779" s="3"/>
      <c r="S779" s="3"/>
      <c r="T779" s="3"/>
      <c r="U779" s="3"/>
      <c r="V779" s="3"/>
      <c r="W779" s="3"/>
      <c r="X779" s="3"/>
      <c r="Y779" s="131"/>
      <c r="Z779" s="15"/>
      <c r="AA779" s="99"/>
      <c r="AB779" s="149"/>
      <c r="AC779" s="134"/>
      <c r="AD779" s="134"/>
      <c r="AE779" s="137"/>
      <c r="AF779" s="150"/>
      <c r="AG779" s="137"/>
      <c r="AH779" s="137"/>
      <c r="AI779" s="3"/>
      <c r="AJ779" s="138"/>
      <c r="AK779" s="2"/>
      <c r="AL779" s="139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131"/>
      <c r="AX779" s="15"/>
      <c r="AY779" s="99"/>
      <c r="AZ779" s="149"/>
      <c r="BA779" s="134"/>
      <c r="BB779" s="134"/>
      <c r="BC779" s="137"/>
      <c r="BD779" s="150"/>
      <c r="BE779" s="137"/>
      <c r="BF779" s="137"/>
      <c r="BG779" s="3"/>
      <c r="BH779" s="138"/>
      <c r="BI779" s="2"/>
      <c r="BJ779" s="139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131"/>
      <c r="BV779" s="15"/>
      <c r="BW779" s="99"/>
      <c r="BX779" s="149"/>
      <c r="BY779" s="134"/>
      <c r="BZ779" s="134"/>
      <c r="CA779" s="137"/>
      <c r="CB779" s="150"/>
      <c r="CC779" s="137"/>
      <c r="CD779" s="137"/>
      <c r="CE779" s="3"/>
      <c r="CF779" s="138"/>
      <c r="CG779" s="2"/>
      <c r="CH779" s="139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131"/>
      <c r="CT779" s="15"/>
      <c r="CU779" s="99"/>
      <c r="CV779" s="149"/>
      <c r="CW779" s="134"/>
      <c r="CX779" s="134"/>
      <c r="CY779" s="137"/>
      <c r="CZ779" s="150"/>
      <c r="DA779" s="137"/>
      <c r="DB779" s="137"/>
      <c r="DC779" s="3"/>
      <c r="DD779" s="138"/>
      <c r="DE779" s="2"/>
      <c r="DF779" s="139"/>
      <c r="DG779" s="3"/>
      <c r="DH779" s="3"/>
      <c r="DI779" s="3"/>
      <c r="DJ779" s="3"/>
      <c r="DK779" s="3"/>
      <c r="DL779" s="3"/>
      <c r="DM779" s="3"/>
      <c r="DN779" s="3"/>
      <c r="DO779" s="3"/>
      <c r="DP779" s="3"/>
      <c r="DQ779" s="131"/>
      <c r="DR779" s="15"/>
      <c r="DS779" s="99"/>
      <c r="DT779" s="149"/>
      <c r="DU779" s="134"/>
      <c r="DV779" s="134"/>
      <c r="DW779" s="137"/>
      <c r="DX779" s="150"/>
      <c r="DY779" s="137"/>
      <c r="DZ779" s="137"/>
      <c r="EA779" s="3"/>
      <c r="EB779" s="138"/>
      <c r="EC779" s="2"/>
      <c r="ED779" s="139"/>
      <c r="EE779" s="3"/>
      <c r="EF779" s="3"/>
      <c r="EG779" s="3"/>
      <c r="EH779" s="3"/>
      <c r="EI779" s="3"/>
      <c r="EJ779" s="3"/>
      <c r="EK779" s="3"/>
      <c r="EL779" s="3"/>
      <c r="EM779" s="3"/>
      <c r="EN779" s="3"/>
      <c r="EO779" s="131"/>
      <c r="EP779" s="15"/>
      <c r="EQ779" s="99"/>
      <c r="ER779" s="149"/>
      <c r="ES779" s="134"/>
      <c r="ET779" s="134"/>
      <c r="EU779" s="137"/>
      <c r="EV779" s="150"/>
      <c r="EW779" s="137"/>
      <c r="EX779" s="137"/>
      <c r="EY779" s="3"/>
      <c r="EZ779" s="138"/>
      <c r="FA779" s="2"/>
      <c r="FB779" s="139"/>
      <c r="FC779" s="3"/>
      <c r="FD779" s="3"/>
      <c r="FE779" s="3"/>
      <c r="FF779" s="3"/>
      <c r="FG779" s="3"/>
      <c r="FH779" s="3"/>
      <c r="FI779" s="3"/>
      <c r="FJ779" s="3"/>
      <c r="FK779" s="3"/>
      <c r="FL779" s="3"/>
      <c r="FM779" s="131"/>
      <c r="FN779" s="15"/>
      <c r="FO779" s="99"/>
      <c r="FP779" s="149"/>
      <c r="FQ779" s="134"/>
      <c r="FR779" s="134"/>
      <c r="FS779" s="137"/>
      <c r="FT779" s="150"/>
      <c r="FU779" s="137"/>
      <c r="FV779" s="137"/>
      <c r="FW779" s="3"/>
      <c r="FX779" s="138"/>
      <c r="FY779" s="2"/>
      <c r="FZ779" s="139"/>
      <c r="GA779" s="3"/>
      <c r="GB779" s="3"/>
      <c r="GC779" s="3"/>
      <c r="GD779" s="3"/>
      <c r="GE779" s="3"/>
      <c r="GF779" s="3"/>
      <c r="GG779" s="3"/>
      <c r="GH779" s="3"/>
      <c r="GI779" s="3"/>
      <c r="GJ779" s="3"/>
      <c r="GK779" s="131"/>
      <c r="GL779" s="15"/>
      <c r="GM779" s="99"/>
      <c r="GN779" s="149"/>
      <c r="GO779" s="134"/>
      <c r="GP779" s="134"/>
      <c r="GQ779" s="137"/>
      <c r="GR779" s="150"/>
      <c r="GS779" s="137"/>
      <c r="GT779" s="137"/>
      <c r="GU779" s="3"/>
      <c r="GV779" s="138"/>
      <c r="GW779" s="2"/>
      <c r="GX779" s="139"/>
      <c r="GY779" s="3"/>
      <c r="GZ779" s="3"/>
      <c r="HA779" s="3"/>
      <c r="HB779" s="3"/>
      <c r="HC779" s="3"/>
      <c r="HD779" s="3"/>
      <c r="HE779" s="3"/>
      <c r="HF779" s="3"/>
      <c r="HG779" s="3"/>
      <c r="HH779" s="3"/>
      <c r="HI779" s="131"/>
      <c r="HJ779" s="15"/>
      <c r="HK779" s="99"/>
      <c r="HL779" s="149"/>
      <c r="HM779" s="134"/>
      <c r="HN779" s="134"/>
      <c r="HO779" s="137"/>
      <c r="HP779" s="150"/>
      <c r="HQ779" s="137"/>
      <c r="HR779" s="137"/>
      <c r="HS779" s="3"/>
      <c r="HT779" s="138"/>
      <c r="HU779" s="2"/>
      <c r="HV779" s="139"/>
      <c r="HW779" s="3"/>
      <c r="HX779" s="3"/>
      <c r="HY779" s="3"/>
      <c r="HZ779" s="3"/>
      <c r="IA779" s="3"/>
      <c r="IB779" s="3"/>
      <c r="IC779" s="3"/>
      <c r="ID779" s="3"/>
      <c r="IE779" s="3"/>
      <c r="IF779" s="3"/>
      <c r="IG779" s="131"/>
      <c r="IH779" s="15"/>
      <c r="II779" s="99"/>
      <c r="IJ779" s="149"/>
      <c r="IK779" s="134"/>
      <c r="IL779" s="134"/>
      <c r="IM779" s="137"/>
      <c r="IN779" s="150"/>
      <c r="IO779" s="137"/>
      <c r="IP779" s="137"/>
      <c r="IQ779" s="3"/>
      <c r="IR779" s="138"/>
      <c r="IS779" s="2"/>
      <c r="IT779" s="139"/>
      <c r="IU779" s="3"/>
      <c r="IV779" s="3"/>
    </row>
    <row r="780" spans="1:256" s="125" customFormat="1">
      <c r="A780" s="86"/>
      <c r="B780" s="56"/>
      <c r="C780" s="18"/>
      <c r="D780" s="19"/>
      <c r="E780" s="20"/>
      <c r="F780" s="24"/>
      <c r="G780" s="238"/>
      <c r="H780" s="121"/>
      <c r="I780" s="24"/>
      <c r="J780" s="199"/>
      <c r="K780" s="24"/>
      <c r="L780" s="24"/>
      <c r="M780" s="24"/>
      <c r="N780" s="129"/>
      <c r="O780" s="108"/>
      <c r="P780" s="3"/>
      <c r="Q780" s="140"/>
      <c r="R780" s="3"/>
      <c r="S780" s="3"/>
      <c r="T780" s="3"/>
      <c r="U780" s="3"/>
      <c r="V780" s="3"/>
      <c r="W780" s="3"/>
      <c r="X780" s="3"/>
      <c r="Y780" s="131"/>
      <c r="Z780" s="15"/>
      <c r="AA780" s="99"/>
      <c r="AB780" s="149"/>
      <c r="AC780" s="134"/>
      <c r="AD780" s="134"/>
      <c r="AE780" s="137"/>
      <c r="AF780" s="150"/>
      <c r="AG780" s="137"/>
      <c r="AH780" s="137"/>
      <c r="AI780" s="3"/>
      <c r="AJ780" s="138"/>
      <c r="AK780" s="2"/>
      <c r="AL780" s="139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131"/>
      <c r="AX780" s="15"/>
      <c r="AY780" s="99"/>
      <c r="AZ780" s="149"/>
      <c r="BA780" s="134"/>
      <c r="BB780" s="134"/>
      <c r="BC780" s="137"/>
      <c r="BD780" s="150"/>
      <c r="BE780" s="137"/>
      <c r="BF780" s="137"/>
      <c r="BG780" s="3"/>
      <c r="BH780" s="138"/>
      <c r="BI780" s="2"/>
      <c r="BJ780" s="139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131"/>
      <c r="BV780" s="15"/>
      <c r="BW780" s="99"/>
      <c r="BX780" s="149"/>
      <c r="BY780" s="134"/>
      <c r="BZ780" s="134"/>
      <c r="CA780" s="137"/>
      <c r="CB780" s="150"/>
      <c r="CC780" s="137"/>
      <c r="CD780" s="137"/>
      <c r="CE780" s="3"/>
      <c r="CF780" s="138"/>
      <c r="CG780" s="2"/>
      <c r="CH780" s="139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131"/>
      <c r="CT780" s="15"/>
      <c r="CU780" s="99"/>
      <c r="CV780" s="149"/>
      <c r="CW780" s="134"/>
      <c r="CX780" s="134"/>
      <c r="CY780" s="137"/>
      <c r="CZ780" s="150"/>
      <c r="DA780" s="137"/>
      <c r="DB780" s="137"/>
      <c r="DC780" s="3"/>
      <c r="DD780" s="138"/>
      <c r="DE780" s="2"/>
      <c r="DF780" s="139"/>
      <c r="DG780" s="3"/>
      <c r="DH780" s="3"/>
      <c r="DI780" s="3"/>
      <c r="DJ780" s="3"/>
      <c r="DK780" s="3"/>
      <c r="DL780" s="3"/>
      <c r="DM780" s="3"/>
      <c r="DN780" s="3"/>
      <c r="DO780" s="3"/>
      <c r="DP780" s="3"/>
      <c r="DQ780" s="131"/>
      <c r="DR780" s="15"/>
      <c r="DS780" s="99"/>
      <c r="DT780" s="149"/>
      <c r="DU780" s="134"/>
      <c r="DV780" s="134"/>
      <c r="DW780" s="137"/>
      <c r="DX780" s="150"/>
      <c r="DY780" s="137"/>
      <c r="DZ780" s="137"/>
      <c r="EA780" s="3"/>
      <c r="EB780" s="138"/>
      <c r="EC780" s="2"/>
      <c r="ED780" s="139"/>
      <c r="EE780" s="3"/>
      <c r="EF780" s="3"/>
      <c r="EG780" s="3"/>
      <c r="EH780" s="3"/>
      <c r="EI780" s="3"/>
      <c r="EJ780" s="3"/>
      <c r="EK780" s="3"/>
      <c r="EL780" s="3"/>
      <c r="EM780" s="3"/>
      <c r="EN780" s="3"/>
      <c r="EO780" s="131"/>
      <c r="EP780" s="15"/>
      <c r="EQ780" s="99"/>
      <c r="ER780" s="149"/>
      <c r="ES780" s="134"/>
      <c r="ET780" s="134"/>
      <c r="EU780" s="137"/>
      <c r="EV780" s="150"/>
      <c r="EW780" s="137"/>
      <c r="EX780" s="137"/>
      <c r="EY780" s="3"/>
      <c r="EZ780" s="138"/>
      <c r="FA780" s="2"/>
      <c r="FB780" s="139"/>
      <c r="FC780" s="3"/>
      <c r="FD780" s="3"/>
      <c r="FE780" s="3"/>
      <c r="FF780" s="3"/>
      <c r="FG780" s="3"/>
      <c r="FH780" s="3"/>
      <c r="FI780" s="3"/>
      <c r="FJ780" s="3"/>
      <c r="FK780" s="3"/>
      <c r="FL780" s="3"/>
      <c r="FM780" s="131"/>
      <c r="FN780" s="15"/>
      <c r="FO780" s="99"/>
      <c r="FP780" s="149"/>
      <c r="FQ780" s="134"/>
      <c r="FR780" s="134"/>
      <c r="FS780" s="137"/>
      <c r="FT780" s="150"/>
      <c r="FU780" s="137"/>
      <c r="FV780" s="137"/>
      <c r="FW780" s="3"/>
      <c r="FX780" s="138"/>
      <c r="FY780" s="2"/>
      <c r="FZ780" s="139"/>
      <c r="GA780" s="3"/>
      <c r="GB780" s="3"/>
      <c r="GC780" s="3"/>
      <c r="GD780" s="3"/>
      <c r="GE780" s="3"/>
      <c r="GF780" s="3"/>
      <c r="GG780" s="3"/>
      <c r="GH780" s="3"/>
      <c r="GI780" s="3"/>
      <c r="GJ780" s="3"/>
      <c r="GK780" s="131"/>
      <c r="GL780" s="15"/>
      <c r="GM780" s="99"/>
      <c r="GN780" s="149"/>
      <c r="GO780" s="134"/>
      <c r="GP780" s="134"/>
      <c r="GQ780" s="137"/>
      <c r="GR780" s="150"/>
      <c r="GS780" s="137"/>
      <c r="GT780" s="137"/>
      <c r="GU780" s="3"/>
      <c r="GV780" s="138"/>
      <c r="GW780" s="2"/>
      <c r="GX780" s="139"/>
      <c r="GY780" s="3"/>
      <c r="GZ780" s="3"/>
      <c r="HA780" s="3"/>
      <c r="HB780" s="3"/>
      <c r="HC780" s="3"/>
      <c r="HD780" s="3"/>
      <c r="HE780" s="3"/>
      <c r="HF780" s="3"/>
      <c r="HG780" s="3"/>
      <c r="HH780" s="3"/>
      <c r="HI780" s="131"/>
      <c r="HJ780" s="15"/>
      <c r="HK780" s="99"/>
      <c r="HL780" s="149"/>
      <c r="HM780" s="134"/>
      <c r="HN780" s="134"/>
      <c r="HO780" s="137"/>
      <c r="HP780" s="150"/>
      <c r="HQ780" s="137"/>
      <c r="HR780" s="137"/>
      <c r="HS780" s="3"/>
      <c r="HT780" s="138"/>
      <c r="HU780" s="2"/>
      <c r="HV780" s="139"/>
      <c r="HW780" s="3"/>
      <c r="HX780" s="3"/>
      <c r="HY780" s="3"/>
      <c r="HZ780" s="3"/>
      <c r="IA780" s="3"/>
      <c r="IB780" s="3"/>
      <c r="IC780" s="3"/>
      <c r="ID780" s="3"/>
      <c r="IE780" s="3"/>
      <c r="IF780" s="3"/>
      <c r="IG780" s="131"/>
      <c r="IH780" s="15"/>
      <c r="II780" s="99"/>
      <c r="IJ780" s="149"/>
      <c r="IK780" s="134"/>
      <c r="IL780" s="134"/>
      <c r="IM780" s="137"/>
      <c r="IN780" s="150"/>
      <c r="IO780" s="137"/>
      <c r="IP780" s="137"/>
      <c r="IQ780" s="3"/>
      <c r="IR780" s="138"/>
      <c r="IS780" s="2"/>
      <c r="IT780" s="139"/>
      <c r="IU780" s="3"/>
      <c r="IV780" s="3"/>
    </row>
    <row r="781" spans="1:256" s="125" customFormat="1">
      <c r="A781" s="86"/>
      <c r="B781" s="56"/>
      <c r="C781" s="18"/>
      <c r="D781" s="19"/>
      <c r="E781" s="20"/>
      <c r="F781" s="24"/>
      <c r="G781" s="238"/>
      <c r="H781" s="121"/>
      <c r="I781" s="24"/>
      <c r="J781" s="199"/>
      <c r="K781" s="24"/>
      <c r="L781" s="24"/>
      <c r="M781" s="24"/>
      <c r="N781" s="129"/>
      <c r="O781" s="108"/>
      <c r="P781" s="3"/>
      <c r="Q781" s="140"/>
      <c r="R781" s="3"/>
      <c r="S781" s="3"/>
      <c r="T781" s="3"/>
      <c r="U781" s="3"/>
      <c r="V781" s="3"/>
      <c r="W781" s="3"/>
      <c r="X781" s="3"/>
      <c r="Y781" s="131"/>
      <c r="Z781" s="15"/>
      <c r="AA781" s="99"/>
      <c r="AB781" s="149"/>
      <c r="AC781" s="134"/>
      <c r="AD781" s="134"/>
      <c r="AE781" s="137"/>
      <c r="AF781" s="150"/>
      <c r="AG781" s="137"/>
      <c r="AH781" s="137"/>
      <c r="AI781" s="3"/>
      <c r="AJ781" s="138"/>
      <c r="AK781" s="2"/>
      <c r="AL781" s="139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131"/>
      <c r="AX781" s="15"/>
      <c r="AY781" s="99"/>
      <c r="AZ781" s="149"/>
      <c r="BA781" s="134"/>
      <c r="BB781" s="134"/>
      <c r="BC781" s="137"/>
      <c r="BD781" s="150"/>
      <c r="BE781" s="137"/>
      <c r="BF781" s="137"/>
      <c r="BG781" s="3"/>
      <c r="BH781" s="138"/>
      <c r="BI781" s="2"/>
      <c r="BJ781" s="139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131"/>
      <c r="BV781" s="15"/>
      <c r="BW781" s="99"/>
      <c r="BX781" s="149"/>
      <c r="BY781" s="134"/>
      <c r="BZ781" s="134"/>
      <c r="CA781" s="137"/>
      <c r="CB781" s="150"/>
      <c r="CC781" s="137"/>
      <c r="CD781" s="137"/>
      <c r="CE781" s="3"/>
      <c r="CF781" s="138"/>
      <c r="CG781" s="2"/>
      <c r="CH781" s="139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131"/>
      <c r="CT781" s="15"/>
      <c r="CU781" s="99"/>
      <c r="CV781" s="149"/>
      <c r="CW781" s="134"/>
      <c r="CX781" s="134"/>
      <c r="CY781" s="137"/>
      <c r="CZ781" s="150"/>
      <c r="DA781" s="137"/>
      <c r="DB781" s="137"/>
      <c r="DC781" s="3"/>
      <c r="DD781" s="138"/>
      <c r="DE781" s="2"/>
      <c r="DF781" s="139"/>
      <c r="DG781" s="3"/>
      <c r="DH781" s="3"/>
      <c r="DI781" s="3"/>
      <c r="DJ781" s="3"/>
      <c r="DK781" s="3"/>
      <c r="DL781" s="3"/>
      <c r="DM781" s="3"/>
      <c r="DN781" s="3"/>
      <c r="DO781" s="3"/>
      <c r="DP781" s="3"/>
      <c r="DQ781" s="131"/>
      <c r="DR781" s="15"/>
      <c r="DS781" s="99"/>
      <c r="DT781" s="149"/>
      <c r="DU781" s="134"/>
      <c r="DV781" s="134"/>
      <c r="DW781" s="137"/>
      <c r="DX781" s="150"/>
      <c r="DY781" s="137"/>
      <c r="DZ781" s="137"/>
      <c r="EA781" s="3"/>
      <c r="EB781" s="138"/>
      <c r="EC781" s="2"/>
      <c r="ED781" s="139"/>
      <c r="EE781" s="3"/>
      <c r="EF781" s="3"/>
      <c r="EG781" s="3"/>
      <c r="EH781" s="3"/>
      <c r="EI781" s="3"/>
      <c r="EJ781" s="3"/>
      <c r="EK781" s="3"/>
      <c r="EL781" s="3"/>
      <c r="EM781" s="3"/>
      <c r="EN781" s="3"/>
      <c r="EO781" s="131"/>
      <c r="EP781" s="15"/>
      <c r="EQ781" s="99"/>
      <c r="ER781" s="149"/>
      <c r="ES781" s="134"/>
      <c r="ET781" s="134"/>
      <c r="EU781" s="137"/>
      <c r="EV781" s="150"/>
      <c r="EW781" s="137"/>
      <c r="EX781" s="137"/>
      <c r="EY781" s="3"/>
      <c r="EZ781" s="138"/>
      <c r="FA781" s="2"/>
      <c r="FB781" s="139"/>
      <c r="FC781" s="3"/>
      <c r="FD781" s="3"/>
      <c r="FE781" s="3"/>
      <c r="FF781" s="3"/>
      <c r="FG781" s="3"/>
      <c r="FH781" s="3"/>
      <c r="FI781" s="3"/>
      <c r="FJ781" s="3"/>
      <c r="FK781" s="3"/>
      <c r="FL781" s="3"/>
      <c r="FM781" s="131"/>
      <c r="FN781" s="15"/>
      <c r="FO781" s="99"/>
      <c r="FP781" s="149"/>
      <c r="FQ781" s="134"/>
      <c r="FR781" s="134"/>
      <c r="FS781" s="137"/>
      <c r="FT781" s="150"/>
      <c r="FU781" s="137"/>
      <c r="FV781" s="137"/>
      <c r="FW781" s="3"/>
      <c r="FX781" s="138"/>
      <c r="FY781" s="2"/>
      <c r="FZ781" s="139"/>
      <c r="GA781" s="3"/>
      <c r="GB781" s="3"/>
      <c r="GC781" s="3"/>
      <c r="GD781" s="3"/>
      <c r="GE781" s="3"/>
      <c r="GF781" s="3"/>
      <c r="GG781" s="3"/>
      <c r="GH781" s="3"/>
      <c r="GI781" s="3"/>
      <c r="GJ781" s="3"/>
      <c r="GK781" s="131"/>
      <c r="GL781" s="15"/>
      <c r="GM781" s="99"/>
      <c r="GN781" s="149"/>
      <c r="GO781" s="134"/>
      <c r="GP781" s="134"/>
      <c r="GQ781" s="137"/>
      <c r="GR781" s="150"/>
      <c r="GS781" s="137"/>
      <c r="GT781" s="137"/>
      <c r="GU781" s="3"/>
      <c r="GV781" s="138"/>
      <c r="GW781" s="2"/>
      <c r="GX781" s="139"/>
      <c r="GY781" s="3"/>
      <c r="GZ781" s="3"/>
      <c r="HA781" s="3"/>
      <c r="HB781" s="3"/>
      <c r="HC781" s="3"/>
      <c r="HD781" s="3"/>
      <c r="HE781" s="3"/>
      <c r="HF781" s="3"/>
      <c r="HG781" s="3"/>
      <c r="HH781" s="3"/>
      <c r="HI781" s="131"/>
      <c r="HJ781" s="15"/>
      <c r="HK781" s="99"/>
      <c r="HL781" s="149"/>
      <c r="HM781" s="134"/>
      <c r="HN781" s="134"/>
      <c r="HO781" s="137"/>
      <c r="HP781" s="150"/>
      <c r="HQ781" s="137"/>
      <c r="HR781" s="137"/>
      <c r="HS781" s="3"/>
      <c r="HT781" s="138"/>
      <c r="HU781" s="2"/>
      <c r="HV781" s="139"/>
      <c r="HW781" s="3"/>
      <c r="HX781" s="3"/>
      <c r="HY781" s="3"/>
      <c r="HZ781" s="3"/>
      <c r="IA781" s="3"/>
      <c r="IB781" s="3"/>
      <c r="IC781" s="3"/>
      <c r="ID781" s="3"/>
      <c r="IE781" s="3"/>
      <c r="IF781" s="3"/>
      <c r="IG781" s="131"/>
      <c r="IH781" s="15"/>
      <c r="II781" s="99"/>
      <c r="IJ781" s="149"/>
      <c r="IK781" s="134"/>
      <c r="IL781" s="134"/>
      <c r="IM781" s="137"/>
      <c r="IN781" s="150"/>
      <c r="IO781" s="137"/>
      <c r="IP781" s="137"/>
      <c r="IQ781" s="3"/>
      <c r="IR781" s="138"/>
      <c r="IS781" s="2"/>
      <c r="IT781" s="139"/>
      <c r="IU781" s="3"/>
      <c r="IV781" s="3"/>
    </row>
    <row r="782" spans="1:256" s="125" customFormat="1">
      <c r="A782" s="16"/>
      <c r="B782" s="56"/>
      <c r="C782" s="18"/>
      <c r="D782" s="19"/>
      <c r="E782" s="20" t="s">
        <v>841</v>
      </c>
      <c r="F782" s="274" t="s">
        <v>10</v>
      </c>
      <c r="G782" s="63"/>
      <c r="H782" s="121"/>
      <c r="I782" s="275">
        <f t="shared" ref="I782:K782" si="75">SUM(I646:I780)</f>
        <v>167640194</v>
      </c>
      <c r="J782" s="275">
        <f t="shared" si="75"/>
        <v>105255238.80952382</v>
      </c>
      <c r="K782" s="275">
        <f t="shared" si="75"/>
        <v>272895432.80952394</v>
      </c>
      <c r="L782" s="275">
        <f t="shared" ref="L782:M782" si="76">SUM(L646:L721)</f>
        <v>2</v>
      </c>
      <c r="M782" s="275">
        <f t="shared" si="76"/>
        <v>0</v>
      </c>
      <c r="N782" s="276">
        <f>SUM(N646:N780)</f>
        <v>272895432.80952394</v>
      </c>
      <c r="O782" s="108"/>
      <c r="P782" s="3"/>
      <c r="Q782" s="140"/>
      <c r="R782" s="3"/>
      <c r="S782" s="3"/>
      <c r="T782" s="3"/>
      <c r="U782" s="3"/>
      <c r="V782" s="3"/>
      <c r="W782" s="3"/>
      <c r="X782" s="3"/>
      <c r="Y782" s="131"/>
      <c r="Z782" s="15"/>
      <c r="AA782" s="99"/>
      <c r="AB782" s="149"/>
      <c r="AC782" s="134"/>
      <c r="AD782" s="134"/>
      <c r="AE782" s="137"/>
      <c r="AF782" s="150"/>
      <c r="AG782" s="137"/>
      <c r="AH782" s="137"/>
      <c r="AI782" s="3"/>
      <c r="AJ782" s="138"/>
      <c r="AK782" s="2"/>
      <c r="AL782" s="139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131"/>
      <c r="AX782" s="15"/>
      <c r="AY782" s="99"/>
      <c r="AZ782" s="149"/>
      <c r="BA782" s="134"/>
      <c r="BB782" s="134"/>
      <c r="BC782" s="137"/>
      <c r="BD782" s="150"/>
      <c r="BE782" s="137"/>
      <c r="BF782" s="137"/>
      <c r="BG782" s="3"/>
      <c r="BH782" s="138"/>
      <c r="BI782" s="2"/>
      <c r="BJ782" s="139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131"/>
      <c r="BV782" s="15"/>
      <c r="BW782" s="99"/>
      <c r="BX782" s="149"/>
      <c r="BY782" s="134"/>
      <c r="BZ782" s="134"/>
      <c r="CA782" s="137"/>
      <c r="CB782" s="150"/>
      <c r="CC782" s="137"/>
      <c r="CD782" s="137"/>
      <c r="CE782" s="3"/>
      <c r="CF782" s="138"/>
      <c r="CG782" s="2"/>
      <c r="CH782" s="139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131"/>
      <c r="CT782" s="15"/>
      <c r="CU782" s="99"/>
      <c r="CV782" s="149"/>
      <c r="CW782" s="134"/>
      <c r="CX782" s="134"/>
      <c r="CY782" s="137"/>
      <c r="CZ782" s="150"/>
      <c r="DA782" s="137"/>
      <c r="DB782" s="137"/>
      <c r="DC782" s="3"/>
      <c r="DD782" s="138"/>
      <c r="DE782" s="2"/>
      <c r="DF782" s="139"/>
      <c r="DG782" s="3"/>
      <c r="DH782" s="3"/>
      <c r="DI782" s="3"/>
      <c r="DJ782" s="3"/>
      <c r="DK782" s="3"/>
      <c r="DL782" s="3"/>
      <c r="DM782" s="3"/>
      <c r="DN782" s="3"/>
      <c r="DO782" s="3"/>
      <c r="DP782" s="3"/>
      <c r="DQ782" s="131"/>
      <c r="DR782" s="15"/>
      <c r="DS782" s="99"/>
      <c r="DT782" s="149"/>
      <c r="DU782" s="134"/>
      <c r="DV782" s="134"/>
      <c r="DW782" s="137"/>
      <c r="DX782" s="150"/>
      <c r="DY782" s="137"/>
      <c r="DZ782" s="137"/>
      <c r="EA782" s="3"/>
      <c r="EB782" s="138"/>
      <c r="EC782" s="2"/>
      <c r="ED782" s="139"/>
      <c r="EE782" s="3"/>
      <c r="EF782" s="3"/>
      <c r="EG782" s="3"/>
      <c r="EH782" s="3"/>
      <c r="EI782" s="3"/>
      <c r="EJ782" s="3"/>
      <c r="EK782" s="3"/>
      <c r="EL782" s="3"/>
      <c r="EM782" s="3"/>
      <c r="EN782" s="3"/>
      <c r="EO782" s="131"/>
      <c r="EP782" s="15"/>
      <c r="EQ782" s="99"/>
      <c r="ER782" s="149"/>
      <c r="ES782" s="134"/>
      <c r="ET782" s="134"/>
      <c r="EU782" s="137"/>
      <c r="EV782" s="150"/>
      <c r="EW782" s="137"/>
      <c r="EX782" s="137"/>
      <c r="EY782" s="3"/>
      <c r="EZ782" s="138"/>
      <c r="FA782" s="2"/>
      <c r="FB782" s="139"/>
      <c r="FC782" s="3"/>
      <c r="FD782" s="3"/>
      <c r="FE782" s="3"/>
      <c r="FF782" s="3"/>
      <c r="FG782" s="3"/>
      <c r="FH782" s="3"/>
      <c r="FI782" s="3"/>
      <c r="FJ782" s="3"/>
      <c r="FK782" s="3"/>
      <c r="FL782" s="3"/>
      <c r="FM782" s="131"/>
      <c r="FN782" s="15"/>
      <c r="FO782" s="99"/>
      <c r="FP782" s="149"/>
      <c r="FQ782" s="134"/>
      <c r="FR782" s="134"/>
      <c r="FS782" s="137"/>
      <c r="FT782" s="150"/>
      <c r="FU782" s="137"/>
      <c r="FV782" s="137"/>
      <c r="FW782" s="3"/>
      <c r="FX782" s="138"/>
      <c r="FY782" s="2"/>
      <c r="FZ782" s="139"/>
      <c r="GA782" s="3"/>
      <c r="GB782" s="3"/>
      <c r="GC782" s="3"/>
      <c r="GD782" s="3"/>
      <c r="GE782" s="3"/>
      <c r="GF782" s="3"/>
      <c r="GG782" s="3"/>
      <c r="GH782" s="3"/>
      <c r="GI782" s="3"/>
      <c r="GJ782" s="3"/>
      <c r="GK782" s="131"/>
      <c r="GL782" s="15"/>
      <c r="GM782" s="99"/>
      <c r="GN782" s="149"/>
      <c r="GO782" s="134"/>
      <c r="GP782" s="134"/>
      <c r="GQ782" s="137"/>
      <c r="GR782" s="150"/>
      <c r="GS782" s="137"/>
      <c r="GT782" s="137"/>
      <c r="GU782" s="3"/>
      <c r="GV782" s="138"/>
      <c r="GW782" s="2"/>
      <c r="GX782" s="139"/>
      <c r="GY782" s="3"/>
      <c r="GZ782" s="3"/>
      <c r="HA782" s="3"/>
      <c r="HB782" s="3"/>
      <c r="HC782" s="3"/>
      <c r="HD782" s="3"/>
      <c r="HE782" s="3"/>
      <c r="HF782" s="3"/>
      <c r="HG782" s="3"/>
      <c r="HH782" s="3"/>
      <c r="HI782" s="131"/>
      <c r="HJ782" s="15"/>
      <c r="HK782" s="99"/>
      <c r="HL782" s="149"/>
      <c r="HM782" s="134"/>
      <c r="HN782" s="134"/>
      <c r="HO782" s="137"/>
      <c r="HP782" s="150"/>
      <c r="HQ782" s="137"/>
      <c r="HR782" s="137"/>
      <c r="HS782" s="3"/>
      <c r="HT782" s="138"/>
      <c r="HU782" s="2"/>
      <c r="HV782" s="139"/>
      <c r="HW782" s="3"/>
      <c r="HX782" s="3"/>
      <c r="HY782" s="3"/>
      <c r="HZ782" s="3"/>
      <c r="IA782" s="3"/>
      <c r="IB782" s="3"/>
      <c r="IC782" s="3"/>
      <c r="ID782" s="3"/>
      <c r="IE782" s="3"/>
      <c r="IF782" s="3"/>
      <c r="IG782" s="131"/>
      <c r="IH782" s="15"/>
      <c r="II782" s="99"/>
      <c r="IJ782" s="149"/>
      <c r="IK782" s="134"/>
      <c r="IL782" s="134"/>
      <c r="IM782" s="137"/>
      <c r="IN782" s="150"/>
      <c r="IO782" s="137"/>
      <c r="IP782" s="137"/>
      <c r="IQ782" s="3"/>
      <c r="IR782" s="138"/>
      <c r="IS782" s="2"/>
      <c r="IT782" s="139"/>
      <c r="IU782" s="3"/>
      <c r="IV782" s="3"/>
    </row>
    <row r="783" spans="1:256" s="3" customFormat="1">
      <c r="A783" s="16"/>
      <c r="B783" s="56"/>
      <c r="C783" s="18"/>
      <c r="D783" s="19"/>
      <c r="E783" s="20"/>
      <c r="F783" s="82"/>
      <c r="G783" s="58"/>
      <c r="H783" s="121"/>
      <c r="I783" s="24"/>
      <c r="J783" s="24"/>
      <c r="K783" s="199"/>
      <c r="L783" s="26"/>
      <c r="M783" s="24"/>
      <c r="N783" s="124"/>
      <c r="O783" s="108"/>
    </row>
    <row r="784" spans="1:256" s="3" customFormat="1">
      <c r="A784" s="16"/>
      <c r="B784" s="56"/>
      <c r="C784" s="18"/>
      <c r="D784" s="19"/>
      <c r="E784" s="20"/>
      <c r="F784" s="82"/>
      <c r="G784" s="58"/>
      <c r="H784" s="121"/>
      <c r="I784" s="24"/>
      <c r="J784" s="24"/>
      <c r="K784" s="24"/>
      <c r="L784" s="123"/>
      <c r="M784" s="24"/>
      <c r="N784" s="124"/>
      <c r="O784" s="108"/>
    </row>
    <row r="785" spans="1:15" s="3" customFormat="1" ht="14.25" thickBot="1">
      <c r="A785" s="277"/>
      <c r="B785" s="278"/>
      <c r="C785" s="279"/>
      <c r="D785" s="280"/>
      <c r="E785" s="214"/>
      <c r="F785" s="281"/>
      <c r="G785" s="94"/>
      <c r="H785" s="282"/>
      <c r="I785" s="283"/>
      <c r="J785" s="283"/>
      <c r="K785" s="283"/>
      <c r="L785" s="283"/>
      <c r="M785" s="284" t="s">
        <v>1000</v>
      </c>
      <c r="N785" s="285">
        <f>SUM(N782,N635)</f>
        <v>667930254.71428573</v>
      </c>
      <c r="O785" s="108"/>
    </row>
    <row r="786" spans="1:15" s="3" customFormat="1" ht="14.25" thickTop="1">
      <c r="A786" s="230"/>
      <c r="B786" s="101"/>
      <c r="C786" s="227"/>
      <c r="D786" s="228"/>
      <c r="E786" s="104"/>
      <c r="F786" s="233"/>
      <c r="G786" s="106"/>
      <c r="H786" s="107"/>
      <c r="I786" s="108"/>
      <c r="J786" s="108"/>
      <c r="K786" s="108"/>
      <c r="L786" s="108"/>
      <c r="M786" s="108"/>
      <c r="N786" s="108"/>
      <c r="O786" s="108"/>
    </row>
    <row r="787" spans="1:15" s="3" customFormat="1">
      <c r="A787" s="230"/>
      <c r="B787" s="101"/>
      <c r="C787" s="227"/>
      <c r="D787" s="228"/>
      <c r="E787" s="104"/>
      <c r="F787" s="233"/>
      <c r="G787" s="106"/>
      <c r="H787" s="107"/>
      <c r="I787" s="108"/>
      <c r="J787" s="108"/>
      <c r="K787" s="108"/>
      <c r="L787" s="108"/>
      <c r="M787" s="108"/>
      <c r="N787" s="108"/>
      <c r="O787" s="108"/>
    </row>
    <row r="788" spans="1:15" s="3" customFormat="1">
      <c r="A788" s="230"/>
      <c r="B788" s="101"/>
      <c r="C788" s="227"/>
      <c r="D788" s="228"/>
      <c r="E788" s="104"/>
      <c r="F788" s="233"/>
      <c r="G788" s="106"/>
      <c r="H788" s="107"/>
      <c r="I788" s="108"/>
      <c r="J788" s="108"/>
      <c r="K788" s="108"/>
      <c r="L788" s="108"/>
      <c r="M788" s="108" t="s">
        <v>841</v>
      </c>
      <c r="N788" s="108">
        <f>SUM(N646:N749,N763:N772)</f>
        <v>255490042.52380964</v>
      </c>
      <c r="O788" s="108"/>
    </row>
    <row r="789" spans="1:15" s="3" customFormat="1">
      <c r="A789" s="230"/>
      <c r="B789" s="101"/>
      <c r="C789" s="227"/>
      <c r="D789" s="228"/>
      <c r="E789" s="104"/>
      <c r="F789" s="233"/>
      <c r="G789" s="106"/>
      <c r="H789" s="107"/>
      <c r="I789" s="108"/>
      <c r="J789" s="108"/>
      <c r="K789" s="108"/>
      <c r="L789" s="108"/>
      <c r="M789" s="108" t="s">
        <v>158</v>
      </c>
      <c r="N789" s="108">
        <f>SUM(N750:N760)</f>
        <v>15602857.285714285</v>
      </c>
      <c r="O789" s="108"/>
    </row>
    <row r="790" spans="1:15" s="3" customFormat="1">
      <c r="A790" s="230"/>
      <c r="B790" s="101"/>
      <c r="C790" s="227"/>
      <c r="D790" s="228"/>
      <c r="E790" s="104"/>
      <c r="F790" s="233"/>
      <c r="G790" s="106"/>
      <c r="H790" s="107"/>
      <c r="I790" s="108"/>
      <c r="J790" s="108"/>
      <c r="K790" s="108"/>
      <c r="L790" s="108"/>
      <c r="M790" s="108" t="s">
        <v>1001</v>
      </c>
      <c r="N790" s="108">
        <f>SUM(N761:N762,N773)</f>
        <v>1802533</v>
      </c>
      <c r="O790" s="108"/>
    </row>
    <row r="791" spans="1:15" s="3" customFormat="1" ht="14.25" thickBot="1">
      <c r="A791" s="230"/>
      <c r="B791" s="101"/>
      <c r="C791" s="227"/>
      <c r="D791" s="228"/>
      <c r="E791" s="104"/>
      <c r="F791" s="233"/>
      <c r="G791" s="106"/>
      <c r="H791" s="107"/>
      <c r="I791" s="108"/>
      <c r="J791" s="108"/>
      <c r="K791" s="108"/>
      <c r="L791" s="108"/>
      <c r="M791" s="108" t="s">
        <v>155</v>
      </c>
      <c r="N791" s="98">
        <f>SUM(N788:N790)</f>
        <v>272895432.80952394</v>
      </c>
      <c r="O791" s="108"/>
    </row>
    <row r="792" spans="1:15" s="3" customFormat="1" ht="14.25" thickTop="1">
      <c r="A792" s="230"/>
      <c r="B792" s="101"/>
      <c r="C792" s="227"/>
      <c r="D792" s="228"/>
      <c r="E792" s="104"/>
      <c r="F792" s="233"/>
      <c r="G792" s="106"/>
      <c r="H792" s="107"/>
      <c r="I792" s="108"/>
      <c r="J792" s="108"/>
      <c r="K792" s="108"/>
      <c r="L792" s="108"/>
      <c r="M792" s="108" t="s">
        <v>1002</v>
      </c>
      <c r="N792" s="108"/>
      <c r="O792" s="108"/>
    </row>
    <row r="793" spans="1:15" s="3" customFormat="1">
      <c r="A793" s="230"/>
      <c r="B793" s="101"/>
      <c r="C793" s="227"/>
      <c r="D793" s="228"/>
      <c r="E793" s="104"/>
      <c r="F793" s="233"/>
      <c r="G793" s="106"/>
      <c r="H793" s="107"/>
      <c r="I793" s="108"/>
      <c r="J793" s="108"/>
      <c r="K793" s="108"/>
      <c r="L793" s="108"/>
      <c r="M793" s="108" t="s">
        <v>1003</v>
      </c>
      <c r="N793" s="108">
        <f>N786+N792</f>
        <v>0</v>
      </c>
      <c r="O793" s="108"/>
    </row>
    <row r="794" spans="1:15" s="3" customFormat="1">
      <c r="A794" s="230"/>
      <c r="B794" s="101"/>
      <c r="C794" s="227"/>
      <c r="D794" s="228"/>
      <c r="E794" s="104"/>
      <c r="F794" s="233"/>
      <c r="G794" s="106"/>
      <c r="H794" s="107"/>
      <c r="I794" s="108"/>
      <c r="J794" s="108"/>
      <c r="K794" s="108"/>
      <c r="L794" s="108"/>
      <c r="M794" s="108"/>
      <c r="N794" s="108"/>
      <c r="O794" s="108"/>
    </row>
    <row r="795" spans="1:15" s="3" customFormat="1">
      <c r="A795" s="230"/>
      <c r="B795" s="101"/>
      <c r="C795" s="227"/>
      <c r="D795" s="228"/>
      <c r="E795" s="104"/>
      <c r="F795" s="233"/>
      <c r="G795" s="106"/>
      <c r="H795" s="107"/>
      <c r="I795" s="108"/>
      <c r="J795" s="108"/>
      <c r="K795" s="108"/>
      <c r="L795" s="108"/>
      <c r="M795" s="108"/>
      <c r="N795" s="108"/>
      <c r="O795" s="108"/>
    </row>
    <row r="796" spans="1:15" s="3" customFormat="1">
      <c r="A796" s="230"/>
      <c r="B796" s="101"/>
      <c r="C796" s="227"/>
      <c r="D796" s="228"/>
      <c r="E796" s="104"/>
      <c r="F796" s="233"/>
      <c r="G796" s="106"/>
      <c r="H796" s="107"/>
      <c r="I796" s="108"/>
      <c r="J796" s="108"/>
      <c r="K796" s="108"/>
      <c r="L796" s="108"/>
      <c r="M796" s="108"/>
      <c r="N796" s="108"/>
      <c r="O796" s="108"/>
    </row>
    <row r="797" spans="1:15" s="3" customFormat="1">
      <c r="A797" s="230"/>
      <c r="B797" s="101"/>
      <c r="C797" s="227"/>
      <c r="D797" s="228"/>
      <c r="E797" s="104"/>
      <c r="F797" s="233"/>
      <c r="G797" s="106"/>
      <c r="H797" s="107"/>
      <c r="I797" s="108"/>
      <c r="J797" s="108"/>
      <c r="K797" s="108"/>
      <c r="L797" s="108"/>
      <c r="M797" s="108"/>
      <c r="N797" s="108"/>
      <c r="O797" s="108"/>
    </row>
    <row r="798" spans="1:15" s="3" customFormat="1">
      <c r="A798" s="230"/>
      <c r="B798" s="101"/>
      <c r="C798" s="227"/>
      <c r="D798" s="228"/>
      <c r="E798" s="104"/>
      <c r="F798" s="233"/>
      <c r="G798" s="106"/>
      <c r="H798" s="107"/>
      <c r="I798" s="108"/>
      <c r="J798" s="108"/>
      <c r="K798" s="108"/>
      <c r="L798" s="108"/>
      <c r="M798" s="108"/>
      <c r="N798" s="108"/>
      <c r="O798" s="108"/>
    </row>
    <row r="799" spans="1:15" s="3" customFormat="1">
      <c r="A799" s="230"/>
      <c r="B799" s="101"/>
      <c r="C799" s="227"/>
      <c r="D799" s="228"/>
      <c r="E799" s="104"/>
      <c r="F799" s="233"/>
      <c r="G799" s="106"/>
      <c r="H799" s="107"/>
      <c r="I799" s="108"/>
      <c r="J799" s="108"/>
      <c r="K799" s="108"/>
      <c r="L799" s="108"/>
      <c r="M799" s="108"/>
      <c r="N799" s="108"/>
      <c r="O799" s="108"/>
    </row>
    <row r="800" spans="1:15" s="3" customFormat="1">
      <c r="A800" s="230"/>
      <c r="B800" s="101"/>
      <c r="C800" s="227"/>
      <c r="D800" s="228"/>
      <c r="E800" s="104"/>
      <c r="F800" s="233"/>
      <c r="G800" s="106"/>
      <c r="H800" s="107"/>
      <c r="I800" s="108"/>
      <c r="J800" s="108"/>
      <c r="K800" s="108"/>
      <c r="L800" s="108"/>
      <c r="M800" s="108"/>
      <c r="N800" s="108"/>
      <c r="O800" s="108"/>
    </row>
    <row r="801" spans="1:15" s="3" customFormat="1">
      <c r="A801" s="230"/>
      <c r="B801" s="101"/>
      <c r="C801" s="227"/>
      <c r="D801" s="228"/>
      <c r="E801" s="104"/>
      <c r="F801" s="233"/>
      <c r="G801" s="106"/>
      <c r="H801" s="107"/>
      <c r="I801" s="108"/>
      <c r="J801" s="108"/>
      <c r="K801" s="108"/>
      <c r="L801" s="108"/>
      <c r="M801" s="108"/>
      <c r="N801" s="108"/>
      <c r="O801" s="108"/>
    </row>
    <row r="802" spans="1:15" s="3" customFormat="1">
      <c r="A802" s="230"/>
      <c r="B802" s="101"/>
      <c r="C802" s="227"/>
      <c r="D802" s="228"/>
      <c r="E802" s="104"/>
      <c r="F802" s="233"/>
      <c r="G802" s="106"/>
      <c r="H802" s="107"/>
      <c r="I802" s="108"/>
      <c r="J802" s="108"/>
      <c r="K802" s="108"/>
      <c r="L802" s="108"/>
      <c r="M802" s="108"/>
      <c r="N802" s="108"/>
      <c r="O802" s="108"/>
    </row>
    <row r="803" spans="1:15" s="3" customFormat="1">
      <c r="A803" s="230"/>
      <c r="B803" s="101"/>
      <c r="C803" s="227"/>
      <c r="D803" s="228"/>
      <c r="E803" s="104"/>
      <c r="F803" s="233"/>
      <c r="G803" s="106"/>
      <c r="H803" s="107"/>
      <c r="I803" s="108"/>
      <c r="J803" s="108"/>
      <c r="K803" s="108"/>
      <c r="L803" s="108"/>
      <c r="M803" s="108"/>
      <c r="N803" s="108"/>
      <c r="O803" s="108"/>
    </row>
    <row r="804" spans="1:15" s="3" customFormat="1">
      <c r="A804" s="230"/>
      <c r="B804" s="101"/>
      <c r="C804" s="227"/>
      <c r="D804" s="228"/>
      <c r="E804" s="104"/>
      <c r="F804" s="233"/>
      <c r="G804" s="106"/>
      <c r="H804" s="107"/>
      <c r="I804" s="108"/>
      <c r="J804" s="108"/>
      <c r="K804" s="108"/>
      <c r="L804" s="108"/>
      <c r="M804" s="108"/>
      <c r="N804" s="108"/>
      <c r="O804" s="108"/>
    </row>
    <row r="805" spans="1:15" s="3" customFormat="1">
      <c r="A805" s="230"/>
      <c r="B805" s="101"/>
      <c r="C805" s="227"/>
      <c r="D805" s="228"/>
      <c r="E805" s="104"/>
      <c r="F805" s="233"/>
      <c r="G805" s="106"/>
      <c r="H805" s="107"/>
      <c r="I805" s="108"/>
      <c r="J805" s="108"/>
      <c r="K805" s="108"/>
      <c r="L805" s="108"/>
      <c r="M805" s="108"/>
      <c r="N805" s="108"/>
      <c r="O805" s="108"/>
    </row>
    <row r="806" spans="1:15" s="3" customFormat="1">
      <c r="A806" s="230"/>
      <c r="B806" s="101"/>
      <c r="C806" s="227"/>
      <c r="D806" s="228"/>
      <c r="E806" s="104"/>
      <c r="F806" s="233"/>
      <c r="G806" s="106"/>
      <c r="H806" s="107"/>
      <c r="I806" s="108"/>
      <c r="J806" s="108"/>
      <c r="K806" s="108"/>
      <c r="L806" s="108"/>
      <c r="M806" s="108"/>
      <c r="N806" s="108"/>
      <c r="O806" s="108"/>
    </row>
    <row r="807" spans="1:15" s="3" customFormat="1">
      <c r="A807" s="230"/>
      <c r="B807" s="101"/>
      <c r="C807" s="227"/>
      <c r="D807" s="228"/>
      <c r="E807" s="104"/>
      <c r="F807" s="233"/>
      <c r="G807" s="106"/>
      <c r="H807" s="107"/>
      <c r="I807" s="108"/>
      <c r="J807" s="108"/>
      <c r="K807" s="108"/>
      <c r="L807" s="108"/>
      <c r="M807" s="108"/>
      <c r="N807" s="108"/>
      <c r="O807" s="108"/>
    </row>
    <row r="808" spans="1:15" s="3" customFormat="1">
      <c r="A808" s="230"/>
      <c r="B808" s="101"/>
      <c r="C808" s="227"/>
      <c r="D808" s="228"/>
      <c r="E808" s="104"/>
      <c r="F808" s="233"/>
      <c r="G808" s="106"/>
      <c r="H808" s="107"/>
      <c r="I808" s="108"/>
      <c r="J808" s="108"/>
      <c r="K808" s="108"/>
      <c r="L808" s="108"/>
      <c r="M808" s="108"/>
      <c r="N808" s="108"/>
      <c r="O808" s="108"/>
    </row>
    <row r="809" spans="1:15" s="3" customFormat="1">
      <c r="A809" s="230"/>
      <c r="B809" s="101"/>
      <c r="C809" s="227"/>
      <c r="D809" s="228"/>
      <c r="E809" s="104"/>
      <c r="F809" s="233"/>
      <c r="G809" s="106"/>
      <c r="H809" s="107"/>
      <c r="I809" s="108"/>
      <c r="J809" s="108"/>
      <c r="K809" s="108"/>
      <c r="L809" s="108"/>
      <c r="M809" s="108"/>
      <c r="N809" s="108"/>
      <c r="O809" s="108"/>
    </row>
    <row r="810" spans="1:15" s="3" customFormat="1">
      <c r="A810" s="230"/>
      <c r="B810" s="101"/>
      <c r="C810" s="227"/>
      <c r="D810" s="228"/>
      <c r="E810" s="104"/>
      <c r="F810" s="233"/>
      <c r="G810" s="106"/>
      <c r="H810" s="107"/>
      <c r="I810" s="108"/>
      <c r="J810" s="108"/>
      <c r="K810" s="108"/>
      <c r="L810" s="108"/>
      <c r="M810" s="108"/>
      <c r="N810" s="108"/>
      <c r="O810" s="108"/>
    </row>
    <row r="811" spans="1:15" s="3" customFormat="1">
      <c r="A811" s="230"/>
      <c r="B811" s="101"/>
      <c r="C811" s="227"/>
      <c r="D811" s="228"/>
      <c r="E811" s="104"/>
      <c r="F811" s="233"/>
      <c r="G811" s="106"/>
      <c r="H811" s="107"/>
      <c r="I811" s="108"/>
      <c r="J811" s="108"/>
      <c r="K811" s="108"/>
      <c r="L811" s="108"/>
      <c r="M811" s="108"/>
      <c r="N811" s="108"/>
      <c r="O811" s="108"/>
    </row>
    <row r="812" spans="1:15" s="3" customFormat="1">
      <c r="A812" s="230"/>
      <c r="B812" s="101"/>
      <c r="C812" s="227"/>
      <c r="D812" s="228"/>
      <c r="E812" s="104"/>
      <c r="F812" s="233"/>
      <c r="G812" s="106"/>
      <c r="H812" s="107"/>
      <c r="I812" s="108"/>
      <c r="J812" s="108"/>
      <c r="K812" s="108"/>
      <c r="L812" s="108"/>
      <c r="M812" s="108"/>
      <c r="N812" s="108"/>
      <c r="O812" s="108"/>
    </row>
    <row r="813" spans="1:15" s="3" customFormat="1">
      <c r="A813" s="230"/>
      <c r="B813" s="101"/>
      <c r="C813" s="227"/>
      <c r="D813" s="228"/>
      <c r="E813" s="104"/>
      <c r="F813" s="233"/>
      <c r="G813" s="106"/>
      <c r="H813" s="107"/>
      <c r="I813" s="108"/>
      <c r="J813" s="108"/>
      <c r="K813" s="108"/>
      <c r="L813" s="108"/>
      <c r="M813" s="108"/>
      <c r="N813" s="108"/>
      <c r="O813" s="108"/>
    </row>
    <row r="814" spans="1:15" s="3" customFormat="1">
      <c r="A814" s="230"/>
      <c r="B814" s="101"/>
      <c r="C814" s="227"/>
      <c r="D814" s="228"/>
      <c r="E814" s="104"/>
      <c r="F814" s="233"/>
      <c r="G814" s="106"/>
      <c r="H814" s="107"/>
      <c r="I814" s="108"/>
      <c r="J814" s="108"/>
      <c r="K814" s="108"/>
      <c r="L814" s="108"/>
      <c r="M814" s="108"/>
      <c r="N814" s="108"/>
      <c r="O814" s="108"/>
    </row>
    <row r="815" spans="1:15" s="3" customFormat="1">
      <c r="A815" s="230"/>
      <c r="B815" s="101"/>
      <c r="C815" s="227"/>
      <c r="D815" s="228"/>
      <c r="E815" s="104"/>
      <c r="F815" s="233"/>
      <c r="G815" s="106"/>
      <c r="H815" s="107"/>
      <c r="I815" s="108"/>
      <c r="J815" s="108"/>
      <c r="K815" s="108"/>
      <c r="L815" s="108"/>
      <c r="M815" s="108"/>
      <c r="N815" s="108"/>
      <c r="O815" s="108"/>
    </row>
    <row r="816" spans="1:15" s="3" customFormat="1">
      <c r="A816" s="230"/>
      <c r="B816" s="101"/>
      <c r="C816" s="227"/>
      <c r="D816" s="228"/>
      <c r="E816" s="104"/>
      <c r="F816" s="233"/>
      <c r="G816" s="106"/>
      <c r="H816" s="107"/>
      <c r="I816" s="108"/>
      <c r="J816" s="108"/>
      <c r="K816" s="108"/>
      <c r="L816" s="108"/>
      <c r="M816" s="108"/>
      <c r="N816" s="108"/>
      <c r="O816" s="108"/>
    </row>
    <row r="817" spans="1:15" s="3" customFormat="1">
      <c r="A817" s="230"/>
      <c r="B817" s="101"/>
      <c r="C817" s="227"/>
      <c r="D817" s="228"/>
      <c r="E817" s="104"/>
      <c r="F817" s="233"/>
      <c r="G817" s="106"/>
      <c r="H817" s="107"/>
      <c r="I817" s="108"/>
      <c r="J817" s="108"/>
      <c r="K817" s="108"/>
      <c r="L817" s="108"/>
      <c r="M817" s="108"/>
      <c r="N817" s="108"/>
      <c r="O817" s="108"/>
    </row>
    <row r="818" spans="1:15" s="3" customFormat="1">
      <c r="A818" s="230"/>
      <c r="B818" s="101"/>
      <c r="C818" s="227"/>
      <c r="D818" s="228"/>
      <c r="E818" s="104"/>
      <c r="F818" s="233"/>
      <c r="G818" s="106"/>
      <c r="H818" s="107"/>
      <c r="I818" s="108"/>
      <c r="J818" s="108"/>
      <c r="K818" s="108"/>
      <c r="L818" s="108"/>
      <c r="M818" s="108"/>
      <c r="N818" s="108"/>
      <c r="O818" s="108"/>
    </row>
    <row r="819" spans="1:15" s="3" customFormat="1">
      <c r="A819" s="230"/>
      <c r="B819" s="101"/>
      <c r="C819" s="227"/>
      <c r="D819" s="228"/>
      <c r="E819" s="104"/>
      <c r="F819" s="233"/>
      <c r="G819" s="106"/>
      <c r="H819" s="107"/>
      <c r="I819" s="108"/>
      <c r="J819" s="108"/>
      <c r="K819" s="108"/>
      <c r="L819" s="108"/>
      <c r="M819" s="108"/>
      <c r="N819" s="108"/>
      <c r="O819" s="108"/>
    </row>
    <row r="820" spans="1:15" s="3" customFormat="1">
      <c r="A820" s="230"/>
      <c r="B820" s="101"/>
      <c r="C820" s="227"/>
      <c r="D820" s="228"/>
      <c r="E820" s="104"/>
      <c r="F820" s="233"/>
      <c r="G820" s="106"/>
      <c r="H820" s="107"/>
      <c r="I820" s="108"/>
      <c r="J820" s="108"/>
      <c r="K820" s="108"/>
      <c r="L820" s="108"/>
      <c r="M820" s="108"/>
      <c r="N820" s="108"/>
      <c r="O820" s="108"/>
    </row>
    <row r="821" spans="1:15" s="3" customFormat="1">
      <c r="A821" s="230"/>
      <c r="B821" s="101"/>
      <c r="C821" s="227"/>
      <c r="D821" s="228"/>
      <c r="E821" s="104"/>
      <c r="F821" s="233"/>
      <c r="G821" s="106"/>
      <c r="H821" s="107"/>
      <c r="I821" s="108"/>
      <c r="J821" s="108"/>
      <c r="K821" s="108"/>
      <c r="L821" s="108"/>
      <c r="M821" s="108"/>
      <c r="N821" s="108"/>
      <c r="O821" s="108"/>
    </row>
    <row r="822" spans="1:15" s="3" customFormat="1">
      <c r="A822" s="230"/>
      <c r="B822" s="101"/>
      <c r="C822" s="227"/>
      <c r="D822" s="228"/>
      <c r="E822" s="104"/>
      <c r="F822" s="233"/>
      <c r="G822" s="106"/>
      <c r="H822" s="107"/>
      <c r="I822" s="108"/>
      <c r="J822" s="108"/>
      <c r="K822" s="108"/>
      <c r="L822" s="108"/>
      <c r="M822" s="108"/>
      <c r="N822" s="108"/>
      <c r="O822" s="108"/>
    </row>
    <row r="823" spans="1:15" s="3" customFormat="1">
      <c r="A823" s="230"/>
      <c r="B823" s="101"/>
      <c r="C823" s="227"/>
      <c r="D823" s="228"/>
      <c r="E823" s="104"/>
      <c r="F823" s="233"/>
      <c r="G823" s="106"/>
      <c r="H823" s="107"/>
      <c r="I823" s="108"/>
      <c r="J823" s="108"/>
      <c r="K823" s="108"/>
      <c r="L823" s="108"/>
      <c r="M823" s="108"/>
      <c r="N823" s="108"/>
      <c r="O823" s="108"/>
    </row>
    <row r="824" spans="1:15" s="3" customFormat="1">
      <c r="A824" s="230"/>
      <c r="B824" s="101"/>
      <c r="C824" s="227"/>
      <c r="D824" s="228"/>
      <c r="E824" s="104"/>
      <c r="F824" s="233"/>
      <c r="G824" s="106"/>
      <c r="H824" s="107"/>
      <c r="I824" s="108"/>
      <c r="J824" s="108"/>
      <c r="K824" s="108"/>
      <c r="L824" s="108"/>
      <c r="M824" s="108"/>
      <c r="N824" s="108"/>
      <c r="O824" s="108"/>
    </row>
    <row r="825" spans="1:15" s="3" customFormat="1">
      <c r="A825" s="230"/>
      <c r="B825" s="101"/>
      <c r="C825" s="227"/>
      <c r="D825" s="228"/>
      <c r="E825" s="104"/>
      <c r="F825" s="233"/>
      <c r="G825" s="106"/>
      <c r="H825" s="107"/>
      <c r="I825" s="108"/>
      <c r="J825" s="108"/>
      <c r="K825" s="108"/>
      <c r="L825" s="108"/>
      <c r="M825" s="108"/>
      <c r="N825" s="108"/>
      <c r="O825" s="108"/>
    </row>
    <row r="826" spans="1:15" s="3" customFormat="1">
      <c r="A826" s="230"/>
      <c r="B826" s="101"/>
      <c r="C826" s="227"/>
      <c r="D826" s="228"/>
      <c r="E826" s="104"/>
      <c r="F826" s="233"/>
      <c r="G826" s="106"/>
      <c r="H826" s="107"/>
      <c r="I826" s="108"/>
      <c r="J826" s="108"/>
      <c r="K826" s="108"/>
      <c r="L826" s="108"/>
      <c r="M826" s="108"/>
      <c r="N826" s="108"/>
      <c r="O826" s="108"/>
    </row>
    <row r="827" spans="1:15" s="3" customFormat="1">
      <c r="A827" s="230"/>
      <c r="B827" s="101"/>
      <c r="C827" s="227"/>
      <c r="D827" s="228"/>
      <c r="E827" s="104"/>
      <c r="F827" s="233"/>
      <c r="G827" s="106"/>
      <c r="H827" s="107"/>
      <c r="I827" s="108"/>
      <c r="J827" s="108"/>
      <c r="K827" s="108"/>
      <c r="L827" s="108"/>
      <c r="M827" s="108"/>
      <c r="N827" s="108"/>
      <c r="O827" s="108"/>
    </row>
    <row r="828" spans="1:15" s="3" customFormat="1">
      <c r="A828" s="230"/>
      <c r="B828" s="101"/>
      <c r="C828" s="227"/>
      <c r="D828" s="228"/>
      <c r="E828" s="104"/>
      <c r="F828" s="233"/>
      <c r="G828" s="106"/>
      <c r="H828" s="107"/>
      <c r="I828" s="108"/>
      <c r="J828" s="108"/>
      <c r="K828" s="108"/>
      <c r="L828" s="108"/>
      <c r="M828" s="108"/>
      <c r="N828" s="108"/>
      <c r="O828" s="108"/>
    </row>
    <row r="829" spans="1:15" s="3" customFormat="1">
      <c r="A829" s="230"/>
      <c r="B829" s="101"/>
      <c r="C829" s="227"/>
      <c r="D829" s="228"/>
      <c r="E829" s="104"/>
      <c r="F829" s="233"/>
      <c r="G829" s="106"/>
      <c r="H829" s="107"/>
      <c r="I829" s="108"/>
      <c r="J829" s="108"/>
      <c r="K829" s="108"/>
      <c r="L829" s="108"/>
      <c r="M829" s="108"/>
      <c r="N829" s="108"/>
      <c r="O829" s="108"/>
    </row>
    <row r="830" spans="1:15" s="3" customFormat="1">
      <c r="A830" s="230"/>
      <c r="B830" s="101"/>
      <c r="C830" s="227"/>
      <c r="D830" s="228"/>
      <c r="E830" s="104"/>
      <c r="F830" s="233"/>
      <c r="G830" s="106"/>
      <c r="H830" s="107"/>
      <c r="I830" s="108"/>
      <c r="J830" s="108"/>
      <c r="K830" s="108"/>
      <c r="L830" s="108"/>
      <c r="M830" s="108"/>
      <c r="N830" s="108"/>
      <c r="O830" s="108"/>
    </row>
    <row r="831" spans="1:15" s="3" customFormat="1">
      <c r="A831" s="230"/>
      <c r="B831" s="101"/>
      <c r="C831" s="227"/>
      <c r="D831" s="228"/>
      <c r="E831" s="104"/>
      <c r="F831" s="233"/>
      <c r="G831" s="106"/>
      <c r="H831" s="107"/>
      <c r="I831" s="108"/>
      <c r="J831" s="108"/>
      <c r="K831" s="108"/>
      <c r="L831" s="108"/>
      <c r="M831" s="108"/>
      <c r="N831" s="108"/>
      <c r="O831" s="108"/>
    </row>
    <row r="832" spans="1:15" s="3" customFormat="1">
      <c r="A832" s="230"/>
      <c r="B832" s="101"/>
      <c r="C832" s="227"/>
      <c r="D832" s="228"/>
      <c r="E832" s="104"/>
      <c r="F832" s="233"/>
      <c r="G832" s="106"/>
      <c r="H832" s="107"/>
      <c r="I832" s="108"/>
      <c r="J832" s="108"/>
      <c r="K832" s="108"/>
      <c r="L832" s="108"/>
      <c r="M832" s="108"/>
      <c r="N832" s="108"/>
      <c r="O832" s="108"/>
    </row>
    <row r="833" spans="1:20" s="3" customFormat="1">
      <c r="A833" s="230"/>
      <c r="B833" s="101"/>
      <c r="C833" s="227"/>
      <c r="D833" s="228"/>
      <c r="E833" s="104"/>
      <c r="F833" s="233"/>
      <c r="G833" s="106"/>
      <c r="H833" s="107"/>
      <c r="I833" s="108"/>
      <c r="J833" s="108"/>
      <c r="K833" s="108"/>
      <c r="L833" s="108"/>
      <c r="M833" s="108"/>
      <c r="N833" s="108"/>
      <c r="O833" s="108"/>
    </row>
    <row r="834" spans="1:20" s="3" customFormat="1">
      <c r="A834" s="230"/>
      <c r="B834" s="101"/>
      <c r="C834" s="227"/>
      <c r="D834" s="228"/>
      <c r="E834" s="104"/>
      <c r="F834" s="233"/>
      <c r="G834" s="106"/>
      <c r="H834" s="107"/>
      <c r="I834" s="108"/>
      <c r="J834" s="108"/>
      <c r="K834" s="108"/>
      <c r="L834" s="108"/>
      <c r="M834" s="108"/>
      <c r="N834" s="108"/>
      <c r="O834" s="108"/>
    </row>
    <row r="835" spans="1:20" s="3" customFormat="1">
      <c r="A835" s="230"/>
      <c r="B835" s="101"/>
      <c r="C835" s="227"/>
      <c r="D835" s="228"/>
      <c r="E835" s="104"/>
      <c r="F835" s="233"/>
      <c r="G835" s="106"/>
      <c r="H835" s="107"/>
      <c r="I835" s="108"/>
      <c r="J835" s="108"/>
      <c r="K835" s="108"/>
      <c r="L835" s="108"/>
      <c r="M835" s="108"/>
      <c r="N835" s="108"/>
      <c r="O835" s="108"/>
    </row>
    <row r="836" spans="1:20" s="3" customFormat="1">
      <c r="A836" s="230"/>
      <c r="B836" s="101"/>
      <c r="C836" s="227"/>
      <c r="D836" s="228"/>
      <c r="E836" s="104"/>
      <c r="F836" s="233"/>
      <c r="G836" s="106"/>
      <c r="H836" s="107"/>
      <c r="I836" s="108"/>
      <c r="J836" s="108"/>
      <c r="K836" s="108"/>
      <c r="L836" s="108"/>
      <c r="M836" s="108"/>
      <c r="N836" s="108"/>
      <c r="O836" s="108"/>
    </row>
    <row r="837" spans="1:20" s="3" customFormat="1">
      <c r="A837" s="230"/>
      <c r="B837" s="101"/>
      <c r="C837" s="227"/>
      <c r="D837" s="228"/>
      <c r="E837" s="104"/>
      <c r="F837" s="233"/>
      <c r="G837" s="106"/>
      <c r="H837" s="107"/>
      <c r="I837" s="108"/>
      <c r="J837" s="108"/>
      <c r="K837" s="108"/>
      <c r="L837" s="108"/>
      <c r="M837" s="108"/>
      <c r="N837" s="108"/>
      <c r="O837" s="108"/>
    </row>
    <row r="838" spans="1:20" s="3" customFormat="1">
      <c r="A838" s="230"/>
      <c r="B838" s="101"/>
      <c r="C838" s="227"/>
      <c r="D838" s="228"/>
      <c r="E838" s="104"/>
      <c r="F838" s="233"/>
      <c r="G838" s="106"/>
      <c r="H838" s="107"/>
      <c r="I838" s="108"/>
      <c r="J838" s="108"/>
      <c r="K838" s="108"/>
      <c r="L838" s="108"/>
      <c r="M838" s="108"/>
      <c r="N838" s="108"/>
      <c r="O838" s="108"/>
    </row>
    <row r="839" spans="1:20" s="3" customFormat="1">
      <c r="A839" s="230"/>
      <c r="B839" s="101"/>
      <c r="C839" s="227"/>
      <c r="D839" s="228"/>
      <c r="E839" s="104"/>
      <c r="F839" s="230"/>
      <c r="G839" s="286"/>
      <c r="H839" s="107"/>
      <c r="I839" s="108"/>
      <c r="J839" s="108"/>
      <c r="K839" s="108"/>
      <c r="L839" s="108"/>
      <c r="M839" s="108"/>
      <c r="N839" s="108"/>
      <c r="O839" s="108"/>
    </row>
    <row r="840" spans="1:20" s="3" customFormat="1">
      <c r="A840" s="230"/>
      <c r="B840" s="101"/>
      <c r="C840" s="227"/>
      <c r="D840" s="228"/>
      <c r="E840" s="104"/>
      <c r="F840" s="230"/>
      <c r="G840" s="286"/>
      <c r="H840" s="107"/>
      <c r="I840" s="108"/>
      <c r="J840" s="108"/>
      <c r="K840" s="108"/>
      <c r="L840" s="108"/>
      <c r="M840" s="108"/>
      <c r="N840" s="108"/>
      <c r="O840" s="108"/>
    </row>
    <row r="841" spans="1:20" s="3" customFormat="1">
      <c r="A841" s="230"/>
      <c r="B841" s="101"/>
      <c r="C841" s="227"/>
      <c r="D841" s="228"/>
      <c r="E841" s="104"/>
      <c r="F841" s="230"/>
      <c r="G841" s="286"/>
      <c r="H841" s="107"/>
      <c r="I841" s="108"/>
      <c r="J841" s="108"/>
      <c r="K841" s="108"/>
      <c r="L841" s="108"/>
      <c r="M841" s="108"/>
      <c r="N841" s="108"/>
      <c r="O841" s="108"/>
    </row>
    <row r="842" spans="1:20" s="3" customFormat="1">
      <c r="A842" s="230"/>
      <c r="B842" s="101"/>
      <c r="C842" s="227"/>
      <c r="D842" s="228"/>
      <c r="E842" s="104"/>
      <c r="F842" s="230"/>
      <c r="G842" s="286"/>
      <c r="H842" s="107"/>
      <c r="I842" s="108"/>
      <c r="J842" s="108"/>
      <c r="K842" s="108"/>
      <c r="L842" s="108"/>
      <c r="M842" s="108"/>
      <c r="N842" s="108"/>
      <c r="O842" s="108"/>
    </row>
    <row r="843" spans="1:20" s="3" customFormat="1">
      <c r="A843" s="230"/>
      <c r="B843" s="101"/>
      <c r="C843" s="227"/>
      <c r="D843" s="228"/>
      <c r="E843" s="104"/>
      <c r="F843" s="230"/>
      <c r="G843" s="286"/>
      <c r="H843" s="107"/>
      <c r="I843" s="108"/>
      <c r="J843" s="108"/>
      <c r="K843" s="108"/>
      <c r="L843" s="108"/>
      <c r="M843" s="108"/>
      <c r="N843" s="108"/>
      <c r="O843" s="108"/>
    </row>
    <row r="844" spans="1:20" s="3" customFormat="1">
      <c r="A844" s="230"/>
      <c r="B844" s="101"/>
      <c r="C844" s="227"/>
      <c r="D844" s="228"/>
      <c r="E844" s="104"/>
      <c r="F844" s="230"/>
      <c r="G844" s="286"/>
      <c r="H844" s="107"/>
      <c r="I844" s="108"/>
      <c r="J844" s="108"/>
      <c r="K844" s="108"/>
      <c r="L844" s="108"/>
      <c r="M844" s="108"/>
      <c r="N844" s="108"/>
      <c r="O844" s="108"/>
    </row>
    <row r="845" spans="1:20" s="3" customFormat="1">
      <c r="A845" s="230"/>
      <c r="B845" s="101"/>
      <c r="C845" s="227"/>
      <c r="D845" s="228"/>
      <c r="E845" s="104"/>
      <c r="F845" s="230"/>
      <c r="G845" s="286"/>
      <c r="H845" s="107"/>
      <c r="I845" s="108"/>
      <c r="J845" s="108"/>
      <c r="K845" s="108"/>
      <c r="L845" s="108"/>
      <c r="M845" s="108"/>
      <c r="N845" s="108"/>
      <c r="O845" s="108"/>
    </row>
    <row r="846" spans="1:20" s="3" customFormat="1">
      <c r="A846" s="230"/>
      <c r="B846" s="101"/>
      <c r="C846" s="227"/>
      <c r="D846" s="228"/>
      <c r="E846" s="104"/>
      <c r="F846" s="230"/>
      <c r="G846" s="286"/>
      <c r="H846" s="107"/>
      <c r="I846" s="108"/>
      <c r="J846" s="108"/>
      <c r="K846" s="108"/>
      <c r="L846" s="108"/>
      <c r="M846" s="108"/>
      <c r="N846" s="108"/>
      <c r="O846" s="108"/>
    </row>
    <row r="847" spans="1:20" s="139" customFormat="1">
      <c r="A847" s="230"/>
      <c r="B847" s="101"/>
      <c r="C847" s="227"/>
      <c r="D847" s="228"/>
      <c r="E847" s="104"/>
      <c r="F847" s="230"/>
      <c r="G847" s="286"/>
      <c r="H847" s="107"/>
      <c r="I847" s="108"/>
      <c r="J847" s="108"/>
      <c r="K847" s="108"/>
      <c r="L847" s="108"/>
      <c r="M847" s="108"/>
      <c r="N847" s="108"/>
      <c r="O847" s="108"/>
      <c r="P847" s="3"/>
      <c r="Q847" s="3"/>
      <c r="R847" s="3"/>
      <c r="S847" s="3"/>
      <c r="T847" s="3"/>
    </row>
    <row r="848" spans="1:20" s="139" customFormat="1">
      <c r="A848" s="230"/>
      <c r="B848" s="101"/>
      <c r="C848" s="227"/>
      <c r="D848" s="228"/>
      <c r="E848" s="104"/>
      <c r="F848" s="230"/>
      <c r="G848" s="286"/>
      <c r="H848" s="107"/>
      <c r="I848" s="108"/>
      <c r="J848" s="108"/>
      <c r="K848" s="108"/>
      <c r="L848" s="108"/>
      <c r="M848" s="108"/>
      <c r="N848" s="108"/>
      <c r="O848" s="108"/>
      <c r="P848" s="3"/>
      <c r="Q848" s="3"/>
      <c r="R848" s="3"/>
      <c r="S848" s="3"/>
      <c r="T848" s="3"/>
    </row>
    <row r="849" spans="1:20" s="139" customFormat="1">
      <c r="A849" s="230"/>
      <c r="B849" s="101"/>
      <c r="C849" s="227"/>
      <c r="D849" s="228"/>
      <c r="E849" s="104"/>
      <c r="F849" s="230"/>
      <c r="G849" s="286"/>
      <c r="H849" s="107"/>
      <c r="I849" s="108"/>
      <c r="J849" s="108"/>
      <c r="K849" s="108"/>
      <c r="L849" s="108"/>
      <c r="M849" s="108"/>
      <c r="N849" s="108"/>
      <c r="O849" s="108"/>
      <c r="P849" s="3"/>
      <c r="Q849" s="3"/>
      <c r="R849" s="3"/>
      <c r="S849" s="3"/>
      <c r="T849" s="3"/>
    </row>
    <row r="850" spans="1:20" s="139" customFormat="1">
      <c r="A850" s="230"/>
      <c r="B850" s="101"/>
      <c r="C850" s="227"/>
      <c r="D850" s="228"/>
      <c r="E850" s="104"/>
      <c r="F850" s="230"/>
      <c r="G850" s="286"/>
      <c r="H850" s="107"/>
      <c r="I850" s="108"/>
      <c r="J850" s="108"/>
      <c r="K850" s="108"/>
      <c r="L850" s="108"/>
      <c r="M850" s="108"/>
      <c r="N850" s="108"/>
      <c r="O850" s="108"/>
      <c r="P850" s="3"/>
      <c r="Q850" s="3"/>
      <c r="R850" s="3"/>
      <c r="S850" s="3"/>
      <c r="T850" s="3"/>
    </row>
    <row r="851" spans="1:20" s="139" customFormat="1">
      <c r="A851" s="230"/>
      <c r="B851" s="101"/>
      <c r="C851" s="227"/>
      <c r="D851" s="228"/>
      <c r="E851" s="104"/>
      <c r="F851" s="230"/>
      <c r="G851" s="286"/>
      <c r="H851" s="107"/>
      <c r="I851" s="108"/>
      <c r="J851" s="108"/>
      <c r="K851" s="108"/>
      <c r="L851" s="108"/>
      <c r="M851" s="108"/>
      <c r="N851" s="108"/>
      <c r="O851" s="108"/>
      <c r="P851" s="3"/>
      <c r="Q851" s="3"/>
      <c r="R851" s="3"/>
      <c r="S851" s="3"/>
      <c r="T851" s="3"/>
    </row>
    <row r="852" spans="1:20" s="139" customFormat="1">
      <c r="A852" s="230"/>
      <c r="B852" s="101"/>
      <c r="C852" s="227"/>
      <c r="D852" s="228"/>
      <c r="E852" s="104"/>
      <c r="F852" s="230"/>
      <c r="G852" s="286"/>
      <c r="H852" s="107"/>
      <c r="I852" s="108"/>
      <c r="J852" s="108"/>
      <c r="K852" s="108"/>
      <c r="L852" s="108"/>
      <c r="M852" s="108"/>
      <c r="N852" s="108"/>
      <c r="O852" s="108"/>
      <c r="P852" s="3"/>
      <c r="Q852" s="3"/>
      <c r="R852" s="3"/>
      <c r="S852" s="3"/>
      <c r="T852" s="3"/>
    </row>
    <row r="853" spans="1:20" s="139" customFormat="1">
      <c r="A853" s="230"/>
      <c r="B853" s="101"/>
      <c r="C853" s="227"/>
      <c r="D853" s="228"/>
      <c r="E853" s="104"/>
      <c r="F853" s="230"/>
      <c r="G853" s="286"/>
      <c r="H853" s="107"/>
      <c r="I853" s="108"/>
      <c r="J853" s="108"/>
      <c r="K853" s="108"/>
      <c r="L853" s="108"/>
      <c r="M853" s="108"/>
      <c r="N853" s="108"/>
      <c r="O853" s="108"/>
      <c r="P853" s="3"/>
      <c r="Q853" s="3"/>
      <c r="R853" s="3"/>
      <c r="S853" s="3"/>
      <c r="T853" s="3"/>
    </row>
    <row r="854" spans="1:20" s="139" customFormat="1">
      <c r="A854" s="230"/>
      <c r="B854" s="101"/>
      <c r="C854" s="227"/>
      <c r="D854" s="228"/>
      <c r="E854" s="104"/>
      <c r="F854" s="230"/>
      <c r="G854" s="286"/>
      <c r="H854" s="107"/>
      <c r="I854" s="108"/>
      <c r="J854" s="108"/>
      <c r="K854" s="108"/>
      <c r="L854" s="108"/>
      <c r="M854" s="108"/>
      <c r="N854" s="108"/>
      <c r="O854" s="108"/>
      <c r="P854" s="3"/>
      <c r="Q854" s="3"/>
      <c r="R854" s="3"/>
      <c r="S854" s="3"/>
      <c r="T854" s="3"/>
    </row>
    <row r="855" spans="1:20" s="139" customFormat="1">
      <c r="A855" s="230"/>
      <c r="B855" s="101"/>
      <c r="C855" s="227"/>
      <c r="D855" s="228"/>
      <c r="E855" s="104"/>
      <c r="F855" s="230"/>
      <c r="G855" s="286"/>
      <c r="H855" s="107"/>
      <c r="I855" s="108"/>
      <c r="J855" s="108"/>
      <c r="K855" s="108"/>
      <c r="L855" s="108"/>
      <c r="M855" s="108"/>
      <c r="N855" s="108"/>
      <c r="O855" s="108"/>
      <c r="P855" s="3"/>
      <c r="Q855" s="3"/>
      <c r="R855" s="3"/>
      <c r="S855" s="3"/>
      <c r="T855" s="3"/>
    </row>
    <row r="856" spans="1:20" s="139" customFormat="1">
      <c r="A856" s="230"/>
      <c r="B856" s="101"/>
      <c r="C856" s="227"/>
      <c r="D856" s="228"/>
      <c r="E856" s="104"/>
      <c r="F856" s="230"/>
      <c r="G856" s="286"/>
      <c r="H856" s="107"/>
      <c r="I856" s="108"/>
      <c r="J856" s="108"/>
      <c r="K856" s="108"/>
      <c r="L856" s="108"/>
      <c r="M856" s="108"/>
      <c r="N856" s="108"/>
      <c r="O856" s="108"/>
      <c r="P856" s="3"/>
      <c r="Q856" s="3"/>
      <c r="R856" s="3"/>
      <c r="S856" s="3"/>
      <c r="T856" s="3"/>
    </row>
    <row r="857" spans="1:20" s="139" customFormat="1">
      <c r="A857" s="230"/>
      <c r="B857" s="101"/>
      <c r="C857" s="227"/>
      <c r="D857" s="228"/>
      <c r="E857" s="104"/>
      <c r="F857" s="230"/>
      <c r="G857" s="286"/>
      <c r="H857" s="107"/>
      <c r="I857" s="108"/>
      <c r="J857" s="108"/>
      <c r="K857" s="108"/>
      <c r="L857" s="108"/>
      <c r="M857" s="108"/>
      <c r="N857" s="108"/>
      <c r="O857" s="108"/>
      <c r="P857" s="3"/>
      <c r="Q857" s="3"/>
      <c r="R857" s="3"/>
      <c r="S857" s="3"/>
      <c r="T857" s="3"/>
    </row>
    <row r="858" spans="1:20" s="139" customFormat="1">
      <c r="A858" s="230"/>
      <c r="B858" s="101"/>
      <c r="C858" s="227"/>
      <c r="D858" s="228"/>
      <c r="E858" s="104"/>
      <c r="F858" s="230"/>
      <c r="G858" s="286"/>
      <c r="H858" s="107"/>
      <c r="I858" s="108"/>
      <c r="J858" s="108"/>
      <c r="K858" s="108"/>
      <c r="L858" s="108"/>
      <c r="M858" s="108"/>
      <c r="N858" s="108"/>
      <c r="O858" s="108"/>
      <c r="P858" s="3"/>
      <c r="Q858" s="3"/>
      <c r="R858" s="3"/>
      <c r="S858" s="3"/>
      <c r="T858" s="3"/>
    </row>
    <row r="859" spans="1:20" s="139" customFormat="1">
      <c r="A859" s="230"/>
      <c r="B859" s="101"/>
      <c r="C859" s="227"/>
      <c r="D859" s="228"/>
      <c r="E859" s="104"/>
      <c r="F859" s="230"/>
      <c r="G859" s="286"/>
      <c r="H859" s="107"/>
      <c r="I859" s="108"/>
      <c r="J859" s="108"/>
      <c r="K859" s="108"/>
      <c r="L859" s="108"/>
      <c r="M859" s="108"/>
      <c r="N859" s="108"/>
      <c r="O859" s="108"/>
      <c r="P859" s="3"/>
      <c r="Q859" s="3"/>
      <c r="R859" s="3"/>
      <c r="S859" s="3"/>
      <c r="T859" s="3"/>
    </row>
    <row r="860" spans="1:20" s="139" customFormat="1">
      <c r="A860" s="230"/>
      <c r="B860" s="101"/>
      <c r="C860" s="227"/>
      <c r="D860" s="228"/>
      <c r="E860" s="104"/>
      <c r="F860" s="230"/>
      <c r="G860" s="286"/>
      <c r="H860" s="107"/>
      <c r="I860" s="108"/>
      <c r="J860" s="108"/>
      <c r="K860" s="108"/>
      <c r="L860" s="108"/>
      <c r="M860" s="108"/>
      <c r="N860" s="108"/>
      <c r="O860" s="108"/>
      <c r="P860" s="3"/>
      <c r="Q860" s="3"/>
      <c r="R860" s="3"/>
      <c r="S860" s="3"/>
      <c r="T860" s="3"/>
    </row>
    <row r="861" spans="1:20" s="139" customFormat="1">
      <c r="A861" s="230"/>
      <c r="B861" s="101"/>
      <c r="C861" s="227"/>
      <c r="D861" s="228"/>
      <c r="E861" s="104"/>
      <c r="F861" s="230"/>
      <c r="G861" s="286"/>
      <c r="H861" s="107"/>
      <c r="I861" s="108"/>
      <c r="J861" s="108"/>
      <c r="K861" s="108"/>
      <c r="L861" s="108"/>
      <c r="M861" s="108"/>
      <c r="N861" s="108"/>
      <c r="O861" s="108"/>
      <c r="P861" s="3"/>
      <c r="Q861" s="3"/>
      <c r="R861" s="3"/>
      <c r="S861" s="3"/>
      <c r="T861" s="3"/>
    </row>
    <row r="862" spans="1:20" s="139" customFormat="1">
      <c r="A862" s="230"/>
      <c r="B862" s="101"/>
      <c r="C862" s="227"/>
      <c r="D862" s="228"/>
      <c r="E862" s="104"/>
      <c r="F862" s="230"/>
      <c r="G862" s="286"/>
      <c r="H862" s="107"/>
      <c r="I862" s="108"/>
      <c r="J862" s="108"/>
      <c r="K862" s="108"/>
      <c r="L862" s="108"/>
      <c r="M862" s="108"/>
      <c r="N862" s="108"/>
      <c r="O862" s="108"/>
      <c r="P862" s="3"/>
      <c r="Q862" s="3"/>
      <c r="R862" s="3"/>
      <c r="S862" s="3"/>
      <c r="T862" s="3"/>
    </row>
    <row r="863" spans="1:20" s="139" customFormat="1">
      <c r="A863" s="230"/>
      <c r="B863" s="101"/>
      <c r="C863" s="227"/>
      <c r="D863" s="228"/>
      <c r="E863" s="104"/>
      <c r="F863" s="230"/>
      <c r="G863" s="286"/>
      <c r="H863" s="107"/>
      <c r="I863" s="108"/>
      <c r="J863" s="108"/>
      <c r="K863" s="108"/>
      <c r="L863" s="108"/>
      <c r="M863" s="108"/>
      <c r="N863" s="108"/>
      <c r="O863" s="108"/>
      <c r="P863" s="3"/>
      <c r="Q863" s="3"/>
      <c r="R863" s="3"/>
      <c r="S863" s="3"/>
      <c r="T863" s="3"/>
    </row>
    <row r="864" spans="1:20" s="139" customFormat="1">
      <c r="A864" s="230"/>
      <c r="B864" s="101"/>
      <c r="C864" s="227"/>
      <c r="D864" s="228"/>
      <c r="E864" s="104"/>
      <c r="F864" s="230"/>
      <c r="G864" s="286"/>
      <c r="H864" s="107"/>
      <c r="I864" s="108"/>
      <c r="J864" s="108"/>
      <c r="K864" s="108"/>
      <c r="L864" s="108"/>
      <c r="M864" s="108"/>
      <c r="N864" s="108"/>
      <c r="O864" s="108"/>
      <c r="P864" s="3"/>
      <c r="Q864" s="3"/>
      <c r="R864" s="3"/>
      <c r="S864" s="3"/>
      <c r="T864" s="3"/>
    </row>
    <row r="865" spans="1:20" s="139" customFormat="1">
      <c r="A865" s="230"/>
      <c r="B865" s="101"/>
      <c r="C865" s="227"/>
      <c r="D865" s="228"/>
      <c r="E865" s="104"/>
      <c r="F865" s="230"/>
      <c r="G865" s="286"/>
      <c r="H865" s="107"/>
      <c r="I865" s="108"/>
      <c r="J865" s="108"/>
      <c r="K865" s="108"/>
      <c r="L865" s="108"/>
      <c r="M865" s="108"/>
      <c r="N865" s="108"/>
      <c r="O865" s="108"/>
      <c r="P865" s="3"/>
      <c r="Q865" s="3"/>
      <c r="R865" s="3"/>
      <c r="S865" s="3"/>
      <c r="T865" s="3"/>
    </row>
    <row r="866" spans="1:20" s="139" customFormat="1">
      <c r="A866" s="230"/>
      <c r="B866" s="101"/>
      <c r="C866" s="227"/>
      <c r="D866" s="228"/>
      <c r="E866" s="104"/>
      <c r="F866" s="230"/>
      <c r="G866" s="286"/>
      <c r="H866" s="107"/>
      <c r="I866" s="108"/>
      <c r="J866" s="108"/>
      <c r="K866" s="108"/>
      <c r="L866" s="108"/>
      <c r="M866" s="108"/>
      <c r="N866" s="108"/>
      <c r="O866" s="108"/>
      <c r="P866" s="3"/>
      <c r="Q866" s="3"/>
      <c r="R866" s="3"/>
      <c r="S866" s="3"/>
      <c r="T866" s="3"/>
    </row>
    <row r="867" spans="1:20" s="139" customFormat="1">
      <c r="A867" s="230"/>
      <c r="B867" s="101"/>
      <c r="C867" s="227"/>
      <c r="D867" s="228"/>
      <c r="E867" s="104"/>
      <c r="F867" s="230"/>
      <c r="G867" s="286"/>
      <c r="H867" s="107"/>
      <c r="I867" s="108"/>
      <c r="J867" s="108"/>
      <c r="K867" s="108"/>
      <c r="L867" s="108"/>
      <c r="M867" s="108"/>
      <c r="N867" s="108"/>
      <c r="O867" s="108"/>
      <c r="P867" s="3"/>
      <c r="Q867" s="3"/>
      <c r="R867" s="3"/>
      <c r="S867" s="3"/>
      <c r="T867" s="3"/>
    </row>
    <row r="868" spans="1:20" s="139" customFormat="1">
      <c r="A868" s="230"/>
      <c r="B868" s="101"/>
      <c r="C868" s="227"/>
      <c r="D868" s="228"/>
      <c r="E868" s="104"/>
      <c r="F868" s="230"/>
      <c r="G868" s="286"/>
      <c r="H868" s="107"/>
      <c r="I868" s="108"/>
      <c r="J868" s="108"/>
      <c r="K868" s="108"/>
      <c r="L868" s="108"/>
      <c r="M868" s="108"/>
      <c r="N868" s="108"/>
      <c r="O868" s="108"/>
      <c r="P868" s="3"/>
      <c r="Q868" s="3"/>
      <c r="R868" s="3"/>
      <c r="S868" s="3"/>
      <c r="T868" s="3"/>
    </row>
    <row r="869" spans="1:20" s="139" customFormat="1">
      <c r="A869" s="230"/>
      <c r="B869" s="101"/>
      <c r="C869" s="227"/>
      <c r="D869" s="228"/>
      <c r="E869" s="104"/>
      <c r="F869" s="230"/>
      <c r="G869" s="286"/>
      <c r="H869" s="107"/>
      <c r="I869" s="108"/>
      <c r="J869" s="108"/>
      <c r="K869" s="108"/>
      <c r="L869" s="108"/>
      <c r="M869" s="108"/>
      <c r="N869" s="108"/>
      <c r="O869" s="108"/>
      <c r="P869" s="3"/>
      <c r="Q869" s="3"/>
      <c r="R869" s="3"/>
      <c r="S869" s="3"/>
      <c r="T869" s="3"/>
    </row>
    <row r="870" spans="1:20" s="139" customFormat="1">
      <c r="A870" s="230"/>
      <c r="B870" s="101"/>
      <c r="C870" s="227"/>
      <c r="D870" s="228"/>
      <c r="E870" s="104"/>
      <c r="F870" s="230"/>
      <c r="G870" s="286"/>
      <c r="H870" s="107"/>
      <c r="I870" s="108"/>
      <c r="J870" s="108"/>
      <c r="K870" s="108"/>
      <c r="L870" s="108"/>
      <c r="M870" s="108"/>
      <c r="N870" s="108"/>
      <c r="O870" s="108"/>
      <c r="P870" s="3"/>
      <c r="Q870" s="3"/>
      <c r="R870" s="3"/>
      <c r="S870" s="3"/>
      <c r="T870" s="3"/>
    </row>
    <row r="871" spans="1:20" s="139" customFormat="1">
      <c r="A871" s="230"/>
      <c r="B871" s="101"/>
      <c r="C871" s="227"/>
      <c r="D871" s="228"/>
      <c r="E871" s="104"/>
      <c r="F871" s="230"/>
      <c r="G871" s="286"/>
      <c r="H871" s="107"/>
      <c r="I871" s="108"/>
      <c r="J871" s="108"/>
      <c r="K871" s="108"/>
      <c r="L871" s="108"/>
      <c r="M871" s="108"/>
      <c r="N871" s="108"/>
      <c r="O871" s="108"/>
      <c r="P871" s="3"/>
      <c r="Q871" s="3"/>
      <c r="R871" s="3"/>
      <c r="S871" s="3"/>
      <c r="T871" s="3"/>
    </row>
    <row r="872" spans="1:20" s="139" customFormat="1">
      <c r="A872" s="230"/>
      <c r="B872" s="101"/>
      <c r="C872" s="227"/>
      <c r="D872" s="228"/>
      <c r="E872" s="104"/>
      <c r="F872" s="230"/>
      <c r="G872" s="286"/>
      <c r="H872" s="107"/>
      <c r="I872" s="108"/>
      <c r="J872" s="108"/>
      <c r="K872" s="108"/>
      <c r="L872" s="108"/>
      <c r="M872" s="108"/>
      <c r="N872" s="108"/>
      <c r="O872" s="108"/>
      <c r="P872" s="3"/>
      <c r="Q872" s="3"/>
      <c r="R872" s="3"/>
      <c r="S872" s="3"/>
      <c r="T872" s="3"/>
    </row>
    <row r="873" spans="1:20" s="139" customFormat="1">
      <c r="A873" s="230"/>
      <c r="B873" s="101"/>
      <c r="C873" s="227"/>
      <c r="D873" s="228"/>
      <c r="E873" s="104"/>
      <c r="F873" s="230"/>
      <c r="G873" s="286"/>
      <c r="H873" s="107"/>
      <c r="I873" s="108"/>
      <c r="J873" s="108"/>
      <c r="K873" s="108"/>
      <c r="L873" s="108"/>
      <c r="M873" s="108"/>
      <c r="N873" s="108"/>
      <c r="O873" s="108"/>
      <c r="P873" s="3"/>
      <c r="Q873" s="3"/>
      <c r="R873" s="3"/>
      <c r="S873" s="3"/>
      <c r="T873" s="3"/>
    </row>
    <row r="874" spans="1:20" s="139" customFormat="1">
      <c r="A874" s="230"/>
      <c r="B874" s="101"/>
      <c r="C874" s="227"/>
      <c r="D874" s="228"/>
      <c r="E874" s="104"/>
      <c r="F874" s="230"/>
      <c r="G874" s="286"/>
      <c r="H874" s="107"/>
      <c r="I874" s="108"/>
      <c r="J874" s="108"/>
      <c r="K874" s="108"/>
      <c r="L874" s="108"/>
      <c r="M874" s="108"/>
      <c r="N874" s="108"/>
      <c r="O874" s="108"/>
      <c r="P874" s="3"/>
      <c r="Q874" s="3"/>
      <c r="R874" s="3"/>
      <c r="S874" s="3"/>
      <c r="T874" s="3"/>
    </row>
    <row r="875" spans="1:20" s="139" customFormat="1">
      <c r="A875" s="230"/>
      <c r="B875" s="101"/>
      <c r="C875" s="227"/>
      <c r="D875" s="228"/>
      <c r="E875" s="104"/>
      <c r="F875" s="230"/>
      <c r="G875" s="286"/>
      <c r="H875" s="107"/>
      <c r="I875" s="108"/>
      <c r="J875" s="108"/>
      <c r="K875" s="108"/>
      <c r="L875" s="108"/>
      <c r="M875" s="108"/>
      <c r="N875" s="108"/>
      <c r="O875" s="108"/>
      <c r="P875" s="3"/>
      <c r="Q875" s="3"/>
      <c r="R875" s="3"/>
      <c r="S875" s="3"/>
      <c r="T875" s="3"/>
    </row>
    <row r="876" spans="1:20" s="139" customFormat="1">
      <c r="A876" s="230"/>
      <c r="B876" s="101"/>
      <c r="C876" s="227"/>
      <c r="D876" s="228"/>
      <c r="E876" s="104"/>
      <c r="F876" s="230"/>
      <c r="G876" s="286"/>
      <c r="H876" s="107"/>
      <c r="I876" s="108"/>
      <c r="J876" s="108"/>
      <c r="K876" s="108"/>
      <c r="L876" s="108"/>
      <c r="M876" s="108"/>
      <c r="N876" s="108"/>
      <c r="O876" s="108"/>
      <c r="P876" s="3"/>
      <c r="Q876" s="3"/>
      <c r="R876" s="3"/>
      <c r="S876" s="3"/>
      <c r="T876" s="3"/>
    </row>
    <row r="877" spans="1:20" s="139" customFormat="1">
      <c r="A877" s="230"/>
      <c r="B877" s="101"/>
      <c r="C877" s="227"/>
      <c r="D877" s="228"/>
      <c r="E877" s="104"/>
      <c r="F877" s="230"/>
      <c r="G877" s="286"/>
      <c r="H877" s="107"/>
      <c r="I877" s="108"/>
      <c r="J877" s="108"/>
      <c r="K877" s="108"/>
      <c r="L877" s="108"/>
      <c r="M877" s="108"/>
      <c r="N877" s="108"/>
      <c r="O877" s="108"/>
      <c r="P877" s="3"/>
      <c r="Q877" s="3"/>
      <c r="R877" s="3"/>
      <c r="S877" s="3"/>
      <c r="T877" s="3"/>
    </row>
    <row r="878" spans="1:20" s="139" customFormat="1">
      <c r="A878" s="230"/>
      <c r="B878" s="101"/>
      <c r="C878" s="227"/>
      <c r="D878" s="228"/>
      <c r="E878" s="104"/>
      <c r="F878" s="230"/>
      <c r="G878" s="286"/>
      <c r="H878" s="107"/>
      <c r="I878" s="108"/>
      <c r="J878" s="108"/>
      <c r="K878" s="108"/>
      <c r="L878" s="108"/>
      <c r="M878" s="108"/>
      <c r="N878" s="108"/>
      <c r="O878" s="108"/>
      <c r="P878" s="3"/>
      <c r="Q878" s="3"/>
      <c r="R878" s="3"/>
      <c r="S878" s="3"/>
      <c r="T878" s="3"/>
    </row>
    <row r="879" spans="1:20" s="139" customFormat="1">
      <c r="A879" s="230"/>
      <c r="B879" s="101"/>
      <c r="C879" s="227"/>
      <c r="D879" s="228"/>
      <c r="E879" s="104"/>
      <c r="F879" s="230"/>
      <c r="G879" s="286"/>
      <c r="H879" s="107"/>
      <c r="I879" s="108"/>
      <c r="J879" s="108"/>
      <c r="K879" s="108"/>
      <c r="L879" s="108"/>
      <c r="M879" s="108"/>
      <c r="N879" s="108"/>
      <c r="O879" s="108"/>
      <c r="P879" s="3"/>
      <c r="Q879" s="3"/>
      <c r="R879" s="3"/>
      <c r="S879" s="3"/>
      <c r="T879" s="3"/>
    </row>
    <row r="880" spans="1:20" s="139" customFormat="1">
      <c r="A880" s="230"/>
      <c r="B880" s="101"/>
      <c r="C880" s="227"/>
      <c r="D880" s="228"/>
      <c r="E880" s="104"/>
      <c r="F880" s="230"/>
      <c r="G880" s="286"/>
      <c r="H880" s="107"/>
      <c r="I880" s="108"/>
      <c r="J880" s="108"/>
      <c r="K880" s="108"/>
      <c r="L880" s="108"/>
      <c r="M880" s="108"/>
      <c r="N880" s="108"/>
      <c r="O880" s="108"/>
      <c r="P880" s="3"/>
      <c r="Q880" s="3"/>
      <c r="R880" s="3"/>
      <c r="S880" s="3"/>
      <c r="T880" s="3"/>
    </row>
    <row r="881" spans="1:20" s="139" customFormat="1">
      <c r="A881" s="230"/>
      <c r="B881" s="101"/>
      <c r="C881" s="227"/>
      <c r="D881" s="228"/>
      <c r="E881" s="104"/>
      <c r="F881" s="230"/>
      <c r="G881" s="286"/>
      <c r="H881" s="107"/>
      <c r="I881" s="108"/>
      <c r="J881" s="108"/>
      <c r="K881" s="108"/>
      <c r="L881" s="108"/>
      <c r="M881" s="108"/>
      <c r="N881" s="108"/>
      <c r="O881" s="108"/>
      <c r="P881" s="3"/>
      <c r="Q881" s="3"/>
      <c r="R881" s="3"/>
      <c r="S881" s="3"/>
      <c r="T881" s="3"/>
    </row>
    <row r="882" spans="1:20" s="139" customFormat="1">
      <c r="A882" s="230"/>
      <c r="B882" s="101"/>
      <c r="C882" s="227"/>
      <c r="D882" s="228"/>
      <c r="E882" s="104"/>
      <c r="F882" s="230"/>
      <c r="G882" s="286"/>
      <c r="H882" s="107"/>
      <c r="I882" s="108"/>
      <c r="J882" s="108"/>
      <c r="K882" s="108"/>
      <c r="L882" s="108"/>
      <c r="M882" s="108"/>
      <c r="N882" s="108"/>
      <c r="O882" s="108"/>
      <c r="P882" s="3"/>
      <c r="Q882" s="3"/>
      <c r="R882" s="3"/>
      <c r="S882" s="3"/>
      <c r="T882" s="3"/>
    </row>
    <row r="883" spans="1:20" s="139" customFormat="1">
      <c r="A883" s="230"/>
      <c r="B883" s="101"/>
      <c r="C883" s="227"/>
      <c r="D883" s="228"/>
      <c r="E883" s="104"/>
      <c r="F883" s="230"/>
      <c r="G883" s="286"/>
      <c r="H883" s="107"/>
      <c r="I883" s="108"/>
      <c r="J883" s="108"/>
      <c r="K883" s="108"/>
      <c r="L883" s="108"/>
      <c r="M883" s="108"/>
      <c r="N883" s="108"/>
      <c r="O883" s="108"/>
      <c r="P883" s="3"/>
      <c r="Q883" s="3"/>
      <c r="R883" s="3"/>
      <c r="S883" s="3"/>
      <c r="T883" s="3"/>
    </row>
    <row r="884" spans="1:20" s="139" customFormat="1">
      <c r="A884" s="230"/>
      <c r="B884" s="101"/>
      <c r="C884" s="227"/>
      <c r="D884" s="228"/>
      <c r="E884" s="104"/>
      <c r="F884" s="230"/>
      <c r="G884" s="286"/>
      <c r="H884" s="107"/>
      <c r="I884" s="108"/>
      <c r="J884" s="108"/>
      <c r="K884" s="108"/>
      <c r="L884" s="108"/>
      <c r="M884" s="108"/>
      <c r="N884" s="108"/>
      <c r="O884" s="108"/>
      <c r="P884" s="3"/>
      <c r="Q884" s="3"/>
      <c r="R884" s="3"/>
      <c r="S884" s="3"/>
      <c r="T884" s="3"/>
    </row>
    <row r="885" spans="1:20" s="139" customFormat="1">
      <c r="A885" s="230"/>
      <c r="B885" s="101"/>
      <c r="C885" s="227"/>
      <c r="D885" s="228"/>
      <c r="E885" s="104"/>
      <c r="F885" s="230"/>
      <c r="G885" s="286"/>
      <c r="H885" s="107"/>
      <c r="I885" s="108"/>
      <c r="J885" s="108"/>
      <c r="K885" s="108"/>
      <c r="L885" s="108"/>
      <c r="M885" s="108"/>
      <c r="N885" s="108"/>
      <c r="O885" s="108"/>
      <c r="P885" s="3"/>
      <c r="Q885" s="3"/>
      <c r="R885" s="3"/>
      <c r="S885" s="3"/>
      <c r="T885" s="3"/>
    </row>
    <row r="886" spans="1:20" s="139" customFormat="1">
      <c r="A886" s="230"/>
      <c r="B886" s="101"/>
      <c r="C886" s="227"/>
      <c r="D886" s="228"/>
      <c r="E886" s="104"/>
      <c r="F886" s="230"/>
      <c r="G886" s="286"/>
      <c r="H886" s="107"/>
      <c r="I886" s="108"/>
      <c r="J886" s="108"/>
      <c r="K886" s="108"/>
      <c r="L886" s="108"/>
      <c r="M886" s="108"/>
      <c r="N886" s="108"/>
      <c r="O886" s="108"/>
      <c r="P886" s="3"/>
      <c r="Q886" s="3"/>
      <c r="R886" s="3"/>
      <c r="S886" s="3"/>
      <c r="T886" s="3"/>
    </row>
    <row r="887" spans="1:20" s="139" customFormat="1">
      <c r="A887" s="230"/>
      <c r="B887" s="101"/>
      <c r="C887" s="227"/>
      <c r="D887" s="228"/>
      <c r="E887" s="104"/>
      <c r="F887" s="230"/>
      <c r="G887" s="286"/>
      <c r="H887" s="107"/>
      <c r="I887" s="108"/>
      <c r="J887" s="108"/>
      <c r="K887" s="108"/>
      <c r="L887" s="108"/>
      <c r="M887" s="108"/>
      <c r="N887" s="108"/>
      <c r="O887" s="108"/>
      <c r="P887" s="3"/>
      <c r="Q887" s="3"/>
      <c r="R887" s="3"/>
      <c r="S887" s="3"/>
      <c r="T887" s="3"/>
    </row>
    <row r="888" spans="1:20" s="139" customFormat="1">
      <c r="A888" s="230"/>
      <c r="B888" s="101"/>
      <c r="C888" s="227"/>
      <c r="D888" s="228"/>
      <c r="E888" s="104"/>
      <c r="F888" s="230"/>
      <c r="G888" s="286"/>
      <c r="H888" s="107"/>
      <c r="I888" s="108"/>
      <c r="J888" s="108"/>
      <c r="K888" s="108"/>
      <c r="L888" s="108"/>
      <c r="M888" s="108"/>
      <c r="N888" s="108"/>
      <c r="O888" s="108"/>
      <c r="P888" s="3"/>
      <c r="Q888" s="3"/>
      <c r="R888" s="3"/>
      <c r="S888" s="3"/>
      <c r="T888" s="3"/>
    </row>
    <row r="889" spans="1:20" s="139" customFormat="1">
      <c r="A889" s="230"/>
      <c r="B889" s="101"/>
      <c r="C889" s="227"/>
      <c r="D889" s="228"/>
      <c r="E889" s="104"/>
      <c r="F889" s="230"/>
      <c r="G889" s="286"/>
      <c r="H889" s="107"/>
      <c r="I889" s="108"/>
      <c r="J889" s="108"/>
      <c r="K889" s="108"/>
      <c r="L889" s="108"/>
      <c r="M889" s="108"/>
      <c r="N889" s="108"/>
      <c r="O889" s="108"/>
      <c r="P889" s="3"/>
      <c r="Q889" s="3"/>
      <c r="R889" s="3"/>
      <c r="S889" s="3"/>
      <c r="T889" s="3"/>
    </row>
    <row r="890" spans="1:20" s="139" customFormat="1">
      <c r="A890" s="230"/>
      <c r="B890" s="101"/>
      <c r="C890" s="227"/>
      <c r="D890" s="228"/>
      <c r="E890" s="104"/>
      <c r="F890" s="230"/>
      <c r="G890" s="286"/>
      <c r="H890" s="107"/>
      <c r="I890" s="108"/>
      <c r="J890" s="108"/>
      <c r="K890" s="108"/>
      <c r="L890" s="108"/>
      <c r="M890" s="108"/>
      <c r="N890" s="108"/>
      <c r="O890" s="108"/>
      <c r="P890" s="3"/>
      <c r="Q890" s="3"/>
      <c r="R890" s="3"/>
      <c r="S890" s="3"/>
      <c r="T890" s="3"/>
    </row>
    <row r="891" spans="1:20" s="139" customFormat="1">
      <c r="A891" s="230"/>
      <c r="B891" s="101"/>
      <c r="C891" s="227"/>
      <c r="D891" s="228"/>
      <c r="E891" s="104"/>
      <c r="F891" s="230"/>
      <c r="G891" s="286"/>
      <c r="H891" s="107"/>
      <c r="I891" s="108"/>
      <c r="J891" s="108"/>
      <c r="K891" s="108"/>
      <c r="L891" s="108"/>
      <c r="M891" s="108"/>
      <c r="N891" s="108"/>
      <c r="O891" s="108"/>
      <c r="P891" s="3"/>
      <c r="Q891" s="3"/>
      <c r="R891" s="3"/>
      <c r="S891" s="3"/>
      <c r="T891" s="3"/>
    </row>
    <row r="892" spans="1:20" s="139" customFormat="1">
      <c r="A892" s="230"/>
      <c r="B892" s="101"/>
      <c r="C892" s="227"/>
      <c r="D892" s="228"/>
      <c r="E892" s="104"/>
      <c r="F892" s="230"/>
      <c r="G892" s="286"/>
      <c r="H892" s="107"/>
      <c r="I892" s="108"/>
      <c r="J892" s="108"/>
      <c r="K892" s="108"/>
      <c r="L892" s="108"/>
      <c r="M892" s="108"/>
      <c r="N892" s="108"/>
      <c r="O892" s="108"/>
      <c r="P892" s="3"/>
      <c r="Q892" s="3"/>
      <c r="R892" s="3"/>
      <c r="S892" s="3"/>
      <c r="T892" s="3"/>
    </row>
    <row r="893" spans="1:20" s="139" customFormat="1">
      <c r="A893" s="230"/>
      <c r="B893" s="101"/>
      <c r="C893" s="227"/>
      <c r="D893" s="228"/>
      <c r="E893" s="104"/>
      <c r="F893" s="230"/>
      <c r="G893" s="286"/>
      <c r="H893" s="107"/>
      <c r="I893" s="108"/>
      <c r="J893" s="108"/>
      <c r="K893" s="108"/>
      <c r="L893" s="108"/>
      <c r="M893" s="108"/>
      <c r="N893" s="108"/>
      <c r="O893" s="108"/>
      <c r="P893" s="3"/>
      <c r="Q893" s="3"/>
      <c r="R893" s="3"/>
      <c r="S893" s="3"/>
      <c r="T893" s="3"/>
    </row>
    <row r="894" spans="1:20" s="139" customFormat="1">
      <c r="A894" s="230"/>
      <c r="B894" s="101"/>
      <c r="C894" s="227"/>
      <c r="D894" s="228"/>
      <c r="E894" s="104"/>
      <c r="F894" s="230"/>
      <c r="G894" s="286"/>
      <c r="H894" s="107"/>
      <c r="I894" s="108"/>
      <c r="J894" s="108"/>
      <c r="K894" s="108"/>
      <c r="L894" s="108"/>
      <c r="M894" s="108"/>
      <c r="N894" s="108"/>
      <c r="O894" s="108"/>
      <c r="P894" s="3"/>
      <c r="Q894" s="3"/>
      <c r="R894" s="3"/>
      <c r="S894" s="3"/>
      <c r="T894" s="3"/>
    </row>
    <row r="895" spans="1:20" s="139" customFormat="1">
      <c r="A895" s="230"/>
      <c r="B895" s="101"/>
      <c r="C895" s="227"/>
      <c r="D895" s="228"/>
      <c r="E895" s="104"/>
      <c r="F895" s="230"/>
      <c r="G895" s="286"/>
      <c r="H895" s="107"/>
      <c r="I895" s="108"/>
      <c r="J895" s="108"/>
      <c r="K895" s="108"/>
      <c r="L895" s="108"/>
      <c r="M895" s="108"/>
      <c r="N895" s="108"/>
      <c r="O895" s="108"/>
      <c r="P895" s="3"/>
      <c r="Q895" s="3"/>
      <c r="R895" s="3"/>
      <c r="S895" s="3"/>
      <c r="T895" s="3"/>
    </row>
    <row r="896" spans="1:20" s="139" customFormat="1">
      <c r="A896" s="230"/>
      <c r="B896" s="101"/>
      <c r="C896" s="227"/>
      <c r="D896" s="228"/>
      <c r="E896" s="104"/>
      <c r="F896" s="230"/>
      <c r="G896" s="286"/>
      <c r="H896" s="107"/>
      <c r="I896" s="108"/>
      <c r="J896" s="108"/>
      <c r="K896" s="108"/>
      <c r="L896" s="108"/>
      <c r="M896" s="108"/>
      <c r="N896" s="108"/>
      <c r="O896" s="108"/>
      <c r="P896" s="3"/>
      <c r="Q896" s="3"/>
      <c r="R896" s="3"/>
      <c r="S896" s="3"/>
      <c r="T896" s="3"/>
    </row>
    <row r="897" spans="1:20" s="139" customFormat="1">
      <c r="A897" s="230"/>
      <c r="B897" s="101"/>
      <c r="C897" s="227"/>
      <c r="D897" s="228"/>
      <c r="E897" s="104"/>
      <c r="F897" s="230"/>
      <c r="G897" s="286"/>
      <c r="H897" s="107"/>
      <c r="I897" s="108"/>
      <c r="J897" s="108"/>
      <c r="K897" s="108"/>
      <c r="L897" s="108"/>
      <c r="M897" s="108"/>
      <c r="N897" s="108"/>
      <c r="O897" s="108"/>
      <c r="P897" s="3"/>
      <c r="Q897" s="3"/>
      <c r="R897" s="3"/>
      <c r="S897" s="3"/>
      <c r="T897" s="3"/>
    </row>
    <row r="898" spans="1:20" s="139" customFormat="1">
      <c r="A898" s="230"/>
      <c r="B898" s="101"/>
      <c r="C898" s="227"/>
      <c r="D898" s="228"/>
      <c r="E898" s="104"/>
      <c r="F898" s="230"/>
      <c r="G898" s="286"/>
      <c r="H898" s="107"/>
      <c r="I898" s="108"/>
      <c r="J898" s="108"/>
      <c r="K898" s="108"/>
      <c r="L898" s="108"/>
      <c r="M898" s="108"/>
      <c r="N898" s="108"/>
      <c r="O898" s="108"/>
      <c r="P898" s="3"/>
      <c r="Q898" s="3"/>
      <c r="R898" s="3"/>
      <c r="S898" s="3"/>
      <c r="T898" s="3"/>
    </row>
    <row r="899" spans="1:20" s="139" customFormat="1">
      <c r="A899" s="230"/>
      <c r="B899" s="101"/>
      <c r="C899" s="227"/>
      <c r="D899" s="228"/>
      <c r="E899" s="104"/>
      <c r="F899" s="230"/>
      <c r="G899" s="286"/>
      <c r="H899" s="107"/>
      <c r="I899" s="108"/>
      <c r="J899" s="108"/>
      <c r="K899" s="108"/>
      <c r="L899" s="108"/>
      <c r="M899" s="108"/>
      <c r="N899" s="108"/>
      <c r="O899" s="108"/>
      <c r="P899" s="3"/>
      <c r="Q899" s="3"/>
      <c r="R899" s="3"/>
      <c r="S899" s="3"/>
      <c r="T899" s="3"/>
    </row>
    <row r="900" spans="1:20" s="139" customFormat="1">
      <c r="A900" s="230"/>
      <c r="B900" s="101"/>
      <c r="C900" s="227"/>
      <c r="D900" s="228"/>
      <c r="E900" s="104"/>
      <c r="F900" s="230"/>
      <c r="G900" s="286"/>
      <c r="H900" s="107"/>
      <c r="I900" s="108"/>
      <c r="J900" s="108"/>
      <c r="K900" s="108"/>
      <c r="L900" s="108"/>
      <c r="M900" s="108"/>
      <c r="N900" s="108"/>
      <c r="O900" s="108"/>
      <c r="P900" s="3"/>
      <c r="Q900" s="3"/>
      <c r="R900" s="3"/>
      <c r="S900" s="3"/>
      <c r="T900" s="3"/>
    </row>
    <row r="901" spans="1:20" s="139" customFormat="1">
      <c r="A901" s="230"/>
      <c r="B901" s="101"/>
      <c r="C901" s="227"/>
      <c r="D901" s="228"/>
      <c r="E901" s="104"/>
      <c r="F901" s="230"/>
      <c r="G901" s="286"/>
      <c r="H901" s="107"/>
      <c r="I901" s="108"/>
      <c r="J901" s="108"/>
      <c r="K901" s="108"/>
      <c r="L901" s="108"/>
      <c r="M901" s="108"/>
      <c r="N901" s="108"/>
      <c r="O901" s="108"/>
      <c r="P901" s="3"/>
      <c r="Q901" s="3"/>
      <c r="R901" s="3"/>
      <c r="S901" s="3"/>
      <c r="T901" s="3"/>
    </row>
    <row r="902" spans="1:20" s="139" customFormat="1">
      <c r="A902" s="230"/>
      <c r="B902" s="101"/>
      <c r="C902" s="227"/>
      <c r="D902" s="228"/>
      <c r="E902" s="104"/>
      <c r="F902" s="230"/>
      <c r="G902" s="286"/>
      <c r="H902" s="107"/>
      <c r="I902" s="108"/>
      <c r="J902" s="108"/>
      <c r="K902" s="108"/>
      <c r="L902" s="108"/>
      <c r="M902" s="108"/>
      <c r="N902" s="108"/>
      <c r="O902" s="108"/>
      <c r="P902" s="3"/>
      <c r="Q902" s="3"/>
      <c r="R902" s="3"/>
      <c r="S902" s="3"/>
      <c r="T902" s="3"/>
    </row>
    <row r="903" spans="1:20" s="139" customFormat="1">
      <c r="A903" s="230"/>
      <c r="B903" s="101"/>
      <c r="C903" s="227"/>
      <c r="D903" s="228"/>
      <c r="E903" s="104"/>
      <c r="F903" s="230"/>
      <c r="G903" s="286"/>
      <c r="H903" s="107"/>
      <c r="I903" s="108"/>
      <c r="J903" s="108"/>
      <c r="K903" s="108"/>
      <c r="L903" s="108"/>
      <c r="M903" s="108"/>
      <c r="N903" s="108"/>
      <c r="O903" s="108"/>
      <c r="P903" s="3"/>
      <c r="Q903" s="3"/>
      <c r="R903" s="3"/>
      <c r="S903" s="3"/>
      <c r="T903" s="3"/>
    </row>
    <row r="904" spans="1:20" s="139" customFormat="1">
      <c r="A904" s="230"/>
      <c r="B904" s="101"/>
      <c r="C904" s="227"/>
      <c r="D904" s="228"/>
      <c r="E904" s="104"/>
      <c r="F904" s="230"/>
      <c r="G904" s="286"/>
      <c r="H904" s="107"/>
      <c r="I904" s="108"/>
      <c r="J904" s="108"/>
      <c r="K904" s="108"/>
      <c r="L904" s="108"/>
      <c r="M904" s="108"/>
      <c r="N904" s="108"/>
      <c r="O904" s="108"/>
      <c r="P904" s="3"/>
      <c r="Q904" s="3"/>
      <c r="R904" s="3"/>
      <c r="S904" s="3"/>
      <c r="T904" s="3"/>
    </row>
    <row r="905" spans="1:20" s="139" customFormat="1">
      <c r="A905" s="230"/>
      <c r="B905" s="101"/>
      <c r="C905" s="227"/>
      <c r="D905" s="228"/>
      <c r="E905" s="104"/>
      <c r="F905" s="230"/>
      <c r="G905" s="286"/>
      <c r="H905" s="107"/>
      <c r="I905" s="108"/>
      <c r="J905" s="108"/>
      <c r="K905" s="108"/>
      <c r="L905" s="108"/>
      <c r="M905" s="108"/>
      <c r="N905" s="108"/>
      <c r="O905" s="108"/>
      <c r="P905" s="3"/>
      <c r="Q905" s="3"/>
      <c r="R905" s="3"/>
      <c r="S905" s="3"/>
      <c r="T905" s="3"/>
    </row>
    <row r="906" spans="1:20" s="139" customFormat="1">
      <c r="A906" s="230"/>
      <c r="B906" s="101"/>
      <c r="C906" s="227"/>
      <c r="D906" s="228"/>
      <c r="E906" s="104"/>
      <c r="F906" s="230"/>
      <c r="G906" s="286"/>
      <c r="H906" s="107"/>
      <c r="I906" s="108"/>
      <c r="J906" s="108"/>
      <c r="K906" s="108"/>
      <c r="L906" s="108"/>
      <c r="M906" s="108"/>
      <c r="N906" s="108"/>
      <c r="O906" s="108"/>
      <c r="P906" s="3"/>
      <c r="Q906" s="3"/>
      <c r="R906" s="3"/>
      <c r="S906" s="3"/>
      <c r="T906" s="3"/>
    </row>
    <row r="907" spans="1:20" s="139" customFormat="1">
      <c r="A907" s="230"/>
      <c r="B907" s="101"/>
      <c r="C907" s="227"/>
      <c r="D907" s="228"/>
      <c r="E907" s="104"/>
      <c r="F907" s="230"/>
      <c r="G907" s="286"/>
      <c r="H907" s="107"/>
      <c r="I907" s="108"/>
      <c r="J907" s="108"/>
      <c r="K907" s="108"/>
      <c r="L907" s="108"/>
      <c r="M907" s="108"/>
      <c r="N907" s="108"/>
      <c r="O907" s="108"/>
      <c r="P907" s="3"/>
      <c r="Q907" s="3"/>
      <c r="R907" s="3"/>
      <c r="S907" s="3"/>
      <c r="T907" s="3"/>
    </row>
    <row r="908" spans="1:20" s="139" customFormat="1">
      <c r="A908" s="230"/>
      <c r="B908" s="101"/>
      <c r="C908" s="227"/>
      <c r="D908" s="228"/>
      <c r="E908" s="104"/>
      <c r="F908" s="230"/>
      <c r="G908" s="286"/>
      <c r="H908" s="107"/>
      <c r="I908" s="108"/>
      <c r="J908" s="108"/>
      <c r="K908" s="108"/>
      <c r="L908" s="108"/>
      <c r="M908" s="108"/>
      <c r="N908" s="108"/>
      <c r="O908" s="108"/>
      <c r="P908" s="3"/>
      <c r="Q908" s="3"/>
      <c r="R908" s="3"/>
      <c r="S908" s="3"/>
      <c r="T908" s="3"/>
    </row>
    <row r="909" spans="1:20" s="139" customFormat="1">
      <c r="A909" s="230"/>
      <c r="B909" s="101"/>
      <c r="C909" s="227"/>
      <c r="D909" s="228"/>
      <c r="E909" s="104"/>
      <c r="F909" s="230"/>
      <c r="G909" s="286"/>
      <c r="H909" s="107"/>
      <c r="I909" s="108"/>
      <c r="J909" s="108"/>
      <c r="K909" s="108"/>
      <c r="L909" s="108"/>
      <c r="M909" s="108"/>
      <c r="N909" s="108"/>
      <c r="O909" s="108"/>
      <c r="P909" s="3"/>
      <c r="Q909" s="3"/>
      <c r="R909" s="3"/>
      <c r="S909" s="3"/>
      <c r="T909" s="3"/>
    </row>
    <row r="910" spans="1:20" s="139" customFormat="1">
      <c r="A910" s="230"/>
      <c r="B910" s="101"/>
      <c r="C910" s="227"/>
      <c r="D910" s="228"/>
      <c r="E910" s="104"/>
      <c r="F910" s="230"/>
      <c r="G910" s="286"/>
      <c r="H910" s="107"/>
      <c r="I910" s="108"/>
      <c r="J910" s="108"/>
      <c r="K910" s="108"/>
      <c r="L910" s="108"/>
      <c r="M910" s="108"/>
      <c r="N910" s="108"/>
      <c r="O910" s="108"/>
      <c r="P910" s="3"/>
      <c r="Q910" s="3"/>
      <c r="R910" s="3"/>
      <c r="S910" s="3"/>
      <c r="T910" s="3"/>
    </row>
    <row r="911" spans="1:20" s="139" customFormat="1">
      <c r="A911" s="230"/>
      <c r="B911" s="101"/>
      <c r="C911" s="227"/>
      <c r="D911" s="228"/>
      <c r="E911" s="104"/>
      <c r="F911" s="230"/>
      <c r="G911" s="286"/>
      <c r="H911" s="107"/>
      <c r="I911" s="108"/>
      <c r="J911" s="108"/>
      <c r="K911" s="108"/>
      <c r="L911" s="108"/>
      <c r="M911" s="108"/>
      <c r="N911" s="108"/>
      <c r="O911" s="108"/>
      <c r="P911" s="3"/>
      <c r="Q911" s="3"/>
      <c r="R911" s="3"/>
      <c r="S911" s="3"/>
      <c r="T911" s="3"/>
    </row>
    <row r="912" spans="1:20" s="139" customFormat="1">
      <c r="A912" s="230"/>
      <c r="B912" s="101"/>
      <c r="C912" s="227"/>
      <c r="D912" s="228"/>
      <c r="E912" s="104"/>
      <c r="F912" s="230"/>
      <c r="G912" s="286"/>
      <c r="H912" s="107"/>
      <c r="I912" s="108"/>
      <c r="J912" s="108"/>
      <c r="K912" s="108"/>
      <c r="L912" s="108"/>
      <c r="M912" s="108"/>
      <c r="N912" s="108"/>
      <c r="O912" s="108"/>
      <c r="P912" s="3"/>
      <c r="Q912" s="3"/>
      <c r="R912" s="3"/>
      <c r="S912" s="3"/>
      <c r="T912" s="3"/>
    </row>
    <row r="913" spans="1:20" s="139" customFormat="1">
      <c r="A913" s="230"/>
      <c r="B913" s="101"/>
      <c r="C913" s="227"/>
      <c r="D913" s="228"/>
      <c r="E913" s="104"/>
      <c r="F913" s="230"/>
      <c r="G913" s="286"/>
      <c r="H913" s="107"/>
      <c r="I913" s="108"/>
      <c r="J913" s="108"/>
      <c r="K913" s="108"/>
      <c r="L913" s="108"/>
      <c r="M913" s="108"/>
      <c r="N913" s="108"/>
      <c r="O913" s="108"/>
      <c r="P913" s="3"/>
      <c r="Q913" s="3"/>
      <c r="R913" s="3"/>
      <c r="S913" s="3"/>
      <c r="T913" s="3"/>
    </row>
    <row r="914" spans="1:20" s="139" customFormat="1">
      <c r="A914" s="230"/>
      <c r="B914" s="101"/>
      <c r="C914" s="227"/>
      <c r="D914" s="228"/>
      <c r="E914" s="104"/>
      <c r="F914" s="230"/>
      <c r="G914" s="286"/>
      <c r="H914" s="107"/>
      <c r="I914" s="108"/>
      <c r="J914" s="108"/>
      <c r="K914" s="108"/>
      <c r="L914" s="108"/>
      <c r="M914" s="108"/>
      <c r="N914" s="108"/>
      <c r="O914" s="108"/>
      <c r="P914" s="3"/>
      <c r="Q914" s="3"/>
      <c r="R914" s="3"/>
      <c r="S914" s="3"/>
      <c r="T914" s="3"/>
    </row>
    <row r="915" spans="1:20" s="139" customFormat="1">
      <c r="A915" s="230"/>
      <c r="B915" s="101"/>
      <c r="C915" s="227"/>
      <c r="D915" s="228"/>
      <c r="E915" s="104"/>
      <c r="F915" s="230"/>
      <c r="G915" s="286"/>
      <c r="H915" s="107"/>
      <c r="I915" s="108"/>
      <c r="J915" s="108"/>
      <c r="K915" s="108"/>
      <c r="L915" s="108"/>
      <c r="M915" s="108"/>
      <c r="N915" s="108"/>
      <c r="O915" s="108"/>
      <c r="P915" s="3"/>
      <c r="Q915" s="3"/>
      <c r="R915" s="3"/>
      <c r="S915" s="3"/>
      <c r="T915" s="3"/>
    </row>
    <row r="916" spans="1:20" s="139" customFormat="1">
      <c r="A916" s="230"/>
      <c r="B916" s="101"/>
      <c r="C916" s="227"/>
      <c r="D916" s="228"/>
      <c r="E916" s="104"/>
      <c r="F916" s="230"/>
      <c r="G916" s="286"/>
      <c r="H916" s="107"/>
      <c r="I916" s="108"/>
      <c r="J916" s="108"/>
      <c r="K916" s="108"/>
      <c r="L916" s="108"/>
      <c r="M916" s="108"/>
      <c r="N916" s="108"/>
      <c r="O916" s="108"/>
      <c r="P916" s="3"/>
      <c r="Q916" s="3"/>
      <c r="R916" s="3"/>
      <c r="S916" s="3"/>
      <c r="T916" s="3"/>
    </row>
    <row r="917" spans="1:20" s="139" customFormat="1">
      <c r="A917" s="230"/>
      <c r="B917" s="101"/>
      <c r="C917" s="227"/>
      <c r="D917" s="228"/>
      <c r="E917" s="104"/>
      <c r="F917" s="230"/>
      <c r="G917" s="286"/>
      <c r="H917" s="107"/>
      <c r="I917" s="108"/>
      <c r="J917" s="108"/>
      <c r="K917" s="108"/>
      <c r="L917" s="108"/>
      <c r="M917" s="108"/>
      <c r="N917" s="108"/>
      <c r="O917" s="108"/>
      <c r="P917" s="3"/>
      <c r="Q917" s="3"/>
      <c r="R917" s="3"/>
      <c r="S917" s="3"/>
      <c r="T917" s="3"/>
    </row>
    <row r="918" spans="1:20" s="139" customFormat="1">
      <c r="A918" s="230"/>
      <c r="B918" s="101"/>
      <c r="C918" s="227"/>
      <c r="D918" s="228"/>
      <c r="E918" s="104"/>
      <c r="F918" s="230"/>
      <c r="G918" s="286"/>
      <c r="H918" s="107"/>
      <c r="I918" s="108"/>
      <c r="J918" s="108"/>
      <c r="K918" s="108"/>
      <c r="L918" s="108"/>
      <c r="M918" s="108"/>
      <c r="N918" s="108"/>
      <c r="O918" s="108"/>
      <c r="P918" s="3"/>
      <c r="Q918" s="3"/>
      <c r="R918" s="3"/>
      <c r="S918" s="3"/>
      <c r="T918" s="3"/>
    </row>
    <row r="919" spans="1:20" s="139" customFormat="1">
      <c r="A919" s="230"/>
      <c r="B919" s="101"/>
      <c r="C919" s="227"/>
      <c r="D919" s="228"/>
      <c r="E919" s="104"/>
      <c r="F919" s="230"/>
      <c r="G919" s="286"/>
      <c r="H919" s="107"/>
      <c r="I919" s="108"/>
      <c r="J919" s="108"/>
      <c r="K919" s="108"/>
      <c r="L919" s="108"/>
      <c r="M919" s="108"/>
      <c r="N919" s="108"/>
      <c r="O919" s="108"/>
      <c r="P919" s="3"/>
      <c r="Q919" s="3"/>
      <c r="R919" s="3"/>
      <c r="S919" s="3"/>
      <c r="T919" s="3"/>
    </row>
    <row r="920" spans="1:20" s="139" customFormat="1">
      <c r="A920" s="230"/>
      <c r="B920" s="101"/>
      <c r="C920" s="227"/>
      <c r="D920" s="228"/>
      <c r="E920" s="104"/>
      <c r="F920" s="230"/>
      <c r="G920" s="286"/>
      <c r="H920" s="107"/>
      <c r="I920" s="108"/>
      <c r="J920" s="108"/>
      <c r="K920" s="108"/>
      <c r="L920" s="108"/>
      <c r="M920" s="108"/>
      <c r="N920" s="108"/>
      <c r="O920" s="108"/>
      <c r="P920" s="3"/>
      <c r="Q920" s="3"/>
      <c r="R920" s="3"/>
      <c r="S920" s="3"/>
      <c r="T920" s="3"/>
    </row>
    <row r="921" spans="1:20" s="139" customFormat="1">
      <c r="A921" s="230"/>
      <c r="B921" s="101"/>
      <c r="C921" s="227"/>
      <c r="D921" s="228"/>
      <c r="E921" s="104"/>
      <c r="F921" s="230"/>
      <c r="G921" s="286"/>
      <c r="H921" s="107"/>
      <c r="I921" s="108"/>
      <c r="J921" s="108"/>
      <c r="K921" s="108"/>
      <c r="L921" s="108"/>
      <c r="M921" s="108"/>
      <c r="N921" s="108"/>
      <c r="O921" s="108"/>
      <c r="P921" s="3"/>
      <c r="Q921" s="3"/>
      <c r="R921" s="3"/>
      <c r="S921" s="3"/>
      <c r="T921" s="3"/>
    </row>
    <row r="922" spans="1:20" s="139" customFormat="1">
      <c r="A922" s="230"/>
      <c r="B922" s="101"/>
      <c r="C922" s="227"/>
      <c r="D922" s="228"/>
      <c r="E922" s="104"/>
      <c r="F922" s="230"/>
      <c r="G922" s="286"/>
      <c r="H922" s="107"/>
      <c r="I922" s="108"/>
      <c r="J922" s="108"/>
      <c r="K922" s="108"/>
      <c r="L922" s="108"/>
      <c r="M922" s="108"/>
      <c r="N922" s="108"/>
      <c r="O922" s="108"/>
      <c r="P922" s="3"/>
      <c r="Q922" s="3"/>
      <c r="R922" s="3"/>
      <c r="S922" s="3"/>
      <c r="T922" s="3"/>
    </row>
    <row r="923" spans="1:20" s="139" customFormat="1">
      <c r="A923" s="230"/>
      <c r="B923" s="101"/>
      <c r="C923" s="227"/>
      <c r="D923" s="228"/>
      <c r="E923" s="104"/>
      <c r="F923" s="230"/>
      <c r="G923" s="286"/>
      <c r="H923" s="107"/>
      <c r="I923" s="108"/>
      <c r="J923" s="108"/>
      <c r="K923" s="108"/>
      <c r="L923" s="108"/>
      <c r="M923" s="108"/>
      <c r="N923" s="108"/>
      <c r="O923" s="108"/>
      <c r="P923" s="3"/>
      <c r="Q923" s="3"/>
      <c r="R923" s="3"/>
      <c r="S923" s="3"/>
      <c r="T923" s="3"/>
    </row>
    <row r="924" spans="1:20" s="139" customFormat="1">
      <c r="A924" s="230"/>
      <c r="B924" s="101"/>
      <c r="C924" s="227"/>
      <c r="D924" s="228"/>
      <c r="E924" s="104"/>
      <c r="F924" s="230"/>
      <c r="G924" s="286"/>
      <c r="H924" s="107"/>
      <c r="I924" s="108"/>
      <c r="J924" s="108"/>
      <c r="K924" s="108"/>
      <c r="L924" s="108"/>
      <c r="M924" s="108"/>
      <c r="N924" s="108"/>
      <c r="O924" s="108"/>
      <c r="P924" s="3"/>
      <c r="Q924" s="3"/>
      <c r="R924" s="3"/>
      <c r="S924" s="3"/>
      <c r="T924" s="3"/>
    </row>
    <row r="925" spans="1:20" s="139" customFormat="1">
      <c r="A925" s="230"/>
      <c r="B925" s="101"/>
      <c r="C925" s="227"/>
      <c r="D925" s="228"/>
      <c r="E925" s="104"/>
      <c r="F925" s="230"/>
      <c r="G925" s="286"/>
      <c r="H925" s="107"/>
      <c r="I925" s="108"/>
      <c r="J925" s="108"/>
      <c r="K925" s="108"/>
      <c r="L925" s="108"/>
      <c r="M925" s="108"/>
      <c r="N925" s="108"/>
      <c r="O925" s="108"/>
      <c r="P925" s="3"/>
      <c r="Q925" s="3"/>
      <c r="R925" s="3"/>
      <c r="S925" s="3"/>
      <c r="T925" s="3"/>
    </row>
    <row r="926" spans="1:20" s="139" customFormat="1">
      <c r="A926" s="230"/>
      <c r="B926" s="101"/>
      <c r="C926" s="227"/>
      <c r="D926" s="228"/>
      <c r="E926" s="104"/>
      <c r="F926" s="230"/>
      <c r="G926" s="286"/>
      <c r="H926" s="107"/>
      <c r="I926" s="108"/>
      <c r="J926" s="108"/>
      <c r="K926" s="108"/>
      <c r="L926" s="108"/>
      <c r="M926" s="108"/>
      <c r="N926" s="108"/>
      <c r="O926" s="108"/>
      <c r="P926" s="3"/>
      <c r="Q926" s="3"/>
      <c r="R926" s="3"/>
      <c r="S926" s="3"/>
      <c r="T926" s="3"/>
    </row>
    <row r="927" spans="1:20" s="139" customFormat="1">
      <c r="A927" s="230"/>
      <c r="B927" s="101"/>
      <c r="C927" s="227"/>
      <c r="D927" s="228"/>
      <c r="E927" s="104"/>
      <c r="F927" s="230"/>
      <c r="G927" s="286"/>
      <c r="H927" s="107"/>
      <c r="I927" s="108"/>
      <c r="J927" s="108"/>
      <c r="K927" s="108"/>
      <c r="L927" s="108"/>
      <c r="M927" s="108"/>
      <c r="N927" s="108"/>
      <c r="O927" s="108"/>
      <c r="P927" s="3"/>
      <c r="Q927" s="3"/>
      <c r="R927" s="3"/>
      <c r="S927" s="3"/>
      <c r="T927" s="3"/>
    </row>
    <row r="928" spans="1:20" s="139" customFormat="1">
      <c r="A928" s="230"/>
      <c r="B928" s="101"/>
      <c r="C928" s="227"/>
      <c r="D928" s="228"/>
      <c r="E928" s="104"/>
      <c r="F928" s="230"/>
      <c r="G928" s="286"/>
      <c r="H928" s="107"/>
      <c r="I928" s="108"/>
      <c r="J928" s="108"/>
      <c r="K928" s="108"/>
      <c r="L928" s="108"/>
      <c r="M928" s="108"/>
      <c r="N928" s="108"/>
      <c r="O928" s="108"/>
      <c r="P928" s="3"/>
      <c r="Q928" s="3"/>
      <c r="R928" s="3"/>
      <c r="S928" s="3"/>
      <c r="T928" s="3"/>
    </row>
    <row r="929" spans="1:20" s="139" customFormat="1">
      <c r="A929" s="230"/>
      <c r="B929" s="101"/>
      <c r="C929" s="227"/>
      <c r="D929" s="228"/>
      <c r="E929" s="104"/>
      <c r="F929" s="230"/>
      <c r="G929" s="286"/>
      <c r="H929" s="107"/>
      <c r="I929" s="108"/>
      <c r="J929" s="108"/>
      <c r="K929" s="108"/>
      <c r="L929" s="108"/>
      <c r="M929" s="108"/>
      <c r="N929" s="108"/>
      <c r="O929" s="108"/>
      <c r="P929" s="3"/>
      <c r="Q929" s="3"/>
      <c r="R929" s="3"/>
      <c r="S929" s="3"/>
      <c r="T929" s="3"/>
    </row>
    <row r="930" spans="1:20" s="139" customFormat="1">
      <c r="A930" s="230"/>
      <c r="B930" s="101"/>
      <c r="C930" s="227"/>
      <c r="D930" s="228"/>
      <c r="E930" s="104"/>
      <c r="F930" s="230"/>
      <c r="G930" s="286"/>
      <c r="H930" s="107"/>
      <c r="I930" s="108"/>
      <c r="J930" s="108"/>
      <c r="K930" s="108"/>
      <c r="L930" s="108"/>
      <c r="M930" s="108"/>
      <c r="N930" s="108"/>
      <c r="O930" s="108"/>
      <c r="P930" s="3"/>
      <c r="Q930" s="3"/>
      <c r="R930" s="3"/>
      <c r="S930" s="3"/>
      <c r="T930" s="3"/>
    </row>
    <row r="931" spans="1:20" s="139" customFormat="1">
      <c r="A931" s="230"/>
      <c r="B931" s="101"/>
      <c r="C931" s="227"/>
      <c r="D931" s="228"/>
      <c r="E931" s="104"/>
      <c r="F931" s="230"/>
      <c r="G931" s="286"/>
      <c r="H931" s="107"/>
      <c r="I931" s="108"/>
      <c r="J931" s="108"/>
      <c r="K931" s="108"/>
      <c r="L931" s="108"/>
      <c r="M931" s="108"/>
      <c r="N931" s="108"/>
      <c r="O931" s="108"/>
      <c r="P931" s="3"/>
      <c r="Q931" s="3"/>
      <c r="R931" s="3"/>
      <c r="S931" s="3"/>
      <c r="T931" s="3"/>
    </row>
    <row r="932" spans="1:20" s="139" customFormat="1">
      <c r="A932" s="230"/>
      <c r="B932" s="101"/>
      <c r="C932" s="227"/>
      <c r="D932" s="228"/>
      <c r="E932" s="104"/>
      <c r="F932" s="230"/>
      <c r="G932" s="286"/>
      <c r="H932" s="107"/>
      <c r="I932" s="108"/>
      <c r="J932" s="108"/>
      <c r="K932" s="108"/>
      <c r="L932" s="108"/>
      <c r="M932" s="108"/>
      <c r="N932" s="108"/>
      <c r="O932" s="108"/>
      <c r="P932" s="3"/>
      <c r="Q932" s="3"/>
      <c r="R932" s="3"/>
      <c r="S932" s="3"/>
      <c r="T932" s="3"/>
    </row>
    <row r="933" spans="1:20" s="139" customFormat="1">
      <c r="A933" s="230"/>
      <c r="B933" s="101"/>
      <c r="C933" s="227"/>
      <c r="D933" s="228"/>
      <c r="E933" s="104"/>
      <c r="F933" s="230"/>
      <c r="G933" s="286"/>
      <c r="H933" s="107"/>
      <c r="I933" s="108"/>
      <c r="J933" s="108"/>
      <c r="K933" s="108"/>
      <c r="L933" s="108"/>
      <c r="M933" s="108"/>
      <c r="N933" s="108"/>
      <c r="O933" s="108"/>
      <c r="P933" s="3"/>
      <c r="Q933" s="3"/>
      <c r="R933" s="3"/>
      <c r="S933" s="3"/>
      <c r="T933" s="3"/>
    </row>
    <row r="934" spans="1:20" s="139" customFormat="1">
      <c r="A934" s="230"/>
      <c r="B934" s="101"/>
      <c r="C934" s="227"/>
      <c r="D934" s="228"/>
      <c r="E934" s="104"/>
      <c r="F934" s="230"/>
      <c r="G934" s="286"/>
      <c r="H934" s="107"/>
      <c r="I934" s="108"/>
      <c r="J934" s="108"/>
      <c r="K934" s="108"/>
      <c r="L934" s="108"/>
      <c r="M934" s="108"/>
      <c r="N934" s="108"/>
      <c r="O934" s="108"/>
      <c r="P934" s="3"/>
      <c r="Q934" s="3"/>
      <c r="R934" s="3"/>
      <c r="S934" s="3"/>
      <c r="T934" s="3"/>
    </row>
    <row r="935" spans="1:20" s="139" customFormat="1">
      <c r="A935" s="230"/>
      <c r="B935" s="101"/>
      <c r="C935" s="227"/>
      <c r="D935" s="228"/>
      <c r="E935" s="104"/>
      <c r="F935" s="230"/>
      <c r="G935" s="286"/>
      <c r="H935" s="107"/>
      <c r="I935" s="108"/>
      <c r="J935" s="108"/>
      <c r="K935" s="108"/>
      <c r="L935" s="108"/>
      <c r="M935" s="108"/>
      <c r="N935" s="108"/>
      <c r="O935" s="108"/>
      <c r="P935" s="3"/>
      <c r="Q935" s="3"/>
      <c r="R935" s="3"/>
      <c r="S935" s="3"/>
      <c r="T935" s="3"/>
    </row>
    <row r="936" spans="1:20" s="139" customFormat="1">
      <c r="A936" s="230"/>
      <c r="B936" s="101"/>
      <c r="C936" s="227"/>
      <c r="D936" s="228"/>
      <c r="E936" s="104"/>
      <c r="F936" s="230"/>
      <c r="G936" s="286"/>
      <c r="H936" s="107"/>
      <c r="I936" s="108"/>
      <c r="J936" s="108"/>
      <c r="K936" s="108"/>
      <c r="L936" s="108"/>
      <c r="M936" s="108"/>
      <c r="N936" s="108"/>
      <c r="O936" s="108"/>
      <c r="P936" s="3"/>
      <c r="Q936" s="3"/>
      <c r="R936" s="3"/>
      <c r="S936" s="3"/>
      <c r="T936" s="3"/>
    </row>
    <row r="937" spans="1:20" s="139" customFormat="1">
      <c r="A937" s="230"/>
      <c r="B937" s="101"/>
      <c r="C937" s="227"/>
      <c r="D937" s="228"/>
      <c r="E937" s="104"/>
      <c r="F937" s="230"/>
      <c r="G937" s="286"/>
      <c r="H937" s="107"/>
      <c r="I937" s="108"/>
      <c r="J937" s="108"/>
      <c r="K937" s="108"/>
      <c r="L937" s="108"/>
      <c r="M937" s="108"/>
      <c r="N937" s="108"/>
      <c r="O937" s="108"/>
      <c r="P937" s="3"/>
      <c r="Q937" s="3"/>
      <c r="R937" s="3"/>
      <c r="S937" s="3"/>
      <c r="T937" s="3"/>
    </row>
    <row r="938" spans="1:20" s="139" customFormat="1">
      <c r="A938" s="230"/>
      <c r="B938" s="101"/>
      <c r="C938" s="227"/>
      <c r="D938" s="228"/>
      <c r="E938" s="104"/>
      <c r="F938" s="230"/>
      <c r="G938" s="286"/>
      <c r="H938" s="107"/>
      <c r="I938" s="108"/>
      <c r="J938" s="108"/>
      <c r="K938" s="108"/>
      <c r="L938" s="108"/>
      <c r="M938" s="108"/>
      <c r="N938" s="108"/>
      <c r="O938" s="108"/>
      <c r="P938" s="3"/>
      <c r="Q938" s="3"/>
      <c r="R938" s="3"/>
      <c r="S938" s="3"/>
      <c r="T938" s="3"/>
    </row>
    <row r="939" spans="1:20" s="139" customFormat="1">
      <c r="A939" s="230"/>
      <c r="B939" s="101"/>
      <c r="C939" s="227"/>
      <c r="D939" s="228"/>
      <c r="E939" s="104"/>
      <c r="F939" s="230"/>
      <c r="G939" s="286"/>
      <c r="H939" s="107"/>
      <c r="I939" s="108"/>
      <c r="J939" s="108"/>
      <c r="K939" s="108"/>
      <c r="L939" s="108"/>
      <c r="M939" s="108"/>
      <c r="N939" s="108"/>
      <c r="O939" s="108"/>
      <c r="P939" s="3"/>
      <c r="Q939" s="3"/>
      <c r="R939" s="3"/>
      <c r="S939" s="3"/>
      <c r="T939" s="3"/>
    </row>
    <row r="940" spans="1:20" s="139" customFormat="1">
      <c r="A940" s="230"/>
      <c r="B940" s="101"/>
      <c r="C940" s="227"/>
      <c r="D940" s="228"/>
      <c r="E940" s="104"/>
      <c r="F940" s="230"/>
      <c r="G940" s="286"/>
      <c r="H940" s="107"/>
      <c r="I940" s="108"/>
      <c r="J940" s="108"/>
      <c r="K940" s="108"/>
      <c r="L940" s="108"/>
      <c r="M940" s="108"/>
      <c r="N940" s="108"/>
      <c r="O940" s="108"/>
      <c r="P940" s="3"/>
      <c r="Q940" s="3"/>
      <c r="R940" s="3"/>
      <c r="S940" s="3"/>
      <c r="T940" s="3"/>
    </row>
    <row r="941" spans="1:20" s="139" customFormat="1">
      <c r="A941" s="230"/>
      <c r="B941" s="101"/>
      <c r="C941" s="227"/>
      <c r="D941" s="228"/>
      <c r="E941" s="104"/>
      <c r="F941" s="230"/>
      <c r="G941" s="286"/>
      <c r="H941" s="107"/>
      <c r="I941" s="108"/>
      <c r="J941" s="108"/>
      <c r="K941" s="108"/>
      <c r="L941" s="108"/>
      <c r="M941" s="108"/>
      <c r="N941" s="108"/>
      <c r="O941" s="108"/>
      <c r="P941" s="3"/>
    </row>
    <row r="942" spans="1:20" s="139" customFormat="1">
      <c r="A942" s="230"/>
      <c r="B942" s="101"/>
      <c r="C942" s="227"/>
      <c r="D942" s="228"/>
      <c r="E942" s="104"/>
      <c r="F942" s="230"/>
      <c r="G942" s="286"/>
      <c r="H942" s="107"/>
      <c r="I942" s="108"/>
      <c r="J942" s="108"/>
      <c r="K942" s="108"/>
      <c r="L942" s="108"/>
      <c r="M942" s="108"/>
      <c r="N942" s="108"/>
      <c r="O942" s="108"/>
      <c r="P942" s="3"/>
    </row>
    <row r="943" spans="1:20" s="139" customFormat="1">
      <c r="A943" s="230"/>
      <c r="B943" s="101"/>
      <c r="C943" s="227"/>
      <c r="D943" s="228"/>
      <c r="E943" s="104"/>
      <c r="F943" s="230"/>
      <c r="G943" s="286"/>
      <c r="H943" s="107"/>
      <c r="I943" s="108"/>
      <c r="J943" s="108"/>
      <c r="K943" s="108"/>
      <c r="L943" s="108"/>
      <c r="M943" s="108"/>
      <c r="N943" s="108"/>
      <c r="O943" s="108"/>
      <c r="P943" s="3"/>
    </row>
    <row r="944" spans="1:20" s="139" customFormat="1">
      <c r="A944" s="230"/>
      <c r="B944" s="101"/>
      <c r="C944" s="227"/>
      <c r="D944" s="228"/>
      <c r="E944" s="104"/>
      <c r="F944" s="233"/>
      <c r="G944" s="106"/>
      <c r="H944" s="107"/>
      <c r="I944" s="108"/>
      <c r="J944" s="108"/>
      <c r="K944" s="108"/>
      <c r="L944" s="108"/>
      <c r="M944" s="108"/>
      <c r="N944" s="108"/>
      <c r="O944" s="108"/>
      <c r="P944" s="3"/>
    </row>
  </sheetData>
  <mergeCells count="1">
    <mergeCell ref="A1:N1"/>
  </mergeCells>
  <phoneticPr fontId="3" type="noConversion"/>
  <pageMargins left="0.23622047244094491" right="0.23622047244094491" top="0.74803149606299213" bottom="0.35433070866141736" header="0.31496062992125984" footer="0.31496062992125984"/>
  <pageSetup paperSize="9" scale="66" fitToHeight="55" orientation="portrait" r:id="rId1"/>
  <headerFooter>
    <oddFooter xml:space="preserve">&amp;R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已命名的範圍</vt:lpstr>
      </vt:variant>
      <vt:variant>
        <vt:i4>4</vt:i4>
      </vt:variant>
    </vt:vector>
  </HeadingPairs>
  <TitlesOfParts>
    <vt:vector size="6" baseType="lpstr">
      <vt:lpstr>2018-01</vt:lpstr>
      <vt:lpstr>2017-12</vt:lpstr>
      <vt:lpstr>'2017-12'!Print_Area</vt:lpstr>
      <vt:lpstr>'2018-01'!Print_Area</vt:lpstr>
      <vt:lpstr>'2017-12'!Print_Titles</vt:lpstr>
      <vt:lpstr>'2018-01'!Print_Titles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</dc:creator>
  <cp:lastModifiedBy>dv-10</cp:lastModifiedBy>
  <cp:lastPrinted>2018-05-25T04:13:22Z</cp:lastPrinted>
  <dcterms:created xsi:type="dcterms:W3CDTF">2018-02-08T03:15:53Z</dcterms:created>
  <dcterms:modified xsi:type="dcterms:W3CDTF">2018-11-24T03:34:29Z</dcterms:modified>
</cp:coreProperties>
</file>