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785" yWindow="-15" windowWidth="10860" windowHeight="8910" tabRatio="773"/>
  </bookViews>
  <sheets>
    <sheet name="報表畫面" sheetId="37" r:id="rId1"/>
    <sheet name="業代產能" sheetId="35" r:id="rId2"/>
    <sheet name="課平均產能" sheetId="23" r:id="rId3"/>
    <sheet name="財盟" sheetId="34" r:id="rId4"/>
    <sheet name="非財盟" sheetId="20" r:id="rId5"/>
    <sheet name="地區銷售" sheetId="30" r:id="rId6"/>
    <sheet name="單月銷售" sheetId="31" r:id="rId7"/>
    <sheet name="累計銷售" sheetId="32" r:id="rId8"/>
    <sheet name="市場分析" sheetId="28" r:id="rId9"/>
  </sheets>
  <definedNames>
    <definedName name="_xlnm.Print_Area" localSheetId="8">市場分析!$A$1:$AW$21</definedName>
    <definedName name="_xlnm.Print_Area" localSheetId="5">地區銷售!$A$2:$P$20</definedName>
    <definedName name="_xlnm.Print_Area" localSheetId="4">非財盟!$A$1:$L$20</definedName>
    <definedName name="_xlnm.Print_Area" localSheetId="3">財盟!$A$1:$L$21</definedName>
    <definedName name="_xlnm.Print_Area" localSheetId="7">累計銷售!$A$1:$Y$22</definedName>
    <definedName name="_xlnm.Print_Area" localSheetId="6">單月銷售!$A$1:$Y$20</definedName>
    <definedName name="_xlnm.Print_Area" localSheetId="1">業代產能!$A$3:$R$55</definedName>
    <definedName name="_xlnm.Print_Area" localSheetId="2">課平均產能!$A$1:$O$29</definedName>
  </definedNames>
  <calcPr calcId="125725"/>
</workbook>
</file>

<file path=xl/calcChain.xml><?xml version="1.0" encoding="utf-8"?>
<calcChain xmlns="http://schemas.openxmlformats.org/spreadsheetml/2006/main">
  <c r="E7" i="32"/>
  <c r="O13" i="23"/>
  <c r="O9"/>
  <c r="O5"/>
  <c r="X22" i="32" l="1"/>
  <c r="W22"/>
  <c r="V22"/>
  <c r="U22"/>
  <c r="T22"/>
  <c r="S22"/>
  <c r="R22"/>
  <c r="Q22"/>
  <c r="P22"/>
  <c r="O22"/>
  <c r="N22"/>
  <c r="M22"/>
  <c r="L22"/>
  <c r="K22"/>
  <c r="J22"/>
  <c r="H22"/>
  <c r="G22"/>
  <c r="E22"/>
  <c r="D22"/>
  <c r="O8" i="23" l="1"/>
  <c r="M20" i="28"/>
  <c r="M21" s="1"/>
  <c r="L20"/>
  <c r="L21" s="1"/>
  <c r="L18"/>
  <c r="V20" i="32"/>
  <c r="S20"/>
  <c r="R20"/>
  <c r="Q20"/>
  <c r="P20"/>
  <c r="O20"/>
  <c r="N20"/>
  <c r="M20"/>
  <c r="L20"/>
  <c r="H20"/>
  <c r="G20"/>
  <c r="E20"/>
  <c r="V9"/>
  <c r="V7"/>
  <c r="S9"/>
  <c r="S7"/>
  <c r="R7"/>
  <c r="Q11"/>
  <c r="Q7"/>
  <c r="P11"/>
  <c r="P9"/>
  <c r="P7"/>
  <c r="O11"/>
  <c r="O9"/>
  <c r="O7"/>
  <c r="N11"/>
  <c r="N7"/>
  <c r="M11"/>
  <c r="M9"/>
  <c r="M7"/>
  <c r="L7"/>
  <c r="H7"/>
  <c r="G15"/>
  <c r="G9"/>
  <c r="G7"/>
  <c r="E11"/>
  <c r="E9"/>
  <c r="V18" i="31"/>
  <c r="S18"/>
  <c r="R18"/>
  <c r="Q18"/>
  <c r="P18"/>
  <c r="O18"/>
  <c r="N18"/>
  <c r="M18"/>
  <c r="L18"/>
  <c r="H18"/>
  <c r="G18"/>
  <c r="E18"/>
  <c r="O10" i="23"/>
  <c r="O17" i="35"/>
  <c r="O45"/>
  <c r="E44"/>
  <c r="P44"/>
  <c r="O43"/>
  <c r="Q43" s="1"/>
  <c r="O42"/>
  <c r="Q42" s="1"/>
  <c r="O41"/>
  <c r="P31"/>
  <c r="O30"/>
  <c r="Q30" s="1"/>
  <c r="O29"/>
  <c r="Q29" s="1"/>
  <c r="E31"/>
  <c r="H16" i="28" l="1"/>
  <c r="H18"/>
  <c r="I18"/>
  <c r="E16"/>
  <c r="D16"/>
  <c r="AW20"/>
  <c r="D21"/>
  <c r="C21"/>
  <c r="F19"/>
  <c r="W26" i="32"/>
  <c r="O11" i="23" l="1"/>
  <c r="O7"/>
  <c r="P18" i="35"/>
  <c r="C31"/>
  <c r="O4" i="23"/>
  <c r="O6" s="1"/>
  <c r="O21"/>
  <c r="O15"/>
  <c r="O50" i="35" l="1"/>
  <c r="O48"/>
  <c r="O47"/>
  <c r="O46"/>
  <c r="N44"/>
  <c r="M44"/>
  <c r="L44"/>
  <c r="K44"/>
  <c r="J44"/>
  <c r="I44"/>
  <c r="H44"/>
  <c r="G44"/>
  <c r="F44"/>
  <c r="D44"/>
  <c r="C44"/>
  <c r="Q41"/>
  <c r="O40"/>
  <c r="O39"/>
  <c r="O38"/>
  <c r="O37"/>
  <c r="O36"/>
  <c r="O35"/>
  <c r="O34"/>
  <c r="O33"/>
  <c r="O32"/>
  <c r="N31"/>
  <c r="M31"/>
  <c r="L31"/>
  <c r="K31"/>
  <c r="J31"/>
  <c r="I31"/>
  <c r="H31"/>
  <c r="G31"/>
  <c r="F31"/>
  <c r="D31"/>
  <c r="O28"/>
  <c r="O27"/>
  <c r="O26"/>
  <c r="O25"/>
  <c r="O24"/>
  <c r="O23"/>
  <c r="O22"/>
  <c r="O21"/>
  <c r="O20"/>
  <c r="O19"/>
  <c r="N18"/>
  <c r="M18"/>
  <c r="L18"/>
  <c r="K18"/>
  <c r="J18"/>
  <c r="I18"/>
  <c r="H18"/>
  <c r="G18"/>
  <c r="F18"/>
  <c r="E18"/>
  <c r="D18"/>
  <c r="C18"/>
  <c r="Q17"/>
  <c r="O16"/>
  <c r="O15"/>
  <c r="O14"/>
  <c r="O13"/>
  <c r="O12"/>
  <c r="O11"/>
  <c r="O10"/>
  <c r="Q9"/>
  <c r="O9"/>
  <c r="O8"/>
  <c r="O7"/>
  <c r="Q7" s="1"/>
  <c r="Y22" i="32"/>
  <c r="Y20"/>
  <c r="C30" s="1"/>
  <c r="Q13" i="35" l="1"/>
  <c r="Q22"/>
  <c r="Q26"/>
  <c r="Q35"/>
  <c r="Q39"/>
  <c r="Q12"/>
  <c r="Q16"/>
  <c r="Q21"/>
  <c r="Q25"/>
  <c r="Q34"/>
  <c r="Q38"/>
  <c r="Q8"/>
  <c r="Q11"/>
  <c r="Q15"/>
  <c r="Q20"/>
  <c r="Q24"/>
  <c r="Q28"/>
  <c r="Q33"/>
  <c r="Q37"/>
  <c r="Q10"/>
  <c r="Q14"/>
  <c r="O31"/>
  <c r="Q31" s="1"/>
  <c r="Q23"/>
  <c r="Q27"/>
  <c r="O44"/>
  <c r="Q44" s="1"/>
  <c r="Q36"/>
  <c r="Q40"/>
  <c r="F52"/>
  <c r="J52"/>
  <c r="N52"/>
  <c r="H52"/>
  <c r="L52"/>
  <c r="E52"/>
  <c r="I52"/>
  <c r="M52"/>
  <c r="C52"/>
  <c r="K52"/>
  <c r="G52"/>
  <c r="D52"/>
  <c r="O18"/>
  <c r="Q18" s="1"/>
  <c r="Q19"/>
  <c r="Q32"/>
  <c r="E21" i="28"/>
  <c r="B21"/>
  <c r="X20" i="32"/>
  <c r="X18" i="31"/>
  <c r="X7" i="32"/>
  <c r="R11"/>
  <c r="R9"/>
  <c r="N13"/>
  <c r="G11"/>
  <c r="O52" i="35" l="1"/>
  <c r="Q55" s="1"/>
  <c r="D18" i="23"/>
  <c r="O18" s="1"/>
  <c r="E18"/>
  <c r="F18"/>
  <c r="G18"/>
  <c r="H18"/>
  <c r="I18"/>
  <c r="J18"/>
  <c r="K18"/>
  <c r="L18"/>
  <c r="M18"/>
  <c r="N18"/>
  <c r="C18"/>
  <c r="R9" i="35" l="1"/>
  <c r="R32"/>
  <c r="R43"/>
  <c r="R42"/>
  <c r="R33"/>
  <c r="R36"/>
  <c r="R30"/>
  <c r="R38"/>
  <c r="R23"/>
  <c r="R15"/>
  <c r="R27"/>
  <c r="R39"/>
  <c r="R34"/>
  <c r="R11"/>
  <c r="R18"/>
  <c r="R22"/>
  <c r="R25"/>
  <c r="R37"/>
  <c r="R10"/>
  <c r="R17"/>
  <c r="R41"/>
  <c r="R12"/>
  <c r="R20"/>
  <c r="R26"/>
  <c r="R21"/>
  <c r="R16"/>
  <c r="R40"/>
  <c r="R7"/>
  <c r="R31"/>
  <c r="R24"/>
  <c r="R8"/>
  <c r="R14"/>
  <c r="R35"/>
  <c r="R13"/>
  <c r="R29"/>
  <c r="R19"/>
  <c r="R28"/>
  <c r="R44"/>
  <c r="C19" i="23" l="1"/>
  <c r="D29" l="1"/>
  <c r="E29"/>
  <c r="F29"/>
  <c r="G29"/>
  <c r="H29"/>
  <c r="I29"/>
  <c r="J29"/>
  <c r="K29"/>
  <c r="L29"/>
  <c r="M29"/>
  <c r="N29"/>
  <c r="C21" l="1"/>
  <c r="C6"/>
  <c r="C29" l="1"/>
  <c r="E21" i="32" l="1"/>
  <c r="C21"/>
  <c r="U20"/>
  <c r="T20"/>
  <c r="K20"/>
  <c r="O8"/>
  <c r="V11"/>
  <c r="U11"/>
  <c r="U9"/>
  <c r="U7"/>
  <c r="T7"/>
  <c r="Q9"/>
  <c r="L9"/>
  <c r="K11"/>
  <c r="G13"/>
  <c r="U18" i="31" l="1"/>
  <c r="T18"/>
  <c r="K18"/>
  <c r="D13" l="1"/>
  <c r="C13"/>
  <c r="T19" l="1"/>
  <c r="C19" i="28"/>
  <c r="AV20"/>
  <c r="S16" i="32"/>
  <c r="T16"/>
  <c r="S14"/>
  <c r="T14"/>
  <c r="S12"/>
  <c r="T12"/>
  <c r="S10"/>
  <c r="T10"/>
  <c r="S8"/>
  <c r="T8"/>
  <c r="L16"/>
  <c r="L14"/>
  <c r="L12"/>
  <c r="L10"/>
  <c r="L8"/>
  <c r="E19" i="31"/>
  <c r="Y7"/>
  <c r="P12"/>
  <c r="S12"/>
  <c r="S13" s="1"/>
  <c r="L12"/>
  <c r="L13" s="1"/>
  <c r="M12"/>
  <c r="M13" s="1"/>
  <c r="N12"/>
  <c r="O12"/>
  <c r="Q12"/>
  <c r="Q13" s="1"/>
  <c r="R12"/>
  <c r="T12"/>
  <c r="T13" s="1"/>
  <c r="U12"/>
  <c r="U13" s="1"/>
  <c r="V12"/>
  <c r="V13" s="1"/>
  <c r="W12"/>
  <c r="W13" s="1"/>
  <c r="X12"/>
  <c r="T21" i="32"/>
  <c r="D19" i="30"/>
  <c r="C20" i="23"/>
  <c r="H14" i="32"/>
  <c r="H10"/>
  <c r="Y7"/>
  <c r="Z20" s="1"/>
  <c r="C8"/>
  <c r="C10" s="1"/>
  <c r="C12" s="1"/>
  <c r="F8"/>
  <c r="I8"/>
  <c r="Y9"/>
  <c r="F10"/>
  <c r="G10"/>
  <c r="I10"/>
  <c r="M10"/>
  <c r="Q10"/>
  <c r="W10"/>
  <c r="E12"/>
  <c r="O12"/>
  <c r="F12"/>
  <c r="G12"/>
  <c r="I12"/>
  <c r="P12"/>
  <c r="V12"/>
  <c r="E14"/>
  <c r="O14"/>
  <c r="C14"/>
  <c r="F14"/>
  <c r="G14"/>
  <c r="I14"/>
  <c r="M14"/>
  <c r="Q14"/>
  <c r="W14"/>
  <c r="Y15"/>
  <c r="N16"/>
  <c r="R16"/>
  <c r="C16"/>
  <c r="D16"/>
  <c r="F16"/>
  <c r="H16"/>
  <c r="I16"/>
  <c r="M16"/>
  <c r="P16"/>
  <c r="Q16"/>
  <c r="W16"/>
  <c r="D8"/>
  <c r="E8"/>
  <c r="G8"/>
  <c r="H8"/>
  <c r="J10"/>
  <c r="K21"/>
  <c r="M8"/>
  <c r="N8"/>
  <c r="O10"/>
  <c r="P8"/>
  <c r="Q8"/>
  <c r="R8"/>
  <c r="S21"/>
  <c r="U10"/>
  <c r="V8"/>
  <c r="W8"/>
  <c r="X8"/>
  <c r="I21"/>
  <c r="M21"/>
  <c r="Q21"/>
  <c r="V21"/>
  <c r="D21"/>
  <c r="F21"/>
  <c r="G21"/>
  <c r="H21"/>
  <c r="L21"/>
  <c r="P21"/>
  <c r="W28"/>
  <c r="U26"/>
  <c r="U28" s="1"/>
  <c r="Y27"/>
  <c r="Y8" i="31"/>
  <c r="Y9"/>
  <c r="Y10"/>
  <c r="G12"/>
  <c r="G13" s="1"/>
  <c r="C12"/>
  <c r="D12"/>
  <c r="E12"/>
  <c r="E13" s="1"/>
  <c r="F12"/>
  <c r="F13" s="1"/>
  <c r="H12"/>
  <c r="H13" s="1"/>
  <c r="I12"/>
  <c r="I13" s="1"/>
  <c r="J12"/>
  <c r="J13" s="1"/>
  <c r="K12"/>
  <c r="K13" s="1"/>
  <c r="X13"/>
  <c r="Y14"/>
  <c r="Y18"/>
  <c r="J19"/>
  <c r="K19"/>
  <c r="N19"/>
  <c r="O19"/>
  <c r="R19"/>
  <c r="S19"/>
  <c r="W19"/>
  <c r="X19"/>
  <c r="C19"/>
  <c r="I19"/>
  <c r="M19"/>
  <c r="Q19"/>
  <c r="V19"/>
  <c r="D19"/>
  <c r="F19"/>
  <c r="G19"/>
  <c r="H19"/>
  <c r="L19"/>
  <c r="P19"/>
  <c r="W25"/>
  <c r="W27" s="1"/>
  <c r="Y20"/>
  <c r="U25"/>
  <c r="U27" s="1"/>
  <c r="Y26"/>
  <c r="W29"/>
  <c r="W30"/>
  <c r="W31" l="1"/>
  <c r="W29" i="32"/>
  <c r="Y19" i="31"/>
  <c r="T30" i="32"/>
  <c r="H30"/>
  <c r="P13" i="31"/>
  <c r="R13"/>
  <c r="N13"/>
  <c r="O13"/>
  <c r="Y10" i="32"/>
  <c r="U21"/>
  <c r="V16"/>
  <c r="K16"/>
  <c r="G16"/>
  <c r="V14"/>
  <c r="P14"/>
  <c r="K14"/>
  <c r="Y13"/>
  <c r="U12"/>
  <c r="J12"/>
  <c r="Y11"/>
  <c r="V10"/>
  <c r="P10"/>
  <c r="K10"/>
  <c r="U8"/>
  <c r="J8"/>
  <c r="K8"/>
  <c r="K12"/>
  <c r="E30"/>
  <c r="W21"/>
  <c r="R21"/>
  <c r="N21"/>
  <c r="J21"/>
  <c r="Y16"/>
  <c r="X16"/>
  <c r="E16"/>
  <c r="X14"/>
  <c r="R14"/>
  <c r="N14"/>
  <c r="D14"/>
  <c r="W12"/>
  <c r="Q12"/>
  <c r="M12"/>
  <c r="H12"/>
  <c r="D12"/>
  <c r="X10"/>
  <c r="R10"/>
  <c r="N10"/>
  <c r="D10"/>
  <c r="X30"/>
  <c r="S30"/>
  <c r="O30"/>
  <c r="K30"/>
  <c r="X21"/>
  <c r="O21"/>
  <c r="U16"/>
  <c r="O16"/>
  <c r="J16"/>
  <c r="U14"/>
  <c r="J14"/>
  <c r="X12"/>
  <c r="R12"/>
  <c r="N12"/>
  <c r="E10"/>
  <c r="W28" i="31"/>
  <c r="U19"/>
  <c r="Y12"/>
  <c r="Y13" s="1"/>
  <c r="Y11"/>
  <c r="Y14" i="32" l="1"/>
  <c r="Y12"/>
  <c r="F30"/>
  <c r="J30"/>
  <c r="N30"/>
  <c r="R30"/>
  <c r="W30"/>
  <c r="D30"/>
  <c r="M30"/>
  <c r="V30"/>
  <c r="Y8"/>
  <c r="Y21"/>
  <c r="G30"/>
  <c r="L30"/>
  <c r="P30"/>
  <c r="U30"/>
  <c r="I30"/>
  <c r="Q30"/>
  <c r="J7" i="30" l="1"/>
  <c r="P7" s="1"/>
  <c r="J8"/>
  <c r="P8" s="1"/>
  <c r="J9"/>
  <c r="P9" s="1"/>
  <c r="J10"/>
  <c r="P10" s="1"/>
  <c r="J11"/>
  <c r="P11" s="1"/>
  <c r="J12"/>
  <c r="N19"/>
  <c r="O19"/>
  <c r="J13"/>
  <c r="P13" s="1"/>
  <c r="J14"/>
  <c r="P14" s="1"/>
  <c r="J15"/>
  <c r="P15" s="1"/>
  <c r="J16"/>
  <c r="P16" s="1"/>
  <c r="J17"/>
  <c r="P17" s="1"/>
  <c r="J18"/>
  <c r="P18" s="1"/>
  <c r="B19"/>
  <c r="C19"/>
  <c r="E19"/>
  <c r="F19"/>
  <c r="G19"/>
  <c r="H19"/>
  <c r="I19"/>
  <c r="K19"/>
  <c r="L19"/>
  <c r="M19"/>
  <c r="J19" l="1"/>
  <c r="P19"/>
  <c r="P12"/>
  <c r="D5" i="28"/>
  <c r="H5" s="1"/>
  <c r="L5" s="1"/>
  <c r="E5"/>
  <c r="I5" s="1"/>
  <c r="M5" s="1"/>
  <c r="P5"/>
  <c r="T5" s="1"/>
  <c r="X5" s="1"/>
  <c r="AB5" s="1"/>
  <c r="AF5" s="1"/>
  <c r="AJ5" s="1"/>
  <c r="AN5" s="1"/>
  <c r="AR5" s="1"/>
  <c r="Q5"/>
  <c r="U5" s="1"/>
  <c r="Y5" s="1"/>
  <c r="AC5" s="1"/>
  <c r="AG5" s="1"/>
  <c r="AK5" s="1"/>
  <c r="AO5" s="1"/>
  <c r="AS5" s="1"/>
  <c r="AV5"/>
  <c r="AW5"/>
  <c r="D6"/>
  <c r="H6" s="1"/>
  <c r="H7" s="1"/>
  <c r="E6"/>
  <c r="P6"/>
  <c r="T6" s="1"/>
  <c r="Q6"/>
  <c r="U6" s="1"/>
  <c r="AV6"/>
  <c r="AV7" s="1"/>
  <c r="AW6"/>
  <c r="B7"/>
  <c r="C7"/>
  <c r="D7"/>
  <c r="F7"/>
  <c r="G7"/>
  <c r="J7"/>
  <c r="K7"/>
  <c r="N7"/>
  <c r="O7"/>
  <c r="Q7"/>
  <c r="R7"/>
  <c r="S7"/>
  <c r="V7"/>
  <c r="W7"/>
  <c r="Z7"/>
  <c r="AA7"/>
  <c r="AD7"/>
  <c r="AE7"/>
  <c r="AH7"/>
  <c r="AI7"/>
  <c r="AL7"/>
  <c r="AM7"/>
  <c r="AP7"/>
  <c r="AQ7"/>
  <c r="AT7"/>
  <c r="AU7"/>
  <c r="AW7"/>
  <c r="D8"/>
  <c r="H8" s="1"/>
  <c r="E8"/>
  <c r="P8"/>
  <c r="Q8"/>
  <c r="U8" s="1"/>
  <c r="T8"/>
  <c r="X8" s="1"/>
  <c r="AV8"/>
  <c r="AW8"/>
  <c r="B9"/>
  <c r="C9"/>
  <c r="F9"/>
  <c r="G9"/>
  <c r="J9"/>
  <c r="K9"/>
  <c r="N9"/>
  <c r="O9"/>
  <c r="P9"/>
  <c r="R9"/>
  <c r="S9"/>
  <c r="V9"/>
  <c r="W9"/>
  <c r="Z9"/>
  <c r="AA9"/>
  <c r="AD9"/>
  <c r="AE9"/>
  <c r="AH9"/>
  <c r="AI9"/>
  <c r="AL9"/>
  <c r="AM9"/>
  <c r="AP9"/>
  <c r="AQ9"/>
  <c r="AT9"/>
  <c r="AU9"/>
  <c r="AV9"/>
  <c r="AW9"/>
  <c r="D10"/>
  <c r="H10" s="1"/>
  <c r="H11" s="1"/>
  <c r="E10"/>
  <c r="P10"/>
  <c r="T10" s="1"/>
  <c r="Q10"/>
  <c r="U10" s="1"/>
  <c r="AV10"/>
  <c r="AV11" s="1"/>
  <c r="AW10"/>
  <c r="B11"/>
  <c r="C11"/>
  <c r="F11"/>
  <c r="G11"/>
  <c r="J11"/>
  <c r="K11"/>
  <c r="N11"/>
  <c r="O11"/>
  <c r="R11"/>
  <c r="S11"/>
  <c r="V11"/>
  <c r="W11"/>
  <c r="Z11"/>
  <c r="AA11"/>
  <c r="AD11"/>
  <c r="AE11"/>
  <c r="AH11"/>
  <c r="AI11"/>
  <c r="AL11"/>
  <c r="AM11"/>
  <c r="AP11"/>
  <c r="AQ11"/>
  <c r="AT11"/>
  <c r="AU11"/>
  <c r="AW11"/>
  <c r="D12"/>
  <c r="D13" s="1"/>
  <c r="E12"/>
  <c r="AV12"/>
  <c r="AW12"/>
  <c r="B13"/>
  <c r="C13"/>
  <c r="F13"/>
  <c r="G13"/>
  <c r="J13"/>
  <c r="K13"/>
  <c r="N13"/>
  <c r="O13"/>
  <c r="R13"/>
  <c r="S13"/>
  <c r="V13"/>
  <c r="W13"/>
  <c r="Z13"/>
  <c r="AA13"/>
  <c r="AD13"/>
  <c r="AE13"/>
  <c r="AH13"/>
  <c r="AI13"/>
  <c r="AL13"/>
  <c r="AM13"/>
  <c r="AP13"/>
  <c r="AQ13"/>
  <c r="AT13"/>
  <c r="AU13"/>
  <c r="AW13"/>
  <c r="D14"/>
  <c r="D15" s="1"/>
  <c r="E14"/>
  <c r="AV14"/>
  <c r="AW14"/>
  <c r="AW15" s="1"/>
  <c r="B15"/>
  <c r="C15"/>
  <c r="F15"/>
  <c r="G15"/>
  <c r="J15"/>
  <c r="K15"/>
  <c r="N15"/>
  <c r="O15"/>
  <c r="R15"/>
  <c r="S15"/>
  <c r="V15"/>
  <c r="W15"/>
  <c r="Z15"/>
  <c r="AA15"/>
  <c r="AD15"/>
  <c r="AE15"/>
  <c r="AH15"/>
  <c r="AI15"/>
  <c r="AL15"/>
  <c r="AM15"/>
  <c r="AP15"/>
  <c r="AQ15"/>
  <c r="AT15"/>
  <c r="AU15"/>
  <c r="AV15"/>
  <c r="D17"/>
  <c r="AV16"/>
  <c r="AV17" s="1"/>
  <c r="AW16"/>
  <c r="B17"/>
  <c r="C17"/>
  <c r="F17"/>
  <c r="G17"/>
  <c r="J17"/>
  <c r="K17"/>
  <c r="N17"/>
  <c r="O17"/>
  <c r="R17"/>
  <c r="S17"/>
  <c r="V17"/>
  <c r="W17"/>
  <c r="Z17"/>
  <c r="AA17"/>
  <c r="AD17"/>
  <c r="AE17"/>
  <c r="AH17"/>
  <c r="AI17"/>
  <c r="AL17"/>
  <c r="AM17"/>
  <c r="AP17"/>
  <c r="AQ17"/>
  <c r="AT17"/>
  <c r="AU17"/>
  <c r="AW17"/>
  <c r="AV18"/>
  <c r="AW18"/>
  <c r="B19"/>
  <c r="E19"/>
  <c r="G19"/>
  <c r="J19"/>
  <c r="K19"/>
  <c r="N19"/>
  <c r="O19"/>
  <c r="R19"/>
  <c r="S19"/>
  <c r="V19"/>
  <c r="W19"/>
  <c r="Z19"/>
  <c r="AA19"/>
  <c r="AD19"/>
  <c r="AE19"/>
  <c r="AH19"/>
  <c r="AI19"/>
  <c r="AL19"/>
  <c r="AM19"/>
  <c r="AP19"/>
  <c r="AQ19"/>
  <c r="AT19"/>
  <c r="AU19"/>
  <c r="AW19"/>
  <c r="J20" i="30" l="1"/>
  <c r="N20"/>
  <c r="G20"/>
  <c r="O20"/>
  <c r="K20"/>
  <c r="C20"/>
  <c r="L20"/>
  <c r="B20"/>
  <c r="M20"/>
  <c r="E20"/>
  <c r="D20"/>
  <c r="Q11" i="28"/>
  <c r="Q9"/>
  <c r="D11"/>
  <c r="AV19"/>
  <c r="M18"/>
  <c r="F20" i="30"/>
  <c r="I20"/>
  <c r="H20"/>
  <c r="T11" i="28"/>
  <c r="X10"/>
  <c r="AB8"/>
  <c r="H9"/>
  <c r="L8"/>
  <c r="T7"/>
  <c r="X6"/>
  <c r="T9"/>
  <c r="I10"/>
  <c r="E11"/>
  <c r="I6"/>
  <c r="E7"/>
  <c r="D19"/>
  <c r="H14"/>
  <c r="AV13"/>
  <c r="H12"/>
  <c r="Y10"/>
  <c r="U11"/>
  <c r="D9"/>
  <c r="Y6"/>
  <c r="U7"/>
  <c r="I16"/>
  <c r="E17"/>
  <c r="I14"/>
  <c r="E15"/>
  <c r="I12"/>
  <c r="E13"/>
  <c r="P11"/>
  <c r="L10"/>
  <c r="I8"/>
  <c r="E9"/>
  <c r="P7"/>
  <c r="L6"/>
  <c r="L7" s="1"/>
  <c r="Y8"/>
  <c r="U9"/>
  <c r="Q18" l="1"/>
  <c r="L9"/>
  <c r="P18"/>
  <c r="I11"/>
  <c r="M10"/>
  <c r="M11" s="1"/>
  <c r="AF8"/>
  <c r="Y9"/>
  <c r="AC8"/>
  <c r="I9"/>
  <c r="M8"/>
  <c r="I13"/>
  <c r="M12"/>
  <c r="I17"/>
  <c r="I19"/>
  <c r="M16"/>
  <c r="L14"/>
  <c r="H15"/>
  <c r="L11"/>
  <c r="Y11"/>
  <c r="AC10"/>
  <c r="H19"/>
  <c r="L16"/>
  <c r="H17"/>
  <c r="I7"/>
  <c r="M6"/>
  <c r="M7" s="1"/>
  <c r="I15"/>
  <c r="M14"/>
  <c r="Y7"/>
  <c r="AC6"/>
  <c r="L12"/>
  <c r="H13"/>
  <c r="AB6"/>
  <c r="AB9" s="1"/>
  <c r="X7"/>
  <c r="X9"/>
  <c r="AB10"/>
  <c r="X11"/>
  <c r="D6" i="23"/>
  <c r="E6"/>
  <c r="F6"/>
  <c r="G6"/>
  <c r="H6"/>
  <c r="I6"/>
  <c r="J6"/>
  <c r="K6"/>
  <c r="L6"/>
  <c r="M6"/>
  <c r="N6"/>
  <c r="C10"/>
  <c r="D10"/>
  <c r="E10"/>
  <c r="F10"/>
  <c r="G10"/>
  <c r="H10"/>
  <c r="I10"/>
  <c r="J10"/>
  <c r="K10"/>
  <c r="L10"/>
  <c r="M10"/>
  <c r="N10"/>
  <c r="O12"/>
  <c r="C14"/>
  <c r="D14"/>
  <c r="E14"/>
  <c r="F14"/>
  <c r="G14"/>
  <c r="H14"/>
  <c r="I14"/>
  <c r="J14"/>
  <c r="K14"/>
  <c r="L14"/>
  <c r="M14"/>
  <c r="N14"/>
  <c r="D19"/>
  <c r="E19"/>
  <c r="F19"/>
  <c r="G19"/>
  <c r="H19"/>
  <c r="I19"/>
  <c r="J19"/>
  <c r="K19"/>
  <c r="L19"/>
  <c r="M19"/>
  <c r="N19"/>
  <c r="O23"/>
  <c r="O24"/>
  <c r="O25"/>
  <c r="O26"/>
  <c r="O19" l="1"/>
  <c r="O20" s="1"/>
  <c r="O14"/>
  <c r="U18" i="28"/>
  <c r="T18"/>
  <c r="K20" i="23"/>
  <c r="G20"/>
  <c r="N20"/>
  <c r="J20"/>
  <c r="F20"/>
  <c r="O29"/>
  <c r="M20"/>
  <c r="I20"/>
  <c r="E20"/>
  <c r="L20"/>
  <c r="H20"/>
  <c r="D20"/>
  <c r="AF10" i="28"/>
  <c r="AB11"/>
  <c r="Q14"/>
  <c r="M15"/>
  <c r="Q16"/>
  <c r="M17"/>
  <c r="M19"/>
  <c r="L13"/>
  <c r="P12"/>
  <c r="AG10"/>
  <c r="AC11"/>
  <c r="M9"/>
  <c r="AG6"/>
  <c r="AC7"/>
  <c r="AJ8"/>
  <c r="AB7"/>
  <c r="AF6"/>
  <c r="AF9" s="1"/>
  <c r="P16"/>
  <c r="L17"/>
  <c r="L19"/>
  <c r="L15"/>
  <c r="P14"/>
  <c r="Q12"/>
  <c r="M13"/>
  <c r="AG8"/>
  <c r="AC9"/>
  <c r="Y18" l="1"/>
  <c r="X18"/>
  <c r="T14"/>
  <c r="P15"/>
  <c r="AG7"/>
  <c r="AK6"/>
  <c r="T12"/>
  <c r="P13"/>
  <c r="AJ10"/>
  <c r="AF11"/>
  <c r="Q13"/>
  <c r="U12"/>
  <c r="AJ6"/>
  <c r="AF7"/>
  <c r="P17"/>
  <c r="T16"/>
  <c r="P19"/>
  <c r="Q15"/>
  <c r="U14"/>
  <c r="AG9"/>
  <c r="AK8"/>
  <c r="AN8"/>
  <c r="AG11"/>
  <c r="AK10"/>
  <c r="U16"/>
  <c r="Q17"/>
  <c r="Q19"/>
  <c r="AC18" l="1"/>
  <c r="AB18"/>
  <c r="AR8"/>
  <c r="AN9"/>
  <c r="AO8"/>
  <c r="AK9"/>
  <c r="AN6"/>
  <c r="AJ7"/>
  <c r="AN10"/>
  <c r="AJ11"/>
  <c r="T15"/>
  <c r="X14"/>
  <c r="Y16"/>
  <c r="U17"/>
  <c r="U19"/>
  <c r="AJ9"/>
  <c r="X16"/>
  <c r="T17"/>
  <c r="T19"/>
  <c r="Y12"/>
  <c r="U13"/>
  <c r="AO6"/>
  <c r="AK7"/>
  <c r="AO10"/>
  <c r="AK11"/>
  <c r="Y14"/>
  <c r="U15"/>
  <c r="X12"/>
  <c r="T13"/>
  <c r="AG18" l="1"/>
  <c r="AF18"/>
  <c r="AO9"/>
  <c r="AS8"/>
  <c r="AB16"/>
  <c r="X17"/>
  <c r="X19"/>
  <c r="X13"/>
  <c r="AB12"/>
  <c r="AO11"/>
  <c r="AS10"/>
  <c r="Y13"/>
  <c r="AC12"/>
  <c r="X15"/>
  <c r="AB14"/>
  <c r="Y15"/>
  <c r="AC14"/>
  <c r="AO7"/>
  <c r="AS6"/>
  <c r="AS7" s="1"/>
  <c r="AN11"/>
  <c r="AR10"/>
  <c r="AR11" s="1"/>
  <c r="Y17"/>
  <c r="AC16"/>
  <c r="Y19"/>
  <c r="AN7"/>
  <c r="AR6"/>
  <c r="AR7" s="1"/>
  <c r="AK18" l="1"/>
  <c r="AJ18"/>
  <c r="AF12"/>
  <c r="AB13"/>
  <c r="AR9"/>
  <c r="AG16"/>
  <c r="AC17"/>
  <c r="AC19"/>
  <c r="AG14"/>
  <c r="AC15"/>
  <c r="AB17"/>
  <c r="AF16"/>
  <c r="AB19"/>
  <c r="AS9"/>
  <c r="AG12"/>
  <c r="AC13"/>
  <c r="AF14"/>
  <c r="AB15"/>
  <c r="AS11"/>
  <c r="AO18" l="1"/>
  <c r="AJ14"/>
  <c r="AF15"/>
  <c r="AG15"/>
  <c r="AK14"/>
  <c r="AG17"/>
  <c r="AK16"/>
  <c r="AG19"/>
  <c r="AF17"/>
  <c r="AJ16"/>
  <c r="AF19"/>
  <c r="AG13"/>
  <c r="AK12"/>
  <c r="AJ12"/>
  <c r="AF13"/>
  <c r="AO16" l="1"/>
  <c r="AK17"/>
  <c r="AK19"/>
  <c r="AJ13"/>
  <c r="AN12"/>
  <c r="AO12"/>
  <c r="AK13"/>
  <c r="AO14"/>
  <c r="AK15"/>
  <c r="AJ17"/>
  <c r="AN16"/>
  <c r="AJ19"/>
  <c r="AJ15"/>
  <c r="AN14"/>
  <c r="AN15" l="1"/>
  <c r="AR14"/>
  <c r="AO15"/>
  <c r="AS14"/>
  <c r="AR16"/>
  <c r="AN19"/>
  <c r="AN17"/>
  <c r="AO13"/>
  <c r="AS12"/>
  <c r="AS13" s="1"/>
  <c r="AR12"/>
  <c r="AR13" s="1"/>
  <c r="AN13"/>
  <c r="AS16"/>
  <c r="AO17"/>
  <c r="AO19"/>
  <c r="AS19" l="1"/>
  <c r="AS17"/>
  <c r="AS15"/>
  <c r="AR15"/>
  <c r="AR17"/>
  <c r="AR19"/>
</calcChain>
</file>

<file path=xl/comments1.xml><?xml version="1.0" encoding="utf-8"?>
<comments xmlns="http://schemas.openxmlformats.org/spreadsheetml/2006/main">
  <authors>
    <author>pc183</author>
  </authors>
  <commentList>
    <comment ref="C50" authorId="0">
      <text>
        <r>
          <rPr>
            <b/>
            <sz val="9"/>
            <color indexed="81"/>
            <rFont val="Tahoma"/>
            <family val="2"/>
          </rPr>
          <t>pc183: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營二課陳一鋐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細明體"/>
            <family val="3"/>
            <charset val="136"/>
          </rPr>
          <t>吳美專退換車</t>
        </r>
      </text>
    </comment>
  </commentList>
</comments>
</file>

<file path=xl/comments2.xml><?xml version="1.0" encoding="utf-8"?>
<comments xmlns="http://schemas.openxmlformats.org/spreadsheetml/2006/main">
  <authors>
    <author>pc183</author>
  </authors>
  <commentList>
    <comment ref="Y20" authorId="0">
      <text>
        <r>
          <rPr>
            <b/>
            <sz val="9"/>
            <color indexed="81"/>
            <rFont val="Tahoma"/>
            <family val="2"/>
          </rPr>
          <t>pc183: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含</t>
        </r>
        <r>
          <rPr>
            <sz val="9"/>
            <color indexed="81"/>
            <rFont val="Tahoma"/>
            <family val="2"/>
          </rPr>
          <t>MKT</t>
        </r>
      </text>
    </comment>
  </commentList>
</comments>
</file>

<file path=xl/comments3.xml><?xml version="1.0" encoding="utf-8"?>
<comments xmlns="http://schemas.openxmlformats.org/spreadsheetml/2006/main">
  <authors>
    <author>Your User Name</author>
    <author>pc183</author>
  </authors>
  <commentList>
    <comment ref="V9" authorId="0">
      <text>
        <r>
          <rPr>
            <b/>
            <sz val="9"/>
            <color indexed="81"/>
            <rFont val="細明體"/>
            <family val="3"/>
            <charset val="136"/>
          </rPr>
          <t>含一台慶儒退換車</t>
        </r>
        <r>
          <rPr>
            <b/>
            <sz val="9"/>
            <color indexed="81"/>
            <rFont val="Tahoma"/>
            <family val="2"/>
          </rPr>
          <t>740L</t>
        </r>
      </text>
    </comment>
    <comment ref="A15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含鎔德+員購+試乘車
</t>
        </r>
      </text>
    </comment>
    <comment ref="Y22" authorId="1">
      <text>
        <r>
          <rPr>
            <b/>
            <sz val="9"/>
            <color indexed="81"/>
            <rFont val="Tahoma"/>
            <family val="2"/>
          </rPr>
          <t>pc183: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含</t>
        </r>
        <r>
          <rPr>
            <sz val="9"/>
            <color indexed="81"/>
            <rFont val="Tahoma"/>
            <family val="2"/>
          </rPr>
          <t>MKT</t>
        </r>
      </text>
    </comment>
  </commentList>
</comments>
</file>

<file path=xl/comments4.xml><?xml version="1.0" encoding="utf-8"?>
<comments xmlns="http://schemas.openxmlformats.org/spreadsheetml/2006/main">
  <authors>
    <author>Your User Name</author>
    <author>pc183</author>
  </authors>
  <commentList>
    <comment ref="AW4" author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細明體"/>
            <family val="3"/>
            <charset val="136"/>
          </rPr>
          <t>含</t>
        </r>
        <r>
          <rPr>
            <b/>
            <sz val="9"/>
            <color indexed="81"/>
            <rFont val="Tahoma"/>
            <family val="2"/>
          </rPr>
          <t>MK</t>
        </r>
      </text>
    </comment>
    <comment ref="AW20" authorId="1">
      <text>
        <r>
          <rPr>
            <b/>
            <sz val="9"/>
            <color indexed="81"/>
            <rFont val="Tahoma"/>
            <family val="2"/>
          </rPr>
          <t>pc183: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含</t>
        </r>
        <r>
          <rPr>
            <sz val="9"/>
            <color indexed="81"/>
            <rFont val="Tahoma"/>
            <family val="2"/>
          </rPr>
          <t>MKT</t>
        </r>
      </text>
    </comment>
  </commentList>
</comments>
</file>

<file path=xl/sharedStrings.xml><?xml version="1.0" encoding="utf-8"?>
<sst xmlns="http://schemas.openxmlformats.org/spreadsheetml/2006/main" count="550" uniqueCount="318">
  <si>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</si>
  <si>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</si>
  <si>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</si>
  <si>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</si>
  <si>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</si>
  <si>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</si>
  <si>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</si>
  <si>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</si>
  <si>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</si>
  <si>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</si>
  <si>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試乘車</t>
    <phoneticPr fontId="3" type="noConversion"/>
  </si>
  <si>
    <t>Feb</t>
  </si>
  <si>
    <r>
      <rPr>
        <sz val="12"/>
        <rFont val="華康中黑體"/>
        <family val="3"/>
        <charset val="136"/>
      </rPr>
      <t>聯</t>
    </r>
    <r>
      <rPr>
        <sz val="12"/>
        <rFont val="BMWType V2 Regular"/>
      </rPr>
      <t xml:space="preserve">     </t>
    </r>
    <r>
      <rPr>
        <sz val="12"/>
        <rFont val="華康中黑體"/>
        <family val="3"/>
        <charset val="136"/>
      </rPr>
      <t>絡</t>
    </r>
    <r>
      <rPr>
        <sz val="12"/>
        <rFont val="BMWType V2 Regular"/>
      </rPr>
      <t xml:space="preserve">     </t>
    </r>
    <r>
      <rPr>
        <sz val="12"/>
        <rFont val="華康中黑體"/>
        <family val="3"/>
        <charset val="136"/>
      </rPr>
      <t>地</t>
    </r>
    <r>
      <rPr>
        <sz val="12"/>
        <rFont val="BMWType V2 Regular"/>
      </rPr>
      <t xml:space="preserve">     </t>
    </r>
    <r>
      <rPr>
        <sz val="12"/>
        <rFont val="華康中黑體"/>
        <family val="3"/>
        <charset val="136"/>
      </rPr>
      <t>址</t>
    </r>
  </si>
  <si>
    <r>
      <rPr>
        <sz val="12"/>
        <rFont val="華康中黑體"/>
        <family val="3"/>
        <charset val="136"/>
      </rPr>
      <t>郵遞區號</t>
    </r>
    <phoneticPr fontId="23" type="noConversion"/>
  </si>
  <si>
    <r>
      <rPr>
        <sz val="12"/>
        <rFont val="華康中黑體"/>
        <family val="3"/>
        <charset val="136"/>
      </rPr>
      <t>車</t>
    </r>
    <r>
      <rPr>
        <sz val="12"/>
        <rFont val="BMWType V2 Regular"/>
      </rPr>
      <t xml:space="preserve">  </t>
    </r>
    <r>
      <rPr>
        <sz val="12"/>
        <rFont val="華康中黑體"/>
        <family val="3"/>
        <charset val="136"/>
      </rPr>
      <t>型</t>
    </r>
  </si>
  <si>
    <r>
      <rPr>
        <sz val="12"/>
        <rFont val="華康中黑體"/>
        <family val="3"/>
        <charset val="136"/>
      </rPr>
      <t>部</t>
    </r>
    <r>
      <rPr>
        <sz val="12"/>
        <rFont val="BMWType V2 Regular"/>
      </rPr>
      <t xml:space="preserve">  </t>
    </r>
    <r>
      <rPr>
        <sz val="12"/>
        <rFont val="華康中黑體"/>
        <family val="3"/>
        <charset val="136"/>
      </rPr>
      <t>門</t>
    </r>
  </si>
  <si>
    <r>
      <rPr>
        <sz val="12"/>
        <rFont val="華康中黑體"/>
        <family val="3"/>
        <charset val="136"/>
      </rPr>
      <t>業務代表</t>
    </r>
  </si>
  <si>
    <r>
      <rPr>
        <sz val="12"/>
        <rFont val="華康中黑體"/>
        <family val="3"/>
        <charset val="136"/>
      </rPr>
      <t>領牌日</t>
    </r>
  </si>
  <si>
    <r>
      <rPr>
        <sz val="12"/>
        <rFont val="華康中黑體"/>
        <family val="3"/>
        <charset val="136"/>
      </rPr>
      <t>電</t>
    </r>
    <r>
      <rPr>
        <sz val="12"/>
        <rFont val="BMWType V2 Regular"/>
      </rPr>
      <t xml:space="preserve">    </t>
    </r>
    <r>
      <rPr>
        <sz val="12"/>
        <rFont val="華康中黑體"/>
        <family val="3"/>
        <charset val="136"/>
      </rPr>
      <t>話</t>
    </r>
  </si>
  <si>
    <r>
      <rPr>
        <sz val="12"/>
        <rFont val="華康中黑體"/>
        <family val="3"/>
        <charset val="136"/>
      </rPr>
      <t>車身號碼</t>
    </r>
  </si>
  <si>
    <r>
      <rPr>
        <sz val="12"/>
        <rFont val="華康中黑體"/>
        <family val="3"/>
        <charset val="136"/>
      </rPr>
      <t>車</t>
    </r>
    <r>
      <rPr>
        <sz val="12"/>
        <rFont val="BMWType V2 Regular"/>
      </rPr>
      <t xml:space="preserve">  </t>
    </r>
    <r>
      <rPr>
        <sz val="12"/>
        <rFont val="華康中黑體"/>
        <family val="3"/>
        <charset val="136"/>
      </rPr>
      <t>號</t>
    </r>
  </si>
  <si>
    <r>
      <rPr>
        <sz val="12"/>
        <rFont val="華康中黑體"/>
        <family val="3"/>
        <charset val="136"/>
      </rPr>
      <t>聯絡人</t>
    </r>
  </si>
  <si>
    <r>
      <rPr>
        <sz val="12"/>
        <rFont val="華康中黑體"/>
        <family val="3"/>
        <charset val="136"/>
      </rPr>
      <t>客戶名稱</t>
    </r>
  </si>
  <si>
    <t>N0</t>
    <phoneticPr fontId="23" type="noConversion"/>
  </si>
  <si>
    <r>
      <rPr>
        <b/>
        <sz val="10"/>
        <rFont val="華康中黑體"/>
        <family val="3"/>
        <charset val="136"/>
      </rPr>
      <t>合</t>
    </r>
    <r>
      <rPr>
        <b/>
        <sz val="10"/>
        <rFont val="BMWTypeRegular"/>
        <family val="2"/>
      </rPr>
      <t xml:space="preserve">  </t>
    </r>
    <r>
      <rPr>
        <b/>
        <sz val="10"/>
        <rFont val="華康中黑體"/>
        <family val="3"/>
        <charset val="136"/>
      </rPr>
      <t>計</t>
    </r>
    <phoneticPr fontId="21" type="noConversion"/>
  </si>
  <si>
    <t>員配/購車</t>
    <phoneticPr fontId="21" type="noConversion"/>
  </si>
  <si>
    <r>
      <rPr>
        <sz val="10"/>
        <rFont val="華康中黑體"/>
        <family val="3"/>
        <charset val="136"/>
      </rPr>
      <t>主管配車</t>
    </r>
    <phoneticPr fontId="21" type="noConversion"/>
  </si>
  <si>
    <r>
      <rPr>
        <sz val="10"/>
        <rFont val="華康中黑體"/>
        <family val="3"/>
        <charset val="136"/>
      </rPr>
      <t>其</t>
    </r>
    <r>
      <rPr>
        <sz val="10"/>
        <rFont val="BMWTypeRegular"/>
        <family val="2"/>
      </rPr>
      <t xml:space="preserve">  </t>
    </r>
    <r>
      <rPr>
        <sz val="10"/>
        <rFont val="華康中黑體"/>
        <family val="3"/>
        <charset val="136"/>
      </rPr>
      <t>他</t>
    </r>
    <phoneticPr fontId="21" type="noConversion"/>
  </si>
  <si>
    <r>
      <rPr>
        <sz val="10"/>
        <color indexed="18"/>
        <rFont val="華康中黑體"/>
        <family val="3"/>
        <charset val="136"/>
      </rPr>
      <t>平均產能</t>
    </r>
    <phoneticPr fontId="21" type="noConversion"/>
  </si>
  <si>
    <r>
      <rPr>
        <sz val="10"/>
        <color indexed="18"/>
        <rFont val="華康中黑體"/>
        <family val="3"/>
        <charset val="136"/>
      </rPr>
      <t>銷售人數</t>
    </r>
    <phoneticPr fontId="21" type="noConversion"/>
  </si>
  <si>
    <r>
      <rPr>
        <sz val="10"/>
        <color indexed="8"/>
        <rFont val="華康中黑體"/>
        <family val="3"/>
        <charset val="136"/>
      </rPr>
      <t>台　　數</t>
    </r>
    <phoneticPr fontId="21" type="noConversion"/>
  </si>
  <si>
    <r>
      <rPr>
        <sz val="10"/>
        <rFont val="華康中黑體"/>
        <family val="3"/>
        <charset val="136"/>
      </rPr>
      <t>二　課</t>
    </r>
    <phoneticPr fontId="21" type="noConversion"/>
  </si>
  <si>
    <r>
      <rPr>
        <sz val="10"/>
        <rFont val="華康中黑體"/>
        <family val="3"/>
        <charset val="136"/>
      </rPr>
      <t>一　課</t>
    </r>
    <phoneticPr fontId="21" type="noConversion"/>
  </si>
  <si>
    <t>合計</t>
    <phoneticPr fontId="21" type="noConversion"/>
  </si>
  <si>
    <r>
      <rPr>
        <sz val="10"/>
        <color indexed="8"/>
        <rFont val="華康中黑體"/>
        <family val="3"/>
        <charset val="136"/>
      </rPr>
      <t>十二月</t>
    </r>
    <phoneticPr fontId="21" type="noConversion"/>
  </si>
  <si>
    <r>
      <rPr>
        <sz val="10"/>
        <color indexed="8"/>
        <rFont val="華康中黑體"/>
        <family val="3"/>
        <charset val="136"/>
      </rPr>
      <t>十一月</t>
    </r>
    <phoneticPr fontId="21" type="noConversion"/>
  </si>
  <si>
    <r>
      <rPr>
        <sz val="10"/>
        <color indexed="8"/>
        <rFont val="華康中黑體"/>
        <family val="3"/>
        <charset val="136"/>
      </rPr>
      <t>十月</t>
    </r>
    <phoneticPr fontId="21" type="noConversion"/>
  </si>
  <si>
    <r>
      <rPr>
        <sz val="10"/>
        <color indexed="8"/>
        <rFont val="華康中黑體"/>
        <family val="3"/>
        <charset val="136"/>
      </rPr>
      <t>九月</t>
    </r>
    <phoneticPr fontId="21" type="noConversion"/>
  </si>
  <si>
    <r>
      <rPr>
        <sz val="10"/>
        <color indexed="8"/>
        <rFont val="華康中黑體"/>
        <family val="3"/>
        <charset val="136"/>
      </rPr>
      <t>八月</t>
    </r>
    <phoneticPr fontId="21" type="noConversion"/>
  </si>
  <si>
    <r>
      <rPr>
        <sz val="10"/>
        <color indexed="8"/>
        <rFont val="華康中黑體"/>
        <family val="3"/>
        <charset val="136"/>
      </rPr>
      <t>七月</t>
    </r>
    <phoneticPr fontId="21" type="noConversion"/>
  </si>
  <si>
    <r>
      <rPr>
        <sz val="10"/>
        <color indexed="8"/>
        <rFont val="華康中黑體"/>
        <family val="3"/>
        <charset val="136"/>
      </rPr>
      <t>六月</t>
    </r>
    <phoneticPr fontId="21" type="noConversion"/>
  </si>
  <si>
    <r>
      <rPr>
        <sz val="10"/>
        <color indexed="8"/>
        <rFont val="華康中黑體"/>
        <family val="3"/>
        <charset val="136"/>
      </rPr>
      <t>五月</t>
    </r>
    <phoneticPr fontId="21" type="noConversion"/>
  </si>
  <si>
    <r>
      <rPr>
        <sz val="10"/>
        <color indexed="8"/>
        <rFont val="華康中黑體"/>
        <family val="3"/>
        <charset val="136"/>
      </rPr>
      <t>四月</t>
    </r>
    <phoneticPr fontId="21" type="noConversion"/>
  </si>
  <si>
    <r>
      <rPr>
        <sz val="10"/>
        <color indexed="8"/>
        <rFont val="華康中黑體"/>
        <family val="3"/>
        <charset val="136"/>
      </rPr>
      <t>三月</t>
    </r>
    <phoneticPr fontId="21" type="noConversion"/>
  </si>
  <si>
    <r>
      <rPr>
        <sz val="10"/>
        <color indexed="8"/>
        <rFont val="華康中黑體"/>
        <family val="3"/>
        <charset val="136"/>
      </rPr>
      <t>二月</t>
    </r>
    <phoneticPr fontId="21" type="noConversion"/>
  </si>
  <si>
    <r>
      <rPr>
        <sz val="10"/>
        <color indexed="8"/>
        <rFont val="華康中黑體"/>
        <family val="3"/>
        <charset val="136"/>
      </rPr>
      <t>一月</t>
    </r>
    <phoneticPr fontId="21" type="noConversion"/>
  </si>
  <si>
    <r>
      <rPr>
        <sz val="10"/>
        <color indexed="8"/>
        <rFont val="華康中黑體"/>
        <family val="3"/>
        <charset val="136"/>
      </rPr>
      <t>　月份</t>
    </r>
    <phoneticPr fontId="21" type="noConversion"/>
  </si>
  <si>
    <r>
      <rPr>
        <sz val="10"/>
        <color indexed="8"/>
        <rFont val="華康中黑體"/>
        <family val="3"/>
        <charset val="136"/>
      </rPr>
      <t>課　別</t>
    </r>
    <phoneticPr fontId="21" type="noConversion"/>
  </si>
  <si>
    <t>%</t>
    <phoneticPr fontId="3" type="noConversion"/>
  </si>
  <si>
    <t>999</t>
    <phoneticPr fontId="3" type="noConversion"/>
  </si>
  <si>
    <t>111</t>
    <phoneticPr fontId="3" type="noConversion"/>
  </si>
  <si>
    <t>855</t>
    <phoneticPr fontId="3" type="noConversion"/>
  </si>
  <si>
    <t>90</t>
    <phoneticPr fontId="3" type="noConversion"/>
  </si>
  <si>
    <t>676</t>
    <phoneticPr fontId="3" type="noConversion"/>
  </si>
  <si>
    <t>65</t>
    <phoneticPr fontId="3" type="noConversion"/>
  </si>
  <si>
    <t>967</t>
    <phoneticPr fontId="3" type="noConversion"/>
  </si>
  <si>
    <t>95</t>
    <phoneticPr fontId="3" type="noConversion"/>
  </si>
  <si>
    <t>557</t>
    <phoneticPr fontId="3" type="noConversion"/>
  </si>
  <si>
    <t>62</t>
    <phoneticPr fontId="3" type="noConversion"/>
  </si>
  <si>
    <t>904</t>
    <phoneticPr fontId="3" type="noConversion"/>
  </si>
  <si>
    <t>979</t>
    <phoneticPr fontId="3" type="noConversion"/>
  </si>
  <si>
    <t>121</t>
    <phoneticPr fontId="3" type="noConversion"/>
  </si>
  <si>
    <t>1202</t>
    <phoneticPr fontId="3" type="noConversion"/>
  </si>
  <si>
    <t>139</t>
    <phoneticPr fontId="3" type="noConversion"/>
  </si>
  <si>
    <t>1113</t>
    <phoneticPr fontId="3" type="noConversion"/>
  </si>
  <si>
    <t>137</t>
    <phoneticPr fontId="3" type="noConversion"/>
  </si>
  <si>
    <t>1105</t>
    <phoneticPr fontId="3" type="noConversion"/>
  </si>
  <si>
    <t>126</t>
    <phoneticPr fontId="3" type="noConversion"/>
  </si>
  <si>
    <t>233</t>
    <phoneticPr fontId="3" type="noConversion"/>
  </si>
  <si>
    <t>18</t>
    <phoneticPr fontId="3" type="noConversion"/>
  </si>
  <si>
    <t>全省</t>
    <phoneticPr fontId="3" type="noConversion"/>
  </si>
  <si>
    <t>依德</t>
    <phoneticPr fontId="3" type="noConversion"/>
  </si>
  <si>
    <t>TOTAL</t>
    <phoneticPr fontId="3" type="noConversion"/>
  </si>
  <si>
    <r>
      <t>12</t>
    </r>
    <r>
      <rPr>
        <b/>
        <sz val="12"/>
        <rFont val="華康中黑體"/>
        <family val="3"/>
        <charset val="136"/>
      </rPr>
      <t>月</t>
    </r>
  </si>
  <si>
    <t>累積</t>
    <phoneticPr fontId="3" type="noConversion"/>
  </si>
  <si>
    <r>
      <t>11</t>
    </r>
    <r>
      <rPr>
        <b/>
        <sz val="12"/>
        <rFont val="華康中黑體"/>
        <family val="3"/>
        <charset val="136"/>
      </rPr>
      <t>月</t>
    </r>
  </si>
  <si>
    <r>
      <t>10</t>
    </r>
    <r>
      <rPr>
        <b/>
        <sz val="12"/>
        <rFont val="華康中黑體"/>
        <family val="3"/>
        <charset val="136"/>
      </rPr>
      <t>月</t>
    </r>
  </si>
  <si>
    <r>
      <t>9</t>
    </r>
    <r>
      <rPr>
        <b/>
        <sz val="12"/>
        <rFont val="華康中黑體"/>
        <family val="3"/>
        <charset val="136"/>
      </rPr>
      <t>月</t>
    </r>
  </si>
  <si>
    <r>
      <t>8</t>
    </r>
    <r>
      <rPr>
        <b/>
        <sz val="12"/>
        <rFont val="華康中黑體"/>
        <family val="3"/>
        <charset val="136"/>
      </rPr>
      <t>月</t>
    </r>
  </si>
  <si>
    <r>
      <t>7</t>
    </r>
    <r>
      <rPr>
        <b/>
        <sz val="12"/>
        <rFont val="華康中黑體"/>
        <family val="3"/>
        <charset val="136"/>
      </rPr>
      <t>月</t>
    </r>
  </si>
  <si>
    <r>
      <t>6</t>
    </r>
    <r>
      <rPr>
        <b/>
        <sz val="12"/>
        <rFont val="華康中黑體"/>
        <family val="3"/>
        <charset val="136"/>
      </rPr>
      <t>月</t>
    </r>
  </si>
  <si>
    <r>
      <t>5</t>
    </r>
    <r>
      <rPr>
        <b/>
        <sz val="12"/>
        <rFont val="華康中黑體"/>
        <family val="3"/>
        <charset val="136"/>
      </rPr>
      <t>月</t>
    </r>
  </si>
  <si>
    <r>
      <t>4</t>
    </r>
    <r>
      <rPr>
        <b/>
        <sz val="12"/>
        <rFont val="華康中黑體"/>
        <family val="3"/>
        <charset val="136"/>
      </rPr>
      <t>月</t>
    </r>
  </si>
  <si>
    <r>
      <t>3</t>
    </r>
    <r>
      <rPr>
        <b/>
        <sz val="12"/>
        <rFont val="華康中黑體"/>
        <family val="3"/>
        <charset val="136"/>
      </rPr>
      <t>月</t>
    </r>
  </si>
  <si>
    <r>
      <t>2</t>
    </r>
    <r>
      <rPr>
        <b/>
        <sz val="12"/>
        <rFont val="華康中黑體"/>
        <family val="3"/>
        <charset val="136"/>
      </rPr>
      <t>月</t>
    </r>
  </si>
  <si>
    <r>
      <t>1</t>
    </r>
    <r>
      <rPr>
        <b/>
        <sz val="12"/>
        <rFont val="華康中黑體"/>
        <family val="3"/>
        <charset val="136"/>
      </rPr>
      <t>月</t>
    </r>
    <phoneticPr fontId="3" type="noConversion"/>
  </si>
  <si>
    <r>
      <t>年度</t>
    </r>
    <r>
      <rPr>
        <sz val="12"/>
        <rFont val="BMWTypeRegular"/>
        <family val="2"/>
      </rPr>
      <t xml:space="preserve">/              </t>
    </r>
    <r>
      <rPr>
        <sz val="12"/>
        <rFont val="華康中黑體"/>
        <family val="3"/>
        <charset val="136"/>
      </rPr>
      <t>月份</t>
    </r>
    <phoneticPr fontId="3" type="noConversion"/>
  </si>
  <si>
    <r>
      <t>年度每月市場成長</t>
    </r>
    <r>
      <rPr>
        <b/>
        <sz val="18"/>
        <rFont val="BMWTypeRegular"/>
        <family val="2"/>
      </rPr>
      <t>/</t>
    </r>
    <r>
      <rPr>
        <b/>
        <sz val="18"/>
        <rFont val="華康中黑體"/>
        <family val="3"/>
        <charset val="136"/>
      </rPr>
      <t>衰退分析表</t>
    </r>
    <phoneticPr fontId="3" type="noConversion"/>
  </si>
  <si>
    <t>Total</t>
    <phoneticPr fontId="21" type="noConversion"/>
  </si>
  <si>
    <r>
      <rPr>
        <sz val="12"/>
        <color indexed="8"/>
        <rFont val="華康中黑體"/>
        <family val="3"/>
        <charset val="136"/>
      </rPr>
      <t>月份</t>
    </r>
    <phoneticPr fontId="21" type="noConversion"/>
  </si>
  <si>
    <t>其他租賃公司</t>
    <phoneticPr fontId="21" type="noConversion"/>
  </si>
  <si>
    <t>財盟租賃/依德國際</t>
    <phoneticPr fontId="21" type="noConversion"/>
  </si>
  <si>
    <t>外縣市</t>
    <phoneticPr fontId="21" type="noConversion"/>
  </si>
  <si>
    <t>台北市</t>
    <phoneticPr fontId="21" type="noConversion"/>
  </si>
  <si>
    <t>所屬地區銷售台數</t>
    <phoneticPr fontId="21" type="noConversion"/>
  </si>
  <si>
    <t>三峽</t>
    <phoneticPr fontId="21" type="noConversion"/>
  </si>
  <si>
    <t>新店</t>
    <phoneticPr fontId="21" type="noConversion"/>
  </si>
  <si>
    <t>板橋</t>
    <phoneticPr fontId="21" type="noConversion"/>
  </si>
  <si>
    <t>土城</t>
    <phoneticPr fontId="21" type="noConversion"/>
  </si>
  <si>
    <t>永和</t>
    <phoneticPr fontId="21" type="noConversion"/>
  </si>
  <si>
    <t>地區</t>
    <phoneticPr fontId="21" type="noConversion"/>
  </si>
  <si>
    <t>年度地區銷售統計</t>
    <phoneticPr fontId="21" type="noConversion"/>
  </si>
  <si>
    <t>MKT</t>
    <phoneticPr fontId="3" type="noConversion"/>
  </si>
  <si>
    <t>實際</t>
    <phoneticPr fontId="3" type="noConversion"/>
  </si>
  <si>
    <t>全省</t>
    <phoneticPr fontId="3" type="noConversion"/>
  </si>
  <si>
    <t>﹪</t>
    <phoneticPr fontId="3" type="noConversion"/>
  </si>
  <si>
    <t>依德</t>
    <phoneticPr fontId="3" type="noConversion"/>
  </si>
  <si>
    <t>累計</t>
    <phoneticPr fontId="3" type="noConversion"/>
  </si>
  <si>
    <t>實際</t>
    <phoneticPr fontId="3" type="noConversion"/>
  </si>
  <si>
    <t>全省</t>
    <phoneticPr fontId="3" type="noConversion"/>
  </si>
  <si>
    <t>﹪</t>
    <phoneticPr fontId="3" type="noConversion"/>
  </si>
  <si>
    <t>依德</t>
    <phoneticPr fontId="3" type="noConversion"/>
  </si>
  <si>
    <t>行銷</t>
    <phoneticPr fontId="3" type="noConversion"/>
  </si>
  <si>
    <t>三課</t>
    <phoneticPr fontId="3" type="noConversion"/>
  </si>
  <si>
    <t>二課</t>
    <phoneticPr fontId="3" type="noConversion"/>
  </si>
  <si>
    <t>一課</t>
    <phoneticPr fontId="3" type="noConversion"/>
  </si>
  <si>
    <t>E89</t>
    <phoneticPr fontId="3" type="noConversion"/>
  </si>
  <si>
    <t>F04</t>
    <phoneticPr fontId="3" type="noConversion"/>
  </si>
  <si>
    <t>F02</t>
    <phoneticPr fontId="3" type="noConversion"/>
  </si>
  <si>
    <t>F01</t>
    <phoneticPr fontId="3" type="noConversion"/>
  </si>
  <si>
    <t>E71</t>
    <phoneticPr fontId="3" type="noConversion"/>
  </si>
  <si>
    <t>E70</t>
    <phoneticPr fontId="3" type="noConversion"/>
  </si>
  <si>
    <t>F25</t>
    <phoneticPr fontId="3" type="noConversion"/>
  </si>
  <si>
    <t>E84</t>
    <phoneticPr fontId="3" type="noConversion"/>
  </si>
  <si>
    <t>F11</t>
    <phoneticPr fontId="3" type="noConversion"/>
  </si>
  <si>
    <t>F10</t>
    <phoneticPr fontId="3" type="noConversion"/>
  </si>
  <si>
    <t>F07</t>
    <phoneticPr fontId="3" type="noConversion"/>
  </si>
  <si>
    <t>E93</t>
    <phoneticPr fontId="3" type="noConversion"/>
  </si>
  <si>
    <t>E92</t>
    <phoneticPr fontId="3" type="noConversion"/>
  </si>
  <si>
    <t>E91</t>
    <phoneticPr fontId="3" type="noConversion"/>
  </si>
  <si>
    <t>F31</t>
    <phoneticPr fontId="3" type="noConversion"/>
  </si>
  <si>
    <t>F30</t>
    <phoneticPr fontId="3" type="noConversion"/>
  </si>
  <si>
    <t>E90</t>
    <phoneticPr fontId="3" type="noConversion"/>
  </si>
  <si>
    <t>F20</t>
    <phoneticPr fontId="3" type="noConversion"/>
  </si>
  <si>
    <t>E82</t>
    <phoneticPr fontId="3" type="noConversion"/>
  </si>
  <si>
    <t>E87</t>
    <phoneticPr fontId="3" type="noConversion"/>
  </si>
  <si>
    <t>課別</t>
    <phoneticPr fontId="3" type="noConversion"/>
  </si>
  <si>
    <t>TOTAL</t>
    <phoneticPr fontId="3" type="noConversion"/>
  </si>
  <si>
    <t>Z4</t>
    <phoneticPr fontId="3" type="noConversion"/>
  </si>
  <si>
    <t>X</t>
    <phoneticPr fontId="3" type="noConversion"/>
  </si>
  <si>
    <r>
      <t>車系</t>
    </r>
    <r>
      <rPr>
        <sz val="12"/>
        <rFont val="BMWTypeRegular"/>
        <family val="2"/>
      </rPr>
      <t>/</t>
    </r>
    <r>
      <rPr>
        <sz val="12"/>
        <rFont val="華康中黑體"/>
        <family val="3"/>
        <charset val="136"/>
      </rPr>
      <t>車型</t>
    </r>
    <phoneticPr fontId="3" type="noConversion"/>
  </si>
  <si>
    <t>月份</t>
    <phoneticPr fontId="3" type="noConversion"/>
  </si>
  <si>
    <t>Jan. -Dec.</t>
    <phoneticPr fontId="3" type="noConversion"/>
  </si>
  <si>
    <t>累計</t>
    <phoneticPr fontId="3" type="noConversion"/>
  </si>
  <si>
    <t>三課</t>
    <phoneticPr fontId="3" type="noConversion"/>
  </si>
  <si>
    <t>二課</t>
    <phoneticPr fontId="3" type="noConversion"/>
  </si>
  <si>
    <t>一課</t>
    <phoneticPr fontId="3" type="noConversion"/>
  </si>
  <si>
    <t>E89</t>
    <phoneticPr fontId="3" type="noConversion"/>
  </si>
  <si>
    <t>F04</t>
    <phoneticPr fontId="3" type="noConversion"/>
  </si>
  <si>
    <t>F02</t>
    <phoneticPr fontId="3" type="noConversion"/>
  </si>
  <si>
    <t>F01</t>
    <phoneticPr fontId="3" type="noConversion"/>
  </si>
  <si>
    <t>E71</t>
    <phoneticPr fontId="3" type="noConversion"/>
  </si>
  <si>
    <t>E70</t>
    <phoneticPr fontId="3" type="noConversion"/>
  </si>
  <si>
    <t>F25</t>
    <phoneticPr fontId="3" type="noConversion"/>
  </si>
  <si>
    <t>E84</t>
    <phoneticPr fontId="3" type="noConversion"/>
  </si>
  <si>
    <t>F11</t>
    <phoneticPr fontId="3" type="noConversion"/>
  </si>
  <si>
    <t>F10</t>
    <phoneticPr fontId="3" type="noConversion"/>
  </si>
  <si>
    <t>F07</t>
    <phoneticPr fontId="3" type="noConversion"/>
  </si>
  <si>
    <t>E93</t>
    <phoneticPr fontId="3" type="noConversion"/>
  </si>
  <si>
    <t>E92</t>
    <phoneticPr fontId="3" type="noConversion"/>
  </si>
  <si>
    <t>E91</t>
    <phoneticPr fontId="3" type="noConversion"/>
  </si>
  <si>
    <t>F31</t>
    <phoneticPr fontId="3" type="noConversion"/>
  </si>
  <si>
    <t>F30</t>
    <phoneticPr fontId="3" type="noConversion"/>
  </si>
  <si>
    <t>E90</t>
    <phoneticPr fontId="3" type="noConversion"/>
  </si>
  <si>
    <t>F20</t>
    <phoneticPr fontId="3" type="noConversion"/>
  </si>
  <si>
    <t>E82</t>
    <phoneticPr fontId="3" type="noConversion"/>
  </si>
  <si>
    <t>E87</t>
    <phoneticPr fontId="3" type="noConversion"/>
  </si>
  <si>
    <t>課別</t>
    <phoneticPr fontId="3" type="noConversion"/>
  </si>
  <si>
    <t>TOTAL</t>
    <phoneticPr fontId="3" type="noConversion"/>
  </si>
  <si>
    <t>Z4</t>
    <phoneticPr fontId="3" type="noConversion"/>
  </si>
  <si>
    <t>X</t>
    <phoneticPr fontId="3" type="noConversion"/>
  </si>
  <si>
    <r>
      <t>車系</t>
    </r>
    <r>
      <rPr>
        <sz val="12"/>
        <rFont val="BMWTypeRegular"/>
        <family val="2"/>
      </rPr>
      <t>/</t>
    </r>
    <r>
      <rPr>
        <sz val="12"/>
        <rFont val="華康中黑體"/>
        <family val="3"/>
        <charset val="136"/>
      </rPr>
      <t>車型</t>
    </r>
    <phoneticPr fontId="3" type="noConversion"/>
  </si>
  <si>
    <t>行銷業務</t>
    <phoneticPr fontId="21" type="noConversion"/>
  </si>
  <si>
    <t>新北市其他地區</t>
    <phoneticPr fontId="21" type="noConversion"/>
  </si>
  <si>
    <t>2013年度地區銷售統計</t>
    <phoneticPr fontId="50" type="noConversion"/>
  </si>
  <si>
    <t>F13</t>
    <phoneticPr fontId="3" type="noConversion"/>
  </si>
  <si>
    <t>F06</t>
    <phoneticPr fontId="3" type="noConversion"/>
  </si>
  <si>
    <r>
      <t>2013</t>
    </r>
    <r>
      <rPr>
        <b/>
        <sz val="16"/>
        <rFont val="華康中黑體"/>
        <family val="3"/>
        <charset val="136"/>
      </rPr>
      <t>年各車系銷售進度分析表</t>
    </r>
    <phoneticPr fontId="3" type="noConversion"/>
  </si>
  <si>
    <t>F06</t>
    <phoneticPr fontId="3" type="noConversion"/>
  </si>
  <si>
    <t>F13</t>
    <phoneticPr fontId="3" type="noConversion"/>
  </si>
  <si>
    <t>試乘車</t>
    <phoneticPr fontId="3" type="noConversion"/>
  </si>
  <si>
    <t>中和</t>
    <phoneticPr fontId="3" type="noConversion"/>
  </si>
  <si>
    <t>試乘車</t>
    <phoneticPr fontId="21" type="noConversion"/>
  </si>
  <si>
    <t>其他</t>
    <phoneticPr fontId="21" type="noConversion"/>
  </si>
  <si>
    <t>試乘車</t>
    <phoneticPr fontId="3" type="noConversion"/>
  </si>
  <si>
    <t>行銷業務</t>
    <phoneticPr fontId="3" type="noConversion"/>
  </si>
  <si>
    <t>N0</t>
    <phoneticPr fontId="23" type="noConversion"/>
  </si>
  <si>
    <r>
      <rPr>
        <sz val="12"/>
        <rFont val="華康中黑體"/>
        <family val="3"/>
        <charset val="136"/>
      </rPr>
      <t>郵遞區號</t>
    </r>
    <phoneticPr fontId="23" type="noConversion"/>
  </si>
  <si>
    <t>財盟小客</t>
  </si>
  <si>
    <t>營一課</t>
  </si>
  <si>
    <t>林柏霖</t>
  </si>
  <si>
    <t>謝中堅</t>
  </si>
  <si>
    <t>營二課</t>
  </si>
  <si>
    <t>營三課</t>
  </si>
  <si>
    <t>財盟租賃</t>
  </si>
  <si>
    <t>退換車</t>
    <phoneticPr fontId="21" type="noConversion"/>
  </si>
  <si>
    <r>
      <rPr>
        <sz val="10"/>
        <color indexed="18"/>
        <rFont val="華康中黑體"/>
        <family val="3"/>
        <charset val="136"/>
      </rPr>
      <t>平均產能</t>
    </r>
    <phoneticPr fontId="21" type="noConversion"/>
  </si>
  <si>
    <r>
      <rPr>
        <sz val="10"/>
        <rFont val="華康中黑體"/>
        <family val="3"/>
        <charset val="136"/>
      </rPr>
      <t>三　課</t>
    </r>
    <phoneticPr fontId="21" type="noConversion"/>
  </si>
  <si>
    <t>退換車</t>
    <phoneticPr fontId="21" type="noConversion"/>
  </si>
  <si>
    <r>
      <rPr>
        <sz val="10"/>
        <color indexed="18"/>
        <rFont val="細明體"/>
        <family val="3"/>
        <charset val="136"/>
      </rPr>
      <t>退換車</t>
    </r>
    <phoneticPr fontId="21" type="noConversion"/>
  </si>
  <si>
    <r>
      <rPr>
        <sz val="10"/>
        <rFont val="華康中黑體"/>
        <family val="3"/>
        <charset val="136"/>
      </rPr>
      <t>總　計</t>
    </r>
    <phoneticPr fontId="21" type="noConversion"/>
  </si>
  <si>
    <r>
      <rPr>
        <sz val="10"/>
        <color indexed="8"/>
        <rFont val="華康中黑體"/>
        <family val="3"/>
        <charset val="136"/>
      </rPr>
      <t>台　數</t>
    </r>
    <phoneticPr fontId="21" type="noConversion"/>
  </si>
  <si>
    <r>
      <rPr>
        <sz val="10"/>
        <color indexed="18"/>
        <rFont val="華康中黑體"/>
        <family val="3"/>
        <charset val="136"/>
      </rPr>
      <t>銷售人數</t>
    </r>
    <phoneticPr fontId="21" type="noConversion"/>
  </si>
  <si>
    <r>
      <rPr>
        <sz val="10"/>
        <color indexed="18"/>
        <rFont val="華康中黑體"/>
        <family val="3"/>
        <charset val="136"/>
      </rPr>
      <t>平均產能</t>
    </r>
    <phoneticPr fontId="21" type="noConversion"/>
  </si>
  <si>
    <t>退換車</t>
    <phoneticPr fontId="21" type="noConversion"/>
  </si>
  <si>
    <t>陳維德</t>
  </si>
  <si>
    <r>
      <rPr>
        <b/>
        <sz val="12"/>
        <rFont val="華康中黑體"/>
        <family val="3"/>
        <charset val="136"/>
      </rPr>
      <t>經銷商名稱：</t>
    </r>
    <r>
      <rPr>
        <b/>
        <sz val="12"/>
        <rFont val="BMWTypeRegular"/>
        <family val="2"/>
      </rPr>
      <t>Yi-Der</t>
    </r>
    <phoneticPr fontId="62" type="noConversion"/>
  </si>
  <si>
    <t>Sales Consultant Efficiency Report - 2012</t>
    <phoneticPr fontId="3" type="noConversion"/>
  </si>
  <si>
    <t>NO</t>
    <phoneticPr fontId="62" type="noConversion"/>
  </si>
  <si>
    <r>
      <rPr>
        <b/>
        <sz val="12"/>
        <rFont val="華康中黑體"/>
        <family val="3"/>
        <charset val="136"/>
      </rPr>
      <t>業代姓名</t>
    </r>
    <r>
      <rPr>
        <b/>
        <sz val="10"/>
        <rFont val="BMWTypeRegular"/>
        <family val="2"/>
      </rPr>
      <t/>
    </r>
    <phoneticPr fontId="62" type="noConversion"/>
  </si>
  <si>
    <t>Jan</t>
  </si>
  <si>
    <r>
      <rPr>
        <b/>
        <sz val="12"/>
        <rFont val="華康中黑體"/>
        <family val="3"/>
        <charset val="136"/>
      </rPr>
      <t xml:space="preserve">總計
</t>
    </r>
    <r>
      <rPr>
        <b/>
        <sz val="12"/>
        <rFont val="BMWTypeRegular"/>
        <family val="2"/>
      </rPr>
      <t>Total</t>
    </r>
    <phoneticPr fontId="62" type="noConversion"/>
  </si>
  <si>
    <r>
      <rPr>
        <b/>
        <sz val="12"/>
        <rFont val="華康中黑體"/>
        <family val="3"/>
        <charset val="136"/>
      </rPr>
      <t>統計月份數</t>
    </r>
    <phoneticPr fontId="62" type="noConversion"/>
  </si>
  <si>
    <r>
      <rPr>
        <b/>
        <sz val="12"/>
        <rFont val="華康中黑體"/>
        <family val="3"/>
        <charset val="136"/>
      </rPr>
      <t>團體銷售占有率</t>
    </r>
    <phoneticPr fontId="62" type="noConversion"/>
  </si>
  <si>
    <t>許嘉航</t>
    <phoneticPr fontId="62" type="noConversion"/>
  </si>
  <si>
    <t>郭天南</t>
    <phoneticPr fontId="3" type="noConversion"/>
  </si>
  <si>
    <t>凌大偉</t>
    <phoneticPr fontId="62" type="noConversion"/>
  </si>
  <si>
    <t>梁大民</t>
    <phoneticPr fontId="3" type="noConversion"/>
  </si>
  <si>
    <t>花志明</t>
    <phoneticPr fontId="62" type="noConversion"/>
  </si>
  <si>
    <t>林柏霖</t>
    <phoneticPr fontId="62" type="noConversion"/>
  </si>
  <si>
    <t>陳龍雲</t>
    <phoneticPr fontId="3" type="noConversion"/>
  </si>
  <si>
    <t>張健宏</t>
    <phoneticPr fontId="3" type="noConversion"/>
  </si>
  <si>
    <t>簡志勳</t>
    <phoneticPr fontId="3" type="noConversion"/>
  </si>
  <si>
    <t>王裕明</t>
    <phoneticPr fontId="3" type="noConversion"/>
  </si>
  <si>
    <t>郭麗文</t>
    <phoneticPr fontId="3" type="noConversion"/>
  </si>
  <si>
    <t>退換車</t>
    <phoneticPr fontId="3" type="noConversion"/>
  </si>
  <si>
    <t>S1-TOTAL</t>
    <phoneticPr fontId="3" type="noConversion"/>
  </si>
  <si>
    <t>謝中堅</t>
    <phoneticPr fontId="3" type="noConversion"/>
  </si>
  <si>
    <t>王慶儒</t>
    <phoneticPr fontId="62" type="noConversion"/>
  </si>
  <si>
    <t>黃盛緯</t>
    <phoneticPr fontId="62" type="noConversion"/>
  </si>
  <si>
    <t>張昇文</t>
    <phoneticPr fontId="62" type="noConversion"/>
  </si>
  <si>
    <t>莊朝清</t>
    <phoneticPr fontId="3" type="noConversion"/>
  </si>
  <si>
    <r>
      <rPr>
        <b/>
        <sz val="12"/>
        <rFont val="華康中黑體"/>
        <family val="3"/>
        <charset val="136"/>
      </rPr>
      <t>林陳郎</t>
    </r>
    <phoneticPr fontId="3" type="noConversion"/>
  </si>
  <si>
    <t>林政勳</t>
    <phoneticPr fontId="3" type="noConversion"/>
  </si>
  <si>
    <t>陳維德</t>
    <phoneticPr fontId="3" type="noConversion"/>
  </si>
  <si>
    <t>王冠賢</t>
    <phoneticPr fontId="3" type="noConversion"/>
  </si>
  <si>
    <t>戴子貽</t>
    <phoneticPr fontId="3" type="noConversion"/>
  </si>
  <si>
    <t>陳一鋐</t>
    <phoneticPr fontId="3" type="noConversion"/>
  </si>
  <si>
    <t>S2-TOTAL</t>
    <phoneticPr fontId="3" type="noConversion"/>
  </si>
  <si>
    <r>
      <rPr>
        <b/>
        <sz val="12"/>
        <rFont val="華康中黑體"/>
        <family val="3"/>
        <charset val="136"/>
      </rPr>
      <t>黃英杰</t>
    </r>
    <phoneticPr fontId="62" type="noConversion"/>
  </si>
  <si>
    <t>陳禮健</t>
    <phoneticPr fontId="62" type="noConversion"/>
  </si>
  <si>
    <t>賈勇華</t>
    <phoneticPr fontId="3" type="noConversion"/>
  </si>
  <si>
    <t>郭力嘉</t>
    <phoneticPr fontId="3" type="noConversion"/>
  </si>
  <si>
    <t>吳侑親</t>
    <phoneticPr fontId="3" type="noConversion"/>
  </si>
  <si>
    <t>田錦興</t>
    <phoneticPr fontId="3" type="noConversion"/>
  </si>
  <si>
    <t>劉家任</t>
    <phoneticPr fontId="3" type="noConversion"/>
  </si>
  <si>
    <t>吳豐譽</t>
    <phoneticPr fontId="3" type="noConversion"/>
  </si>
  <si>
    <t>鄭英彥</t>
    <phoneticPr fontId="3" type="noConversion"/>
  </si>
  <si>
    <t>林謙慶</t>
    <phoneticPr fontId="3" type="noConversion"/>
  </si>
  <si>
    <t>S3-TOTAL</t>
    <phoneticPr fontId="3" type="noConversion"/>
  </si>
  <si>
    <t>行銷業務</t>
    <phoneticPr fontId="3" type="noConversion"/>
  </si>
  <si>
    <t>試乘車</t>
    <phoneticPr fontId="3" type="noConversion"/>
  </si>
  <si>
    <t>主管配車</t>
    <phoneticPr fontId="3" type="noConversion"/>
  </si>
  <si>
    <t>員購/配車</t>
    <phoneticPr fontId="3" type="noConversion"/>
  </si>
  <si>
    <t>退換車</t>
    <phoneticPr fontId="3" type="noConversion"/>
  </si>
  <si>
    <t>Months Used</t>
  </si>
  <si>
    <t>Average sales / month</t>
  </si>
  <si>
    <r>
      <t>2013</t>
    </r>
    <r>
      <rPr>
        <sz val="14"/>
        <color indexed="18"/>
        <rFont val="華康中黑體"/>
        <family val="3"/>
        <charset val="136"/>
      </rPr>
      <t>年新車銷售各課平均產能</t>
    </r>
    <r>
      <rPr>
        <sz val="14"/>
        <color indexed="18"/>
        <rFont val="BMWTypeRegular"/>
        <family val="2"/>
      </rPr>
      <t>(</t>
    </r>
    <r>
      <rPr>
        <sz val="14"/>
        <color indexed="18"/>
        <rFont val="華康中黑體"/>
        <family val="3"/>
        <charset val="136"/>
      </rPr>
      <t>台數</t>
    </r>
    <r>
      <rPr>
        <sz val="14"/>
        <color indexed="18"/>
        <rFont val="BMWTypeRegular"/>
        <family val="2"/>
      </rPr>
      <t>/</t>
    </r>
    <r>
      <rPr>
        <sz val="14"/>
        <color indexed="18"/>
        <rFont val="華康中黑體"/>
        <family val="3"/>
        <charset val="136"/>
      </rPr>
      <t>銷售人數</t>
    </r>
    <r>
      <rPr>
        <sz val="14"/>
        <color indexed="18"/>
        <rFont val="BMWTypeRegular"/>
        <family val="2"/>
      </rPr>
      <t>)</t>
    </r>
    <phoneticPr fontId="21" type="noConversion"/>
  </si>
  <si>
    <r>
      <t>2013</t>
    </r>
    <r>
      <rPr>
        <sz val="20"/>
        <rFont val="華康中黑體"/>
        <family val="3"/>
        <charset val="136"/>
      </rPr>
      <t>年新車銷售業代產能</t>
    </r>
    <r>
      <rPr>
        <sz val="20"/>
        <rFont val="BMWTypeRegular"/>
        <family val="2"/>
      </rPr>
      <t>(</t>
    </r>
    <r>
      <rPr>
        <sz val="20"/>
        <rFont val="華康中黑體"/>
        <family val="3"/>
        <charset val="136"/>
      </rPr>
      <t>台數</t>
    </r>
    <r>
      <rPr>
        <sz val="20"/>
        <rFont val="BMWTypeRegular"/>
        <family val="2"/>
      </rPr>
      <t>/</t>
    </r>
    <r>
      <rPr>
        <sz val="20"/>
        <rFont val="華康中黑體"/>
        <family val="3"/>
        <charset val="136"/>
      </rPr>
      <t>月份</t>
    </r>
    <r>
      <rPr>
        <sz val="20"/>
        <rFont val="BMWTypeRegular"/>
        <family val="2"/>
      </rPr>
      <t>)</t>
    </r>
    <phoneticPr fontId="21" type="noConversion"/>
  </si>
  <si>
    <t>S2</t>
    <phoneticPr fontId="21" type="noConversion"/>
  </si>
  <si>
    <t>Jan. - Dec.</t>
    <phoneticPr fontId="3" type="noConversion"/>
  </si>
  <si>
    <t>102.03.31</t>
    <phoneticPr fontId="21" type="noConversion"/>
  </si>
  <si>
    <t>簡志勳</t>
    <phoneticPr fontId="21" type="noConversion"/>
  </si>
  <si>
    <t>黃盛緯</t>
  </si>
  <si>
    <t>共興交通</t>
  </si>
  <si>
    <t>立泉工程</t>
  </si>
  <si>
    <t>允鼎科技</t>
  </si>
  <si>
    <t>俊穎五金</t>
  </si>
  <si>
    <t>藝術村書</t>
  </si>
  <si>
    <t>RAB-5787</t>
  </si>
  <si>
    <t>AAQ-3166</t>
  </si>
  <si>
    <t>RAB-5777</t>
  </si>
  <si>
    <t>AAQ-0898</t>
  </si>
  <si>
    <t>RAB-5358</t>
  </si>
  <si>
    <t>DW42566</t>
  </si>
  <si>
    <t>DY54967</t>
  </si>
  <si>
    <t>DZ96472</t>
  </si>
  <si>
    <t>VS22045</t>
  </si>
  <si>
    <t>DY55720</t>
  </si>
  <si>
    <t>03-8576-689</t>
  </si>
  <si>
    <t>2952-1939</t>
  </si>
  <si>
    <t>0921-502-226</t>
  </si>
  <si>
    <t>2608-0240</t>
  </si>
  <si>
    <t>8797-1168</t>
  </si>
  <si>
    <t>郭天南</t>
  </si>
  <si>
    <t>陳龍雲</t>
  </si>
  <si>
    <t>528I F10 N</t>
  </si>
  <si>
    <t>520D F10</t>
  </si>
  <si>
    <t>520D GT</t>
  </si>
  <si>
    <t>X1 S18I</t>
  </si>
  <si>
    <t>花蓮市富裕二街3號1樓</t>
  </si>
  <si>
    <t>新北市板橋區四川路一段379號</t>
  </si>
  <si>
    <t>新北市三重區文化南路38之1號</t>
  </si>
  <si>
    <t>新北市中和區中和路14號2樓</t>
  </si>
  <si>
    <t>台北市大同區承德路二段81號12樓之1</t>
  </si>
  <si>
    <t xml:space="preserve">528I F10 </t>
    <phoneticPr fontId="21" type="noConversion"/>
  </si>
  <si>
    <r>
      <t>2013 03</t>
    </r>
    <r>
      <rPr>
        <sz val="20"/>
        <rFont val="華康中黑體"/>
        <family val="3"/>
        <charset val="136"/>
      </rPr>
      <t>財盟租賃客戶資料</t>
    </r>
    <phoneticPr fontId="23" type="noConversion"/>
  </si>
  <si>
    <t>格上汽車</t>
  </si>
  <si>
    <t>和運租車</t>
  </si>
  <si>
    <t>聯邦國際</t>
  </si>
  <si>
    <t>RAB-5239</t>
  </si>
  <si>
    <t>DW43693</t>
  </si>
  <si>
    <t>RAB-2556</t>
  </si>
  <si>
    <t>DY54732</t>
  </si>
  <si>
    <t>RAB-1717</t>
  </si>
  <si>
    <t>DY54593</t>
  </si>
  <si>
    <t>0910-002-101</t>
  </si>
  <si>
    <t>0932-137-801</t>
  </si>
  <si>
    <t>王裕明</t>
  </si>
  <si>
    <t xml:space="preserve">528I F10 </t>
    <phoneticPr fontId="3" type="noConversion"/>
  </si>
  <si>
    <t>台北市大安區敦化南路二段2號11樓</t>
  </si>
  <si>
    <t>台北市中山區松江路121號15樓</t>
  </si>
  <si>
    <t>台北市中山區南京東路二段137號9樓</t>
  </si>
  <si>
    <r>
      <t>2013 03</t>
    </r>
    <r>
      <rPr>
        <sz val="20"/>
        <rFont val="華康中黑體"/>
        <family val="3"/>
        <charset val="136"/>
      </rPr>
      <t>非財盟租賃客戶資料</t>
    </r>
    <phoneticPr fontId="23" type="noConversion"/>
  </si>
  <si>
    <t>Mar</t>
    <phoneticPr fontId="3" type="noConversion"/>
  </si>
  <si>
    <t>掛牌台數</t>
    <phoneticPr fontId="21" type="noConversion"/>
  </si>
  <si>
    <r>
      <rPr>
        <b/>
        <sz val="12"/>
        <rFont val="華康中黑體"/>
        <family val="3"/>
        <charset val="136"/>
      </rPr>
      <t xml:space="preserve">掛牌產能
</t>
    </r>
    <r>
      <rPr>
        <b/>
        <sz val="12"/>
        <rFont val="BMWTypeRegular"/>
        <family val="2"/>
      </rPr>
      <t>Efficiency</t>
    </r>
    <phoneticPr fontId="62" type="noConversion"/>
  </si>
  <si>
    <t>請依此報表編製</t>
    <phoneticPr fontId="3" type="noConversion"/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</si>
</sst>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0_ "/>
    <numFmt numFmtId="178" formatCode="0.0%"/>
    <numFmt numFmtId="179" formatCode="#,##0_ "/>
    <numFmt numFmtId="180" formatCode="0.00;__x0005_"/>
    <numFmt numFmtId="181" formatCode="0.00_ "/>
    <numFmt numFmtId="182" formatCode="0.00_);[Red]\(0.00\)"/>
    <numFmt numFmtId="183" formatCode="0.0"/>
  </numFmts>
  <fonts count="69">
    <font>
      <sz val="12"/>
      <name val="MINITypeRegular"/>
      <family val="2"/>
    </font>
    <font>
      <sz val="12"/>
      <color theme="1"/>
      <name val="新細明體"/>
      <family val="2"/>
      <charset val="136"/>
      <scheme val="minor"/>
    </font>
    <font>
      <sz val="12"/>
      <name val="MINITypeRegular"/>
      <family val="2"/>
    </font>
    <font>
      <sz val="9"/>
      <name val="細明體"/>
      <family val="3"/>
      <charset val="136"/>
    </font>
    <font>
      <b/>
      <sz val="16"/>
      <name val="華康中黑體"/>
      <family val="3"/>
      <charset val="136"/>
    </font>
    <font>
      <b/>
      <sz val="16"/>
      <name val="BMWTypeRegular"/>
      <family val="2"/>
    </font>
    <font>
      <b/>
      <sz val="18"/>
      <name val="BMWTypeRegular"/>
      <family val="2"/>
    </font>
    <font>
      <b/>
      <sz val="18"/>
      <name val="華康中黑體"/>
      <family val="3"/>
      <charset val="136"/>
    </font>
    <font>
      <b/>
      <sz val="9"/>
      <color indexed="81"/>
      <name val="細明體"/>
      <family val="3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Verdana"/>
      <family val="2"/>
    </font>
    <font>
      <sz val="12"/>
      <name val="BMWTypeRegular"/>
      <family val="2"/>
    </font>
    <font>
      <b/>
      <sz val="12"/>
      <name val="BMWTypeRegular"/>
      <family val="2"/>
    </font>
    <font>
      <b/>
      <sz val="12"/>
      <name val="細明體"/>
      <family val="3"/>
      <charset val="136"/>
    </font>
    <font>
      <b/>
      <sz val="12"/>
      <name val="華康中黑體"/>
      <family val="3"/>
      <charset val="136"/>
    </font>
    <font>
      <b/>
      <sz val="10"/>
      <name val="BMWTypeRegular"/>
      <family val="2"/>
    </font>
    <font>
      <sz val="12"/>
      <name val="BMWType V2 Regular"/>
    </font>
    <font>
      <sz val="12"/>
      <color theme="1"/>
      <name val="BMWType V2 Regular"/>
    </font>
    <font>
      <sz val="9"/>
      <name val="新細明體"/>
      <family val="1"/>
      <charset val="136"/>
    </font>
    <font>
      <sz val="12"/>
      <name val="華康中黑體"/>
      <family val="3"/>
      <charset val="136"/>
    </font>
    <font>
      <sz val="9"/>
      <name val="新細明體"/>
      <family val="2"/>
      <charset val="136"/>
      <scheme val="minor"/>
    </font>
    <font>
      <sz val="20"/>
      <name val="BMWType V2 Regular"/>
    </font>
    <font>
      <sz val="20"/>
      <name val="華康中黑體"/>
      <family val="3"/>
      <charset val="136"/>
    </font>
    <font>
      <sz val="12"/>
      <name val="Times New Roman"/>
      <family val="1"/>
    </font>
    <font>
      <sz val="10"/>
      <name val="BMWTypeRegular"/>
      <family val="2"/>
    </font>
    <font>
      <sz val="10"/>
      <color indexed="12"/>
      <name val="BMWTypeRegular"/>
      <family val="2"/>
    </font>
    <font>
      <b/>
      <sz val="10"/>
      <color indexed="12"/>
      <name val="BMWTypeRegular"/>
      <family val="2"/>
    </font>
    <font>
      <b/>
      <sz val="10"/>
      <name val="華康中黑體"/>
      <family val="3"/>
      <charset val="136"/>
    </font>
    <font>
      <sz val="10"/>
      <name val="華康中黑體"/>
      <family val="3"/>
      <charset val="136"/>
    </font>
    <font>
      <b/>
      <sz val="10"/>
      <color indexed="10"/>
      <name val="BMWTypeRegular"/>
      <family val="2"/>
    </font>
    <font>
      <sz val="10"/>
      <color indexed="18"/>
      <name val="BMWTypeRegular"/>
      <family val="2"/>
    </font>
    <font>
      <sz val="10"/>
      <color indexed="18"/>
      <name val="華康中黑體"/>
      <family val="3"/>
      <charset val="136"/>
    </font>
    <font>
      <sz val="10"/>
      <color indexed="10"/>
      <name val="BMWTypeRegular"/>
      <family val="2"/>
    </font>
    <font>
      <sz val="10"/>
      <color indexed="8"/>
      <name val="BMWTypeRegular"/>
      <family val="2"/>
    </font>
    <font>
      <sz val="10"/>
      <color indexed="8"/>
      <name val="華康中黑體"/>
      <family val="3"/>
      <charset val="136"/>
    </font>
    <font>
      <sz val="14"/>
      <color indexed="18"/>
      <name val="BMWTypeRegular"/>
      <family val="2"/>
    </font>
    <font>
      <sz val="14"/>
      <color indexed="18"/>
      <name val="華康中黑體"/>
      <family val="3"/>
      <charset val="136"/>
    </font>
    <font>
      <b/>
      <sz val="9"/>
      <color rgb="FFFF0000"/>
      <name val="BMWTypeRegular"/>
      <family val="2"/>
    </font>
    <font>
      <sz val="9"/>
      <name val="BMWTypeRegular"/>
      <family val="2"/>
    </font>
    <font>
      <sz val="11"/>
      <name val="BMWTypeRegular"/>
      <family val="2"/>
    </font>
    <font>
      <sz val="8"/>
      <name val="BMWTypeRegular"/>
      <family val="2"/>
    </font>
    <font>
      <b/>
      <sz val="10"/>
      <color rgb="FFFF0000"/>
      <name val="BMWTypeRegular"/>
      <family val="2"/>
    </font>
    <font>
      <b/>
      <sz val="11"/>
      <name val="BMWTypeRegular"/>
      <family val="2"/>
    </font>
    <font>
      <sz val="12"/>
      <color theme="1"/>
      <name val="BMWTypeRegular"/>
      <family val="2"/>
    </font>
    <font>
      <b/>
      <sz val="12"/>
      <color theme="1"/>
      <name val="BMWTypeRegular"/>
      <family val="2"/>
    </font>
    <font>
      <sz val="12"/>
      <color theme="1"/>
      <name val="華康中黑體"/>
      <family val="3"/>
      <charset val="136"/>
    </font>
    <font>
      <sz val="12"/>
      <color indexed="8"/>
      <name val="華康中黑體"/>
      <family val="3"/>
      <charset val="136"/>
    </font>
    <font>
      <sz val="9"/>
      <name val="新細明體"/>
      <family val="1"/>
      <charset val="136"/>
      <scheme val="minor"/>
    </font>
    <font>
      <sz val="20"/>
      <color theme="1"/>
      <name val="華康中黑體"/>
      <family val="3"/>
      <charset val="136"/>
    </font>
    <font>
      <b/>
      <sz val="18"/>
      <color theme="1"/>
      <name val="BMWTypeRegular"/>
      <family val="2"/>
    </font>
    <font>
      <b/>
      <sz val="18"/>
      <color theme="1"/>
      <name val="華康中黑體"/>
      <family val="3"/>
      <charset val="136"/>
    </font>
    <font>
      <sz val="12"/>
      <color theme="0" tint="-0.14999847407452621"/>
      <name val="BMWTypeRegular"/>
      <family val="2"/>
    </font>
    <font>
      <sz val="12"/>
      <name val="細明體"/>
      <family val="3"/>
      <charset val="136"/>
    </font>
    <font>
      <sz val="11.8"/>
      <name val="BMWTypeRegular"/>
      <family val="2"/>
    </font>
    <font>
      <sz val="11"/>
      <name val="華康中黑體"/>
      <family val="3"/>
      <charset val="136"/>
    </font>
    <font>
      <sz val="10"/>
      <color indexed="18"/>
      <name val="細明體"/>
      <family val="3"/>
      <charset val="136"/>
    </font>
    <font>
      <sz val="9"/>
      <color indexed="81"/>
      <name val="細明體"/>
      <family val="3"/>
      <charset val="136"/>
    </font>
    <font>
      <sz val="10"/>
      <color rgb="FFFF0000"/>
      <name val="BMWTypeRegular"/>
      <family val="2"/>
    </font>
    <font>
      <sz val="10"/>
      <color rgb="FF0000FF"/>
      <name val="BMWTypeRegular"/>
      <family val="2"/>
    </font>
    <font>
      <sz val="8"/>
      <name val="Verdana"/>
      <family val="2"/>
    </font>
    <font>
      <b/>
      <sz val="12"/>
      <color indexed="23"/>
      <name val="BMWTypeRegular"/>
      <family val="2"/>
    </font>
    <font>
      <b/>
      <sz val="12"/>
      <color indexed="10"/>
      <name val="BMWTypeRegular"/>
      <family val="2"/>
    </font>
    <font>
      <sz val="10"/>
      <color theme="0"/>
      <name val="BMWTypeRegular"/>
      <family val="2"/>
    </font>
    <font>
      <sz val="20"/>
      <name val="BMWTypeRegular"/>
      <family val="2"/>
    </font>
    <font>
      <b/>
      <sz val="12"/>
      <color theme="0" tint="-0.14999847407452621"/>
      <name val="BMWTypeRegular"/>
      <family val="2"/>
    </font>
    <font>
      <sz val="28"/>
      <color rgb="FFFF0000"/>
      <name val="華康中圓體(P)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ck">
        <color indexed="64"/>
      </top>
      <bottom/>
      <diagonal/>
    </border>
    <border diagonalDown="1">
      <left style="thick">
        <color indexed="64"/>
      </left>
      <right/>
      <top style="thick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" fillId="0" borderId="0">
      <alignment vertical="center"/>
    </xf>
    <xf numFmtId="0" fontId="26" fillId="0" borderId="0"/>
    <xf numFmtId="9" fontId="2" fillId="0" borderId="0" applyFont="0" applyFill="0" applyBorder="0" applyAlignment="0" applyProtection="0"/>
  </cellStyleXfs>
  <cellXfs count="440">
    <xf numFmtId="0" fontId="0" fillId="0" borderId="0" xfId="0"/>
    <xf numFmtId="0" fontId="19" fillId="0" borderId="0" xfId="8" applyFont="1" applyAlignment="1">
      <alignment horizontal="center" vertical="center"/>
    </xf>
    <xf numFmtId="49" fontId="19" fillId="0" borderId="0" xfId="8" applyNumberFormat="1" applyFont="1" applyAlignment="1">
      <alignment horizontal="center" vertical="center"/>
    </xf>
    <xf numFmtId="0" fontId="20" fillId="0" borderId="27" xfId="8" applyFont="1" applyBorder="1" applyAlignment="1">
      <alignment horizontal="center" vertical="center"/>
    </xf>
    <xf numFmtId="0" fontId="20" fillId="0" borderId="4" xfId="8" applyFont="1" applyBorder="1" applyAlignment="1">
      <alignment horizontal="center" vertical="center"/>
    </xf>
    <xf numFmtId="49" fontId="20" fillId="0" borderId="4" xfId="8" applyNumberFormat="1" applyFont="1" applyBorder="1" applyAlignment="1">
      <alignment horizontal="center" vertical="center"/>
    </xf>
    <xf numFmtId="0" fontId="19" fillId="0" borderId="52" xfId="8" applyFont="1" applyBorder="1" applyAlignment="1">
      <alignment horizontal="center" vertical="center"/>
    </xf>
    <xf numFmtId="0" fontId="20" fillId="0" borderId="26" xfId="8" applyFont="1" applyBorder="1" applyAlignment="1">
      <alignment horizontal="center" vertical="center"/>
    </xf>
    <xf numFmtId="0" fontId="20" fillId="0" borderId="2" xfId="8" applyFont="1" applyBorder="1" applyAlignment="1">
      <alignment horizontal="center" vertical="center"/>
    </xf>
    <xf numFmtId="49" fontId="20" fillId="0" borderId="2" xfId="8" applyNumberFormat="1" applyFont="1" applyBorder="1" applyAlignment="1">
      <alignment horizontal="center" vertical="center"/>
    </xf>
    <xf numFmtId="0" fontId="19" fillId="0" borderId="53" xfId="8" applyFont="1" applyBorder="1" applyAlignment="1">
      <alignment horizontal="center" vertical="center"/>
    </xf>
    <xf numFmtId="0" fontId="20" fillId="0" borderId="26" xfId="8" applyFont="1" applyBorder="1">
      <alignment vertical="center"/>
    </xf>
    <xf numFmtId="0" fontId="20" fillId="0" borderId="2" xfId="8" applyFont="1" applyBorder="1">
      <alignment vertical="center"/>
    </xf>
    <xf numFmtId="0" fontId="20" fillId="0" borderId="0" xfId="8" applyFont="1">
      <alignment vertical="center"/>
    </xf>
    <xf numFmtId="0" fontId="19" fillId="0" borderId="36" xfId="8" applyFont="1" applyBorder="1" applyAlignment="1">
      <alignment horizontal="center" vertical="center"/>
    </xf>
    <xf numFmtId="0" fontId="19" fillId="0" borderId="5" xfId="8" applyFont="1" applyBorder="1" applyAlignment="1">
      <alignment horizontal="center" vertical="center"/>
    </xf>
    <xf numFmtId="49" fontId="19" fillId="0" borderId="5" xfId="8" applyNumberFormat="1" applyFont="1" applyBorder="1" applyAlignment="1">
      <alignment horizontal="center" vertical="center"/>
    </xf>
    <xf numFmtId="0" fontId="19" fillId="0" borderId="54" xfId="8" applyFont="1" applyBorder="1" applyAlignment="1">
      <alignment horizontal="center" vertical="center"/>
    </xf>
    <xf numFmtId="0" fontId="27" fillId="0" borderId="0" xfId="9" applyFont="1" applyFill="1" applyAlignment="1">
      <alignment vertical="center"/>
    </xf>
    <xf numFmtId="0" fontId="27" fillId="0" borderId="0" xfId="9" applyFont="1" applyFill="1" applyAlignment="1">
      <alignment horizontal="center" vertical="center"/>
    </xf>
    <xf numFmtId="0" fontId="28" fillId="0" borderId="0" xfId="9" applyFont="1" applyFill="1" applyAlignment="1">
      <alignment horizontal="center" vertical="center"/>
    </xf>
    <xf numFmtId="0" fontId="28" fillId="0" borderId="27" xfId="9" applyFont="1" applyFill="1" applyBorder="1" applyAlignment="1">
      <alignment horizontal="center" vertical="center"/>
    </xf>
    <xf numFmtId="0" fontId="28" fillId="0" borderId="4" xfId="9" applyFont="1" applyFill="1" applyBorder="1" applyAlignment="1">
      <alignment horizontal="center" vertical="center"/>
    </xf>
    <xf numFmtId="0" fontId="28" fillId="0" borderId="26" xfId="9" applyFont="1" applyFill="1" applyBorder="1" applyAlignment="1">
      <alignment horizontal="center" vertical="center"/>
    </xf>
    <xf numFmtId="0" fontId="28" fillId="0" borderId="2" xfId="9" applyFont="1" applyFill="1" applyBorder="1" applyAlignment="1">
      <alignment horizontal="center" vertical="center"/>
    </xf>
    <xf numFmtId="0" fontId="27" fillId="0" borderId="2" xfId="9" applyFont="1" applyFill="1" applyBorder="1" applyAlignment="1">
      <alignment horizontal="center" vertical="center"/>
    </xf>
    <xf numFmtId="0" fontId="28" fillId="0" borderId="36" xfId="9" applyFont="1" applyFill="1" applyBorder="1" applyAlignment="1">
      <alignment horizontal="center" vertical="center"/>
    </xf>
    <xf numFmtId="0" fontId="28" fillId="0" borderId="5" xfId="9" applyFont="1" applyFill="1" applyBorder="1" applyAlignment="1">
      <alignment horizontal="center" vertical="center"/>
    </xf>
    <xf numFmtId="2" fontId="27" fillId="0" borderId="0" xfId="9" applyNumberFormat="1" applyFont="1" applyFill="1" applyAlignment="1">
      <alignment vertical="center"/>
    </xf>
    <xf numFmtId="2" fontId="27" fillId="0" borderId="0" xfId="9" applyNumberFormat="1" applyFont="1" applyFill="1" applyAlignment="1">
      <alignment horizontal="center" vertical="center"/>
    </xf>
    <xf numFmtId="0" fontId="35" fillId="0" borderId="0" xfId="9" applyFont="1" applyFill="1" applyAlignment="1">
      <alignment vertical="center"/>
    </xf>
    <xf numFmtId="0" fontId="35" fillId="0" borderId="0" xfId="9" applyFont="1" applyFill="1" applyAlignment="1">
      <alignment horizontal="center" vertical="center"/>
    </xf>
    <xf numFmtId="0" fontId="28" fillId="0" borderId="36" xfId="9" applyNumberFormat="1" applyFont="1" applyFill="1" applyBorder="1" applyAlignment="1">
      <alignment horizontal="center" vertical="center"/>
    </xf>
    <xf numFmtId="0" fontId="27" fillId="0" borderId="0" xfId="9" applyFont="1" applyFill="1" applyBorder="1" applyAlignment="1">
      <alignment vertical="center"/>
    </xf>
    <xf numFmtId="0" fontId="27" fillId="0" borderId="0" xfId="9" applyFont="1" applyFill="1" applyBorder="1" applyAlignment="1">
      <alignment horizontal="center" vertical="center"/>
    </xf>
    <xf numFmtId="0" fontId="28" fillId="0" borderId="0" xfId="9" applyFont="1" applyFill="1" applyBorder="1" applyAlignment="1">
      <alignment horizontal="center" vertical="center"/>
    </xf>
    <xf numFmtId="2" fontId="32" fillId="0" borderId="4" xfId="9" applyNumberFormat="1" applyFont="1" applyFill="1" applyBorder="1" applyAlignment="1">
      <alignment horizontal="center" vertical="center"/>
    </xf>
    <xf numFmtId="0" fontId="35" fillId="0" borderId="2" xfId="9" applyFont="1" applyFill="1" applyBorder="1" applyAlignment="1">
      <alignment horizontal="center" vertical="center"/>
    </xf>
    <xf numFmtId="0" fontId="28" fillId="0" borderId="5" xfId="9" applyNumberFormat="1" applyFont="1" applyFill="1" applyBorder="1" applyAlignment="1">
      <alignment horizontal="center" vertical="center"/>
    </xf>
    <xf numFmtId="0" fontId="36" fillId="0" borderId="0" xfId="9" applyFont="1" applyFill="1" applyAlignment="1">
      <alignment vertical="center"/>
    </xf>
    <xf numFmtId="0" fontId="36" fillId="0" borderId="0" xfId="9" applyFont="1" applyFill="1" applyAlignment="1">
      <alignment horizontal="center" vertical="center"/>
    </xf>
    <xf numFmtId="0" fontId="37" fillId="0" borderId="36" xfId="9" applyFont="1" applyFill="1" applyBorder="1" applyAlignment="1">
      <alignment horizontal="center" vertical="center"/>
    </xf>
    <xf numFmtId="0" fontId="36" fillId="0" borderId="58" xfId="9" applyFont="1" applyFill="1" applyBorder="1" applyAlignment="1">
      <alignment horizontal="center" vertical="center"/>
    </xf>
    <xf numFmtId="0" fontId="36" fillId="0" borderId="37" xfId="9" applyFont="1" applyFill="1" applyBorder="1" applyAlignment="1">
      <alignment horizontal="center" vertical="center"/>
    </xf>
    <xf numFmtId="0" fontId="36" fillId="0" borderId="5" xfId="9" applyFont="1" applyFill="1" applyBorder="1" applyAlignment="1">
      <alignment horizontal="center" vertical="center"/>
    </xf>
    <xf numFmtId="0" fontId="33" fillId="0" borderId="0" xfId="9" applyFont="1" applyFill="1" applyBorder="1" applyAlignment="1">
      <alignment horizontal="center" vertical="center"/>
    </xf>
    <xf numFmtId="0" fontId="27" fillId="0" borderId="0" xfId="9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9" fontId="40" fillId="4" borderId="70" xfId="10" applyNumberFormat="1" applyFont="1" applyFill="1" applyBorder="1" applyAlignment="1">
      <alignment horizontal="center" vertical="center"/>
    </xf>
    <xf numFmtId="9" fontId="40" fillId="4" borderId="71" xfId="10" applyNumberFormat="1" applyFont="1" applyFill="1" applyBorder="1" applyAlignment="1">
      <alignment horizontal="center" vertical="center"/>
    </xf>
    <xf numFmtId="9" fontId="41" fillId="0" borderId="71" xfId="10" applyNumberFormat="1" applyFont="1" applyBorder="1" applyAlignment="1">
      <alignment horizontal="center" vertical="center"/>
    </xf>
    <xf numFmtId="9" fontId="41" fillId="4" borderId="71" xfId="10" applyNumberFormat="1" applyFont="1" applyFill="1" applyBorder="1" applyAlignment="1">
      <alignment horizontal="center" vertical="center"/>
    </xf>
    <xf numFmtId="9" fontId="40" fillId="0" borderId="71" xfId="10" applyNumberFormat="1" applyFont="1" applyFill="1" applyBorder="1" applyAlignment="1">
      <alignment horizontal="center" vertical="center"/>
    </xf>
    <xf numFmtId="9" fontId="40" fillId="0" borderId="71" xfId="10" applyNumberFormat="1" applyFont="1" applyBorder="1" applyAlignment="1">
      <alignment horizontal="center" vertical="center"/>
    </xf>
    <xf numFmtId="178" fontId="40" fillId="4" borderId="71" xfId="10" applyNumberFormat="1" applyFont="1" applyFill="1" applyBorder="1" applyAlignment="1">
      <alignment horizontal="center" vertical="center"/>
    </xf>
    <xf numFmtId="9" fontId="42" fillId="4" borderId="71" xfId="10" applyFont="1" applyFill="1" applyBorder="1" applyAlignment="1">
      <alignment horizontal="center" vertical="center"/>
    </xf>
    <xf numFmtId="178" fontId="43" fillId="0" borderId="71" xfId="10" applyNumberFormat="1" applyFont="1" applyBorder="1" applyAlignment="1">
      <alignment horizontal="center" vertical="center"/>
    </xf>
    <xf numFmtId="9" fontId="44" fillId="0" borderId="71" xfId="1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9" fontId="45" fillId="4" borderId="3" xfId="10" applyNumberFormat="1" applyFont="1" applyFill="1" applyBorder="1" applyAlignment="1">
      <alignment horizontal="center" vertical="center"/>
    </xf>
    <xf numFmtId="179" fontId="15" fillId="4" borderId="2" xfId="1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49" fontId="15" fillId="4" borderId="2" xfId="10" applyNumberFormat="1" applyFont="1" applyFill="1" applyBorder="1" applyAlignment="1">
      <alignment horizontal="center" vertical="center"/>
    </xf>
    <xf numFmtId="177" fontId="45" fillId="4" borderId="2" xfId="10" applyNumberFormat="1" applyFont="1" applyFill="1" applyBorder="1" applyAlignment="1">
      <alignment horizontal="center" vertical="center"/>
    </xf>
    <xf numFmtId="0" fontId="18" fillId="0" borderId="2" xfId="10" applyNumberFormat="1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9" fontId="18" fillId="4" borderId="3" xfId="10" applyFont="1" applyFill="1" applyBorder="1" applyAlignment="1">
      <alignment horizontal="center" vertical="center"/>
    </xf>
    <xf numFmtId="9" fontId="18" fillId="4" borderId="2" xfId="10" applyFont="1" applyFill="1" applyBorder="1" applyAlignment="1">
      <alignment horizontal="center" vertical="center"/>
    </xf>
    <xf numFmtId="9" fontId="18" fillId="5" borderId="2" xfId="10" applyFont="1" applyFill="1" applyBorder="1" applyAlignment="1">
      <alignment horizontal="center" vertical="center"/>
    </xf>
    <xf numFmtId="9" fontId="18" fillId="0" borderId="2" xfId="10" applyFont="1" applyFill="1" applyBorder="1" applyAlignment="1">
      <alignment horizontal="center" vertical="center"/>
    </xf>
    <xf numFmtId="9" fontId="44" fillId="5" borderId="2" xfId="10" applyFont="1" applyFill="1" applyBorder="1" applyAlignment="1">
      <alignment horizontal="center" vertical="center"/>
    </xf>
    <xf numFmtId="9" fontId="44" fillId="0" borderId="2" xfId="10" applyFont="1" applyFill="1" applyBorder="1" applyAlignment="1">
      <alignment horizontal="center" vertical="center"/>
    </xf>
    <xf numFmtId="9" fontId="18" fillId="3" borderId="2" xfId="1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49" fontId="15" fillId="0" borderId="2" xfId="10" applyNumberFormat="1" applyFont="1" applyFill="1" applyBorder="1" applyAlignment="1">
      <alignment horizontal="center" vertical="center"/>
    </xf>
    <xf numFmtId="177" fontId="15" fillId="4" borderId="2" xfId="10" applyNumberFormat="1" applyFont="1" applyFill="1" applyBorder="1" applyAlignment="1">
      <alignment horizontal="center" vertical="center"/>
    </xf>
    <xf numFmtId="49" fontId="15" fillId="5" borderId="2" xfId="10" applyNumberFormat="1" applyFont="1" applyFill="1" applyBorder="1" applyAlignment="1">
      <alignment horizontal="center" vertical="center"/>
    </xf>
    <xf numFmtId="177" fontId="18" fillId="4" borderId="2" xfId="10" applyNumberFormat="1" applyFont="1" applyFill="1" applyBorder="1" applyAlignment="1">
      <alignment horizontal="center" vertical="center"/>
    </xf>
    <xf numFmtId="49" fontId="15" fillId="3" borderId="2" xfId="1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176" fontId="15" fillId="4" borderId="3" xfId="0" applyNumberFormat="1" applyFont="1" applyFill="1" applyBorder="1" applyAlignment="1">
      <alignment horizontal="center" vertical="center"/>
    </xf>
    <xf numFmtId="176" fontId="15" fillId="4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177" fontId="18" fillId="4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9" fontId="18" fillId="2" borderId="3" xfId="10" applyFont="1" applyFill="1" applyBorder="1" applyAlignment="1">
      <alignment horizontal="center" vertical="center"/>
    </xf>
    <xf numFmtId="9" fontId="18" fillId="2" borderId="2" xfId="10" applyFont="1" applyFill="1" applyBorder="1" applyAlignment="1">
      <alignment horizontal="center" vertical="center"/>
    </xf>
    <xf numFmtId="9" fontId="44" fillId="3" borderId="2" xfId="10" applyFont="1" applyFill="1" applyBorder="1" applyAlignment="1">
      <alignment horizontal="center" vertical="center"/>
    </xf>
    <xf numFmtId="9" fontId="44" fillId="4" borderId="2" xfId="1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9" fontId="44" fillId="4" borderId="3" xfId="10" applyFont="1" applyFill="1" applyBorder="1" applyAlignment="1">
      <alignment horizontal="center" vertical="center"/>
    </xf>
    <xf numFmtId="9" fontId="32" fillId="4" borderId="2" xfId="10" applyFont="1" applyFill="1" applyBorder="1" applyAlignment="1">
      <alignment horizontal="center" vertical="center"/>
    </xf>
    <xf numFmtId="9" fontId="18" fillId="2" borderId="3" xfId="10" applyNumberFormat="1" applyFont="1" applyFill="1" applyBorder="1" applyAlignment="1">
      <alignment horizontal="center" vertical="center"/>
    </xf>
    <xf numFmtId="9" fontId="18" fillId="2" borderId="2" xfId="10" applyNumberFormat="1" applyFont="1" applyFill="1" applyBorder="1" applyAlignment="1">
      <alignment horizontal="center" vertical="center"/>
    </xf>
    <xf numFmtId="9" fontId="18" fillId="3" borderId="2" xfId="10" applyNumberFormat="1" applyFont="1" applyFill="1" applyBorder="1" applyAlignment="1">
      <alignment horizontal="center" vertical="center"/>
    </xf>
    <xf numFmtId="9" fontId="18" fillId="4" borderId="2" xfId="10" applyNumberFormat="1" applyFont="1" applyFill="1" applyBorder="1" applyAlignment="1">
      <alignment horizontal="center" vertical="center"/>
    </xf>
    <xf numFmtId="9" fontId="32" fillId="3" borderId="2" xfId="10" applyNumberFormat="1" applyFont="1" applyFill="1" applyBorder="1" applyAlignment="1">
      <alignment horizontal="center" vertical="center"/>
    </xf>
    <xf numFmtId="9" fontId="32" fillId="4" borderId="2" xfId="10" applyNumberFormat="1" applyFont="1" applyFill="1" applyBorder="1" applyAlignment="1">
      <alignment horizontal="center" vertical="center"/>
    </xf>
    <xf numFmtId="9" fontId="32" fillId="2" borderId="3" xfId="10" applyFont="1" applyFill="1" applyBorder="1" applyAlignment="1">
      <alignment horizontal="center" vertical="center"/>
    </xf>
    <xf numFmtId="9" fontId="32" fillId="2" borderId="2" xfId="10" applyFont="1" applyFill="1" applyBorder="1" applyAlignment="1">
      <alignment horizontal="center" vertical="center"/>
    </xf>
    <xf numFmtId="9" fontId="32" fillId="3" borderId="2" xfId="1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46" fillId="0" borderId="0" xfId="3" applyFont="1" applyAlignment="1">
      <alignment horizontal="center" vertical="center" wrapText="1"/>
    </xf>
    <xf numFmtId="0" fontId="47" fillId="0" borderId="0" xfId="3" applyFont="1" applyAlignment="1">
      <alignment horizontal="center" vertical="center" wrapText="1"/>
    </xf>
    <xf numFmtId="0" fontId="46" fillId="0" borderId="30" xfId="3" applyFont="1" applyBorder="1" applyAlignment="1">
      <alignment horizontal="center" vertical="center" wrapText="1"/>
    </xf>
    <xf numFmtId="0" fontId="46" fillId="0" borderId="17" xfId="3" applyFont="1" applyBorder="1" applyAlignment="1">
      <alignment horizontal="center" vertical="center" wrapText="1"/>
    </xf>
    <xf numFmtId="0" fontId="46" fillId="0" borderId="12" xfId="3" applyFont="1" applyBorder="1" applyAlignment="1">
      <alignment horizontal="center" vertical="center" wrapText="1"/>
    </xf>
    <xf numFmtId="0" fontId="46" fillId="4" borderId="74" xfId="3" applyFont="1" applyFill="1" applyBorder="1" applyAlignment="1">
      <alignment horizontal="center" vertical="center" wrapText="1"/>
    </xf>
    <xf numFmtId="0" fontId="46" fillId="0" borderId="11" xfId="3" applyFont="1" applyBorder="1" applyAlignment="1">
      <alignment horizontal="center" vertical="center" wrapText="1"/>
    </xf>
    <xf numFmtId="0" fontId="46" fillId="0" borderId="20" xfId="3" applyFont="1" applyBorder="1" applyAlignment="1">
      <alignment horizontal="center" vertical="center" wrapText="1"/>
    </xf>
    <xf numFmtId="0" fontId="46" fillId="0" borderId="16" xfId="3" applyFont="1" applyBorder="1" applyAlignment="1">
      <alignment horizontal="center" vertical="center" wrapText="1"/>
    </xf>
    <xf numFmtId="0" fontId="46" fillId="0" borderId="2" xfId="3" applyFont="1" applyBorder="1" applyAlignment="1">
      <alignment horizontal="center" vertical="center" wrapText="1"/>
    </xf>
    <xf numFmtId="0" fontId="46" fillId="4" borderId="62" xfId="3" applyFont="1" applyFill="1" applyBorder="1" applyAlignment="1">
      <alignment horizontal="center" vertical="center" wrapText="1"/>
    </xf>
    <xf numFmtId="0" fontId="46" fillId="0" borderId="10" xfId="3" applyFont="1" applyBorder="1" applyAlignment="1">
      <alignment horizontal="center" vertical="center" wrapText="1"/>
    </xf>
    <xf numFmtId="0" fontId="46" fillId="0" borderId="15" xfId="3" applyFont="1" applyBorder="1" applyAlignment="1">
      <alignment horizontal="center" vertical="center" wrapText="1"/>
    </xf>
    <xf numFmtId="0" fontId="46" fillId="0" borderId="14" xfId="3" applyFont="1" applyBorder="1" applyAlignment="1">
      <alignment horizontal="center" vertical="center" wrapText="1"/>
    </xf>
    <xf numFmtId="0" fontId="46" fillId="0" borderId="1" xfId="3" applyFont="1" applyBorder="1" applyAlignment="1">
      <alignment horizontal="center" vertical="center" wrapText="1"/>
    </xf>
    <xf numFmtId="0" fontId="46" fillId="4" borderId="75" xfId="3" applyFont="1" applyFill="1" applyBorder="1" applyAlignment="1">
      <alignment horizontal="center" vertical="center" wrapText="1"/>
    </xf>
    <xf numFmtId="0" fontId="46" fillId="0" borderId="9" xfId="3" applyFont="1" applyBorder="1" applyAlignment="1">
      <alignment horizontal="center" vertical="center" wrapText="1"/>
    </xf>
    <xf numFmtId="0" fontId="46" fillId="0" borderId="78" xfId="3" applyFont="1" applyBorder="1" applyAlignment="1">
      <alignment horizontal="center" vertical="center" wrapText="1"/>
    </xf>
    <xf numFmtId="0" fontId="49" fillId="0" borderId="80" xfId="3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0" fontId="14" fillId="0" borderId="0" xfId="10" applyNumberFormat="1" applyFont="1" applyAlignment="1">
      <alignment vertical="center"/>
    </xf>
    <xf numFmtId="10" fontId="14" fillId="6" borderId="0" xfId="10" applyNumberFormat="1" applyFont="1" applyFill="1" applyAlignment="1">
      <alignment vertical="center"/>
    </xf>
    <xf numFmtId="0" fontId="54" fillId="0" borderId="0" xfId="0" applyFont="1" applyAlignment="1">
      <alignment vertical="center"/>
    </xf>
    <xf numFmtId="0" fontId="54" fillId="0" borderId="0" xfId="0" applyFont="1" applyBorder="1" applyAlignment="1">
      <alignment horizontal="center" vertical="center"/>
    </xf>
    <xf numFmtId="177" fontId="54" fillId="0" borderId="0" xfId="0" applyNumberFormat="1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7" fontId="14" fillId="0" borderId="0" xfId="10" applyNumberFormat="1" applyFont="1" applyBorder="1" applyAlignment="1">
      <alignment vertical="center"/>
    </xf>
    <xf numFmtId="177" fontId="54" fillId="0" borderId="0" xfId="10" applyNumberFormat="1" applyFont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0" fontId="15" fillId="2" borderId="83" xfId="0" applyNumberFormat="1" applyFont="1" applyFill="1" applyBorder="1" applyAlignment="1">
      <alignment horizontal="center" vertical="center"/>
    </xf>
    <xf numFmtId="10" fontId="14" fillId="0" borderId="84" xfId="0" applyNumberFormat="1" applyFont="1" applyBorder="1" applyAlignment="1">
      <alignment horizontal="center" vertical="center"/>
    </xf>
    <xf numFmtId="10" fontId="14" fillId="0" borderId="71" xfId="0" applyNumberFormat="1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55" fillId="3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vertical="center"/>
    </xf>
    <xf numFmtId="49" fontId="15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horizontal="left" vertical="center"/>
    </xf>
    <xf numFmtId="0" fontId="17" fillId="2" borderId="0" xfId="0" applyFont="1" applyFill="1" applyAlignment="1">
      <alignment horizontal="right" vertical="center"/>
    </xf>
    <xf numFmtId="0" fontId="14" fillId="0" borderId="29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10" fontId="14" fillId="3" borderId="71" xfId="0" applyNumberFormat="1" applyFont="1" applyFill="1" applyBorder="1" applyAlignment="1">
      <alignment horizontal="center" vertical="center"/>
    </xf>
    <xf numFmtId="9" fontId="14" fillId="3" borderId="71" xfId="0" applyNumberFormat="1" applyFont="1" applyFill="1" applyBorder="1" applyAlignment="1">
      <alignment horizontal="center" vertical="center"/>
    </xf>
    <xf numFmtId="0" fontId="22" fillId="3" borderId="71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14" fillId="3" borderId="86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22" fillId="3" borderId="87" xfId="0" applyFont="1" applyFill="1" applyBorder="1" applyAlignment="1">
      <alignment horizontal="center" vertical="center"/>
    </xf>
    <xf numFmtId="0" fontId="14" fillId="3" borderId="8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42" fillId="0" borderId="0" xfId="0" applyFont="1" applyAlignment="1">
      <alignment horizontal="center" vertical="center"/>
    </xf>
    <xf numFmtId="10" fontId="15" fillId="2" borderId="83" xfId="10" applyNumberFormat="1" applyFont="1" applyFill="1" applyBorder="1" applyAlignment="1">
      <alignment horizontal="center" vertical="center"/>
    </xf>
    <xf numFmtId="10" fontId="56" fillId="3" borderId="84" xfId="10" applyNumberFormat="1" applyFont="1" applyFill="1" applyBorder="1" applyAlignment="1">
      <alignment horizontal="center" vertical="center"/>
    </xf>
    <xf numFmtId="10" fontId="56" fillId="3" borderId="71" xfId="10" applyNumberFormat="1" applyFont="1" applyFill="1" applyBorder="1" applyAlignment="1">
      <alignment horizontal="center" vertical="center"/>
    </xf>
    <xf numFmtId="0" fontId="57" fillId="3" borderId="71" xfId="0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56" fillId="3" borderId="2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10" fontId="15" fillId="2" borderId="30" xfId="10" applyNumberFormat="1" applyFont="1" applyFill="1" applyBorder="1" applyAlignment="1">
      <alignment horizontal="center" vertical="center"/>
    </xf>
    <xf numFmtId="10" fontId="56" fillId="3" borderId="12" xfId="10" applyNumberFormat="1" applyFont="1" applyFill="1" applyBorder="1" applyAlignment="1">
      <alignment horizontal="center" vertical="center"/>
    </xf>
    <xf numFmtId="0" fontId="56" fillId="3" borderId="2" xfId="0" applyNumberFormat="1" applyFont="1" applyFill="1" applyBorder="1" applyAlignment="1">
      <alignment horizontal="center" vertical="center"/>
    </xf>
    <xf numFmtId="0" fontId="56" fillId="0" borderId="2" xfId="0" applyNumberFormat="1" applyFont="1" applyFill="1" applyBorder="1" applyAlignment="1">
      <alignment horizontal="center" vertical="center"/>
    </xf>
    <xf numFmtId="10" fontId="15" fillId="2" borderId="20" xfId="10" applyNumberFormat="1" applyFont="1" applyFill="1" applyBorder="1" applyAlignment="1">
      <alignment horizontal="center" vertical="center"/>
    </xf>
    <xf numFmtId="10" fontId="56" fillId="3" borderId="2" xfId="10" applyNumberFormat="1" applyFont="1" applyFill="1" applyBorder="1" applyAlignment="1">
      <alignment horizontal="center" vertical="center"/>
    </xf>
    <xf numFmtId="0" fontId="56" fillId="3" borderId="16" xfId="0" applyFont="1" applyFill="1" applyBorder="1" applyAlignment="1">
      <alignment horizontal="center" vertical="center"/>
    </xf>
    <xf numFmtId="178" fontId="56" fillId="3" borderId="2" xfId="10" applyNumberFormat="1" applyFont="1" applyFill="1" applyBorder="1" applyAlignment="1">
      <alignment horizontal="center" vertical="center"/>
    </xf>
    <xf numFmtId="9" fontId="56" fillId="3" borderId="2" xfId="1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/>
    </xf>
    <xf numFmtId="10" fontId="14" fillId="3" borderId="2" xfId="10" applyNumberFormat="1" applyFont="1" applyFill="1" applyBorder="1" applyAlignment="1">
      <alignment horizontal="center" vertical="center"/>
    </xf>
    <xf numFmtId="9" fontId="14" fillId="3" borderId="2" xfId="10" applyNumberFormat="1" applyFont="1" applyFill="1" applyBorder="1" applyAlignment="1">
      <alignment horizontal="center" vertical="center"/>
    </xf>
    <xf numFmtId="10" fontId="27" fillId="3" borderId="2" xfId="10" applyNumberFormat="1" applyFont="1" applyFill="1" applyBorder="1" applyAlignment="1">
      <alignment horizontal="center" vertical="center"/>
    </xf>
    <xf numFmtId="178" fontId="14" fillId="3" borderId="2" xfId="10" applyNumberFormat="1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3" fontId="15" fillId="2" borderId="25" xfId="0" applyNumberFormat="1" applyFont="1" applyFill="1" applyBorder="1" applyAlignment="1">
      <alignment horizontal="center" vertical="center"/>
    </xf>
    <xf numFmtId="3" fontId="15" fillId="2" borderId="49" xfId="0" applyNumberFormat="1" applyFont="1" applyFill="1" applyBorder="1" applyAlignment="1">
      <alignment horizontal="center" vertical="center"/>
    </xf>
    <xf numFmtId="0" fontId="36" fillId="0" borderId="60" xfId="9" applyFont="1" applyFill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36" fillId="0" borderId="59" xfId="9" applyFont="1" applyFill="1" applyBorder="1" applyAlignment="1">
      <alignment horizontal="center" vertical="center" wrapText="1"/>
    </xf>
    <xf numFmtId="0" fontId="31" fillId="0" borderId="5" xfId="9" applyFont="1" applyFill="1" applyBorder="1" applyAlignment="1">
      <alignment horizontal="center" vertical="center"/>
    </xf>
    <xf numFmtId="0" fontId="47" fillId="0" borderId="91" xfId="3" applyFont="1" applyBorder="1" applyAlignment="1">
      <alignment horizontal="center" vertical="center" wrapText="1"/>
    </xf>
    <xf numFmtId="0" fontId="47" fillId="0" borderId="92" xfId="3" applyFont="1" applyBorder="1" applyAlignment="1">
      <alignment horizontal="center" vertical="center" wrapText="1"/>
    </xf>
    <xf numFmtId="0" fontId="47" fillId="4" borderId="93" xfId="3" applyFont="1" applyFill="1" applyBorder="1" applyAlignment="1">
      <alignment horizontal="center" vertical="center" wrapText="1"/>
    </xf>
    <xf numFmtId="3" fontId="47" fillId="0" borderId="94" xfId="3" applyNumberFormat="1" applyFont="1" applyBorder="1" applyAlignment="1">
      <alignment horizontal="center" vertical="center" wrapText="1"/>
    </xf>
    <xf numFmtId="10" fontId="46" fillId="0" borderId="71" xfId="5" applyNumberFormat="1" applyFont="1" applyBorder="1" applyAlignment="1">
      <alignment horizontal="center" vertical="center" wrapText="1"/>
    </xf>
    <xf numFmtId="10" fontId="46" fillId="0" borderId="84" xfId="5" applyNumberFormat="1" applyFont="1" applyBorder="1" applyAlignment="1">
      <alignment horizontal="center" vertical="center" wrapText="1"/>
    </xf>
    <xf numFmtId="10" fontId="46" fillId="4" borderId="95" xfId="5" applyNumberFormat="1" applyFont="1" applyFill="1" applyBorder="1" applyAlignment="1">
      <alignment horizontal="center" vertical="center" wrapText="1"/>
    </xf>
    <xf numFmtId="0" fontId="46" fillId="0" borderId="83" xfId="3" applyFont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2" fontId="32" fillId="0" borderId="18" xfId="9" applyNumberFormat="1" applyFont="1" applyFill="1" applyBorder="1" applyAlignment="1">
      <alignment horizontal="center" vertical="center"/>
    </xf>
    <xf numFmtId="49" fontId="32" fillId="0" borderId="18" xfId="9" applyNumberFormat="1" applyFont="1" applyFill="1" applyBorder="1" applyAlignment="1">
      <alignment horizontal="center" vertical="center"/>
    </xf>
    <xf numFmtId="49" fontId="32" fillId="0" borderId="4" xfId="9" applyNumberFormat="1" applyFont="1" applyFill="1" applyBorder="1" applyAlignment="1">
      <alignment horizontal="center" vertical="center"/>
    </xf>
    <xf numFmtId="49" fontId="29" fillId="0" borderId="6" xfId="9" applyNumberFormat="1" applyFont="1" applyFill="1" applyBorder="1" applyAlignment="1">
      <alignment horizontal="center" vertical="center"/>
    </xf>
    <xf numFmtId="0" fontId="31" fillId="0" borderId="4" xfId="9" applyFont="1" applyFill="1" applyBorder="1" applyAlignment="1">
      <alignment horizontal="center" vertical="center"/>
    </xf>
    <xf numFmtId="49" fontId="29" fillId="0" borderId="55" xfId="9" applyNumberFormat="1" applyFont="1" applyFill="1" applyBorder="1" applyAlignment="1">
      <alignment horizontal="center" vertical="center"/>
    </xf>
    <xf numFmtId="0" fontId="31" fillId="0" borderId="2" xfId="9" applyFont="1" applyFill="1" applyBorder="1" applyAlignment="1">
      <alignment horizontal="center" vertical="center"/>
    </xf>
    <xf numFmtId="9" fontId="18" fillId="0" borderId="71" xfId="10" applyFont="1" applyBorder="1" applyAlignment="1">
      <alignment horizontal="center" vertical="center"/>
    </xf>
    <xf numFmtId="9" fontId="44" fillId="4" borderId="71" xfId="10" applyFont="1" applyFill="1" applyBorder="1" applyAlignment="1">
      <alignment horizontal="center" vertical="center"/>
    </xf>
    <xf numFmtId="9" fontId="18" fillId="4" borderId="71" xfId="10" applyFont="1" applyFill="1" applyBorder="1" applyAlignment="1">
      <alignment horizontal="center" vertical="center"/>
    </xf>
    <xf numFmtId="0" fontId="36" fillId="0" borderId="59" xfId="9" applyNumberFormat="1" applyFont="1" applyFill="1" applyBorder="1" applyAlignment="1">
      <alignment horizontal="center" vertical="center"/>
    </xf>
    <xf numFmtId="0" fontId="33" fillId="0" borderId="2" xfId="9" applyFont="1" applyFill="1" applyBorder="1" applyAlignment="1">
      <alignment horizontal="center" vertical="center"/>
    </xf>
    <xf numFmtId="0" fontId="33" fillId="0" borderId="5" xfId="9" applyFont="1" applyFill="1" applyBorder="1" applyAlignment="1">
      <alignment horizontal="center" vertical="center"/>
    </xf>
    <xf numFmtId="0" fontId="33" fillId="0" borderId="4" xfId="9" applyFont="1" applyFill="1" applyBorder="1" applyAlignment="1">
      <alignment horizontal="center" vertical="center"/>
    </xf>
    <xf numFmtId="0" fontId="28" fillId="0" borderId="69" xfId="9" applyNumberFormat="1" applyFont="1" applyFill="1" applyBorder="1" applyAlignment="1">
      <alignment horizontal="center" vertical="center"/>
    </xf>
    <xf numFmtId="2" fontId="32" fillId="0" borderId="99" xfId="9" applyNumberFormat="1" applyFont="1" applyFill="1" applyBorder="1" applyAlignment="1">
      <alignment horizontal="center" vertical="center"/>
    </xf>
    <xf numFmtId="49" fontId="32" fillId="0" borderId="98" xfId="9" applyNumberFormat="1" applyFont="1" applyFill="1" applyBorder="1" applyAlignment="1">
      <alignment horizontal="center" vertical="center"/>
    </xf>
    <xf numFmtId="2" fontId="32" fillId="0" borderId="98" xfId="9" applyNumberFormat="1" applyFont="1" applyFill="1" applyBorder="1" applyAlignment="1">
      <alignment horizontal="center" vertical="center"/>
    </xf>
    <xf numFmtId="2" fontId="32" fillId="0" borderId="100" xfId="9" applyNumberFormat="1" applyFont="1" applyFill="1" applyBorder="1" applyAlignment="1">
      <alignment horizontal="center" vertical="center"/>
    </xf>
    <xf numFmtId="180" fontId="32" fillId="0" borderId="2" xfId="9" applyNumberFormat="1" applyFont="1" applyFill="1" applyBorder="1" applyAlignment="1">
      <alignment horizontal="center" vertical="center"/>
    </xf>
    <xf numFmtId="181" fontId="32" fillId="0" borderId="26" xfId="9" applyNumberFormat="1" applyFont="1" applyFill="1" applyBorder="1" applyAlignment="1">
      <alignment horizontal="center" vertical="center"/>
    </xf>
    <xf numFmtId="182" fontId="32" fillId="0" borderId="2" xfId="9" applyNumberFormat="1" applyFont="1" applyFill="1" applyBorder="1" applyAlignment="1">
      <alignment horizontal="center" vertical="center"/>
    </xf>
    <xf numFmtId="182" fontId="32" fillId="0" borderId="26" xfId="9" applyNumberFormat="1" applyFont="1" applyFill="1" applyBorder="1" applyAlignment="1">
      <alignment horizontal="center" vertical="center"/>
    </xf>
    <xf numFmtId="181" fontId="32" fillId="0" borderId="2" xfId="9" applyNumberFormat="1" applyFont="1" applyFill="1" applyBorder="1" applyAlignment="1">
      <alignment horizontal="center" vertical="center"/>
    </xf>
    <xf numFmtId="181" fontId="32" fillId="0" borderId="50" xfId="9" applyNumberFormat="1" applyFont="1" applyFill="1" applyBorder="1" applyAlignment="1">
      <alignment horizontal="center" vertical="center"/>
    </xf>
    <xf numFmtId="0" fontId="60" fillId="0" borderId="2" xfId="9" applyFont="1" applyFill="1" applyBorder="1" applyAlignment="1">
      <alignment horizontal="center" vertical="center"/>
    </xf>
    <xf numFmtId="181" fontId="44" fillId="0" borderId="2" xfId="9" applyNumberFormat="1" applyFont="1" applyFill="1" applyBorder="1" applyAlignment="1">
      <alignment horizontal="center" vertical="center"/>
    </xf>
    <xf numFmtId="181" fontId="44" fillId="0" borderId="26" xfId="9" applyNumberFormat="1" applyFont="1" applyFill="1" applyBorder="1" applyAlignment="1">
      <alignment horizontal="center" vertical="center"/>
    </xf>
    <xf numFmtId="0" fontId="60" fillId="0" borderId="4" xfId="9" applyFont="1" applyFill="1" applyBorder="1" applyAlignment="1">
      <alignment horizontal="center" vertical="center"/>
    </xf>
    <xf numFmtId="0" fontId="60" fillId="0" borderId="27" xfId="9" applyFont="1" applyFill="1" applyBorder="1" applyAlignment="1">
      <alignment horizontal="center" vertical="center"/>
    </xf>
    <xf numFmtId="0" fontId="61" fillId="0" borderId="5" xfId="9" applyFont="1" applyFill="1" applyBorder="1" applyAlignment="1">
      <alignment horizontal="center" vertical="center"/>
    </xf>
    <xf numFmtId="0" fontId="61" fillId="0" borderId="36" xfId="9" applyFont="1" applyFill="1" applyBorder="1" applyAlignment="1">
      <alignment horizontal="center" vertical="center"/>
    </xf>
    <xf numFmtId="9" fontId="18" fillId="5" borderId="71" xfId="10" applyFont="1" applyFill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vertical="center"/>
    </xf>
    <xf numFmtId="0" fontId="15" fillId="7" borderId="101" xfId="6" applyFont="1" applyFill="1" applyBorder="1" applyAlignment="1">
      <alignment horizontal="center" vertical="center" wrapText="1"/>
    </xf>
    <xf numFmtId="0" fontId="15" fillId="7" borderId="23" xfId="6" applyFont="1" applyFill="1" applyBorder="1" applyAlignment="1">
      <alignment horizontal="center" vertical="center"/>
    </xf>
    <xf numFmtId="0" fontId="15" fillId="7" borderId="6" xfId="6" applyFont="1" applyFill="1" applyBorder="1" applyAlignment="1">
      <alignment horizontal="center" vertical="center"/>
    </xf>
    <xf numFmtId="0" fontId="15" fillId="7" borderId="13" xfId="6" applyFont="1" applyFill="1" applyBorder="1" applyAlignment="1">
      <alignment horizontal="center" vertical="center"/>
    </xf>
    <xf numFmtId="0" fontId="15" fillId="7" borderId="101" xfId="6" applyFont="1" applyFill="1" applyBorder="1" applyAlignment="1">
      <alignment horizontal="center" vertical="center"/>
    </xf>
    <xf numFmtId="0" fontId="15" fillId="7" borderId="41" xfId="6" applyFont="1" applyFill="1" applyBorder="1" applyAlignment="1">
      <alignment horizontal="center" vertical="center" wrapText="1"/>
    </xf>
    <xf numFmtId="0" fontId="14" fillId="0" borderId="102" xfId="6" applyFont="1" applyBorder="1" applyAlignment="1">
      <alignment horizontal="center" vertical="center"/>
    </xf>
    <xf numFmtId="0" fontId="17" fillId="0" borderId="103" xfId="6" applyFont="1" applyBorder="1" applyAlignment="1">
      <alignment horizontal="center" vertical="center"/>
    </xf>
    <xf numFmtId="0" fontId="14" fillId="3" borderId="19" xfId="6" applyFont="1" applyFill="1" applyBorder="1" applyAlignment="1">
      <alignment horizontal="center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1" xfId="6" applyFont="1" applyFill="1" applyBorder="1" applyAlignment="1">
      <alignment horizontal="center" vertical="center"/>
    </xf>
    <xf numFmtId="0" fontId="14" fillId="0" borderId="2" xfId="6" applyFont="1" applyFill="1" applyBorder="1" applyAlignment="1">
      <alignment horizontal="center" vertical="center"/>
    </xf>
    <xf numFmtId="0" fontId="14" fillId="0" borderId="16" xfId="6" applyFont="1" applyFill="1" applyBorder="1" applyAlignment="1">
      <alignment horizontal="center" vertical="center"/>
    </xf>
    <xf numFmtId="0" fontId="15" fillId="0" borderId="103" xfId="6" applyFont="1" applyFill="1" applyBorder="1" applyAlignment="1">
      <alignment horizontal="center" vertical="center"/>
    </xf>
    <xf numFmtId="0" fontId="14" fillId="7" borderId="103" xfId="6" applyFont="1" applyFill="1" applyBorder="1" applyAlignment="1">
      <alignment horizontal="center" vertical="center"/>
    </xf>
    <xf numFmtId="183" fontId="64" fillId="0" borderId="50" xfId="6" applyNumberFormat="1" applyFont="1" applyFill="1" applyBorder="1" applyAlignment="1">
      <alignment horizontal="center" vertical="center"/>
    </xf>
    <xf numFmtId="10" fontId="14" fillId="0" borderId="102" xfId="6" applyNumberFormat="1" applyFont="1" applyBorder="1" applyAlignment="1">
      <alignment vertical="center"/>
    </xf>
    <xf numFmtId="0" fontId="14" fillId="0" borderId="103" xfId="6" applyFont="1" applyBorder="1" applyAlignment="1">
      <alignment horizontal="center" vertical="center"/>
    </xf>
    <xf numFmtId="0" fontId="17" fillId="0" borderId="104" xfId="6" applyFont="1" applyBorder="1" applyAlignment="1">
      <alignment horizontal="center" vertical="center"/>
    </xf>
    <xf numFmtId="0" fontId="14" fillId="3" borderId="21" xfId="6" applyFont="1" applyFill="1" applyBorder="1" applyAlignment="1">
      <alignment horizontal="center" vertical="center"/>
    </xf>
    <xf numFmtId="0" fontId="14" fillId="0" borderId="1" xfId="6" applyFont="1" applyFill="1" applyBorder="1" applyAlignment="1">
      <alignment horizontal="center" vertical="center"/>
    </xf>
    <xf numFmtId="0" fontId="14" fillId="0" borderId="14" xfId="6" applyFont="1" applyFill="1" applyBorder="1" applyAlignment="1">
      <alignment horizontal="center" vertical="center"/>
    </xf>
    <xf numFmtId="10" fontId="14" fillId="0" borderId="103" xfId="6" applyNumberFormat="1" applyFont="1" applyBorder="1" applyAlignment="1">
      <alignment vertical="center"/>
    </xf>
    <xf numFmtId="0" fontId="14" fillId="0" borderId="19" xfId="6" applyFont="1" applyFill="1" applyBorder="1" applyAlignment="1">
      <alignment horizontal="center" vertical="center"/>
    </xf>
    <xf numFmtId="0" fontId="14" fillId="0" borderId="28" xfId="6" applyFont="1" applyFill="1" applyBorder="1" applyAlignment="1">
      <alignment horizontal="center" vertical="center"/>
    </xf>
    <xf numFmtId="0" fontId="17" fillId="0" borderId="105" xfId="6" applyFont="1" applyBorder="1" applyAlignment="1">
      <alignment horizontal="center" vertical="center"/>
    </xf>
    <xf numFmtId="0" fontId="14" fillId="5" borderId="24" xfId="6" applyFont="1" applyFill="1" applyBorder="1" applyAlignment="1">
      <alignment horizontal="center" vertical="center"/>
    </xf>
    <xf numFmtId="0" fontId="14" fillId="0" borderId="24" xfId="6" applyFont="1" applyFill="1" applyBorder="1" applyAlignment="1">
      <alignment horizontal="center" vertical="center"/>
    </xf>
    <xf numFmtId="0" fontId="14" fillId="3" borderId="24" xfId="6" applyFont="1" applyFill="1" applyBorder="1" applyAlignment="1">
      <alignment horizontal="center" vertical="center"/>
    </xf>
    <xf numFmtId="0" fontId="14" fillId="0" borderId="31" xfId="6" applyFont="1" applyFill="1" applyBorder="1" applyAlignment="1">
      <alignment horizontal="center" vertical="center"/>
    </xf>
    <xf numFmtId="0" fontId="15" fillId="0" borderId="105" xfId="6" applyFont="1" applyFill="1" applyBorder="1" applyAlignment="1">
      <alignment horizontal="center" vertical="center"/>
    </xf>
    <xf numFmtId="183" fontId="64" fillId="0" borderId="106" xfId="6" applyNumberFormat="1" applyFont="1" applyFill="1" applyBorder="1" applyAlignment="1">
      <alignment horizontal="center" vertical="center"/>
    </xf>
    <xf numFmtId="10" fontId="14" fillId="0" borderId="105" xfId="6" applyNumberFormat="1" applyFont="1" applyBorder="1" applyAlignment="1">
      <alignment vertical="center"/>
    </xf>
    <xf numFmtId="0" fontId="14" fillId="5" borderId="19" xfId="6" applyFont="1" applyFill="1" applyBorder="1" applyAlignment="1">
      <alignment horizontal="center" vertical="center"/>
    </xf>
    <xf numFmtId="0" fontId="14" fillId="7" borderId="105" xfId="6" applyFont="1" applyFill="1" applyBorder="1" applyAlignment="1">
      <alignment horizontal="center" vertical="center"/>
    </xf>
    <xf numFmtId="0" fontId="14" fillId="0" borderId="104" xfId="6" applyFont="1" applyBorder="1" applyAlignment="1">
      <alignment horizontal="center" vertical="center"/>
    </xf>
    <xf numFmtId="0" fontId="14" fillId="7" borderId="53" xfId="6" applyFont="1" applyFill="1" applyBorder="1" applyAlignment="1">
      <alignment horizontal="center" vertical="center"/>
    </xf>
    <xf numFmtId="0" fontId="14" fillId="0" borderId="50" xfId="6" applyFont="1" applyFill="1" applyBorder="1" applyAlignment="1">
      <alignment horizontal="center" vertical="center"/>
    </xf>
    <xf numFmtId="0" fontId="15" fillId="5" borderId="101" xfId="6" applyFont="1" applyFill="1" applyBorder="1" applyAlignment="1">
      <alignment horizontal="center" vertical="center" wrapText="1"/>
    </xf>
    <xf numFmtId="0" fontId="14" fillId="7" borderId="23" xfId="6" applyFont="1" applyFill="1" applyBorder="1" applyAlignment="1">
      <alignment horizontal="center" vertical="center"/>
    </xf>
    <xf numFmtId="10" fontId="15" fillId="7" borderId="101" xfId="7" applyNumberFormat="1" applyFont="1" applyFill="1" applyBorder="1" applyAlignment="1">
      <alignment vertical="center"/>
    </xf>
    <xf numFmtId="0" fontId="14" fillId="0" borderId="35" xfId="6" applyFont="1" applyBorder="1" applyAlignment="1">
      <alignment horizontal="center" vertical="center"/>
    </xf>
    <xf numFmtId="0" fontId="14" fillId="7" borderId="104" xfId="6" applyFont="1" applyFill="1" applyBorder="1" applyAlignment="1">
      <alignment horizontal="center" vertical="center"/>
    </xf>
    <xf numFmtId="0" fontId="15" fillId="0" borderId="104" xfId="6" applyFont="1" applyFill="1" applyBorder="1" applyAlignment="1">
      <alignment horizontal="center" vertical="center"/>
    </xf>
    <xf numFmtId="0" fontId="14" fillId="0" borderId="22" xfId="6" applyFont="1" applyFill="1" applyBorder="1" applyAlignment="1">
      <alignment horizontal="center" vertical="center"/>
    </xf>
    <xf numFmtId="0" fontId="14" fillId="5" borderId="28" xfId="6" applyFont="1" applyFill="1" applyBorder="1" applyAlignment="1">
      <alignment horizontal="center" vertical="center"/>
    </xf>
    <xf numFmtId="0" fontId="14" fillId="5" borderId="53" xfId="6" applyFont="1" applyFill="1" applyBorder="1" applyAlignment="1">
      <alignment horizontal="center" vertical="center"/>
    </xf>
    <xf numFmtId="0" fontId="14" fillId="5" borderId="50" xfId="6" applyFont="1" applyFill="1" applyBorder="1" applyAlignment="1">
      <alignment horizontal="center" vertical="center"/>
    </xf>
    <xf numFmtId="0" fontId="15" fillId="0" borderId="104" xfId="6" applyFont="1" applyBorder="1" applyAlignment="1">
      <alignment horizontal="center" vertical="center"/>
    </xf>
    <xf numFmtId="183" fontId="64" fillId="0" borderId="51" xfId="6" applyNumberFormat="1" applyFont="1" applyFill="1" applyBorder="1" applyAlignment="1">
      <alignment horizontal="center" vertical="center"/>
    </xf>
    <xf numFmtId="0" fontId="17" fillId="0" borderId="103" xfId="6" applyFont="1" applyFill="1" applyBorder="1" applyAlignment="1">
      <alignment horizontal="center" vertical="center"/>
    </xf>
    <xf numFmtId="0" fontId="17" fillId="0" borderId="35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7" fillId="0" borderId="105" xfId="6" applyFont="1" applyFill="1" applyBorder="1" applyAlignment="1">
      <alignment horizontal="center" vertical="center"/>
    </xf>
    <xf numFmtId="0" fontId="15" fillId="5" borderId="105" xfId="6" applyFont="1" applyFill="1" applyBorder="1" applyAlignment="1">
      <alignment horizontal="center" vertical="center"/>
    </xf>
    <xf numFmtId="0" fontId="14" fillId="0" borderId="101" xfId="6" applyFont="1" applyBorder="1" applyAlignment="1">
      <alignment horizontal="center" vertical="center"/>
    </xf>
    <xf numFmtId="0" fontId="16" fillId="0" borderId="101" xfId="6" applyFont="1" applyFill="1" applyBorder="1" applyAlignment="1">
      <alignment horizontal="center" vertical="center"/>
    </xf>
    <xf numFmtId="0" fontId="14" fillId="0" borderId="23" xfId="6" applyFont="1" applyFill="1" applyBorder="1" applyAlignment="1">
      <alignment horizontal="center" vertical="center"/>
    </xf>
    <xf numFmtId="0" fontId="14" fillId="0" borderId="32" xfId="6" applyFont="1" applyFill="1" applyBorder="1" applyAlignment="1">
      <alignment horizontal="center" vertical="center"/>
    </xf>
    <xf numFmtId="0" fontId="15" fillId="0" borderId="101" xfId="6" applyFont="1" applyFill="1" applyBorder="1" applyAlignment="1">
      <alignment horizontal="center" vertical="center"/>
    </xf>
    <xf numFmtId="0" fontId="14" fillId="0" borderId="101" xfId="6" applyFont="1" applyFill="1" applyBorder="1" applyAlignment="1">
      <alignment horizontal="center" vertical="center"/>
    </xf>
    <xf numFmtId="2" fontId="64" fillId="0" borderId="41" xfId="6" applyNumberFormat="1" applyFont="1" applyFill="1" applyBorder="1" applyAlignment="1">
      <alignment horizontal="center" vertical="center"/>
    </xf>
    <xf numFmtId="10" fontId="15" fillId="0" borderId="108" xfId="7" applyNumberFormat="1" applyFont="1" applyFill="1" applyBorder="1" applyAlignment="1">
      <alignment horizontal="center" vertical="center"/>
    </xf>
    <xf numFmtId="0" fontId="15" fillId="0" borderId="107" xfId="6" applyFont="1" applyFill="1" applyBorder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4" fillId="0" borderId="2" xfId="6" applyFont="1" applyBorder="1" applyAlignment="1">
      <alignment horizontal="center" vertical="center"/>
    </xf>
    <xf numFmtId="0" fontId="15" fillId="0" borderId="0" xfId="6" applyFont="1" applyBorder="1" applyAlignment="1">
      <alignment horizontal="right" vertical="center"/>
    </xf>
    <xf numFmtId="183" fontId="15" fillId="0" borderId="0" xfId="6" applyNumberFormat="1" applyFont="1" applyBorder="1" applyAlignment="1">
      <alignment horizontal="center" vertical="center"/>
    </xf>
    <xf numFmtId="0" fontId="16" fillId="0" borderId="0" xfId="6" applyFont="1" applyBorder="1" applyAlignment="1">
      <alignment horizontal="right" vertical="center"/>
    </xf>
    <xf numFmtId="0" fontId="14" fillId="7" borderId="19" xfId="6" applyFont="1" applyFill="1" applyBorder="1" applyAlignment="1">
      <alignment horizontal="center" vertical="center"/>
    </xf>
    <xf numFmtId="0" fontId="14" fillId="7" borderId="28" xfId="6" applyFont="1" applyFill="1" applyBorder="1" applyAlignment="1">
      <alignment horizontal="center" vertical="center"/>
    </xf>
    <xf numFmtId="0" fontId="14" fillId="7" borderId="2" xfId="6" applyFont="1" applyFill="1" applyBorder="1" applyAlignment="1">
      <alignment horizontal="center" vertical="center"/>
    </xf>
    <xf numFmtId="0" fontId="14" fillId="7" borderId="1" xfId="6" applyFont="1" applyFill="1" applyBorder="1" applyAlignment="1">
      <alignment horizontal="center" vertical="center"/>
    </xf>
    <xf numFmtId="0" fontId="14" fillId="7" borderId="16" xfId="6" applyFont="1" applyFill="1" applyBorder="1" applyAlignment="1">
      <alignment horizontal="center" vertical="center"/>
    </xf>
    <xf numFmtId="0" fontId="14" fillId="7" borderId="14" xfId="6" applyFont="1" applyFill="1" applyBorder="1" applyAlignment="1">
      <alignment horizontal="center" vertical="center"/>
    </xf>
    <xf numFmtId="0" fontId="65" fillId="0" borderId="26" xfId="9" applyFont="1" applyFill="1" applyBorder="1" applyAlignment="1">
      <alignment horizontal="center" vertical="center"/>
    </xf>
    <xf numFmtId="0" fontId="65" fillId="0" borderId="50" xfId="9" applyFont="1" applyFill="1" applyBorder="1" applyAlignment="1">
      <alignment horizontal="center" vertical="center"/>
    </xf>
    <xf numFmtId="1" fontId="32" fillId="0" borderId="40" xfId="9" applyNumberFormat="1" applyFont="1" applyFill="1" applyBorder="1" applyAlignment="1">
      <alignment horizontal="center" vertical="center"/>
    </xf>
    <xf numFmtId="2" fontId="67" fillId="7" borderId="41" xfId="6" applyNumberFormat="1" applyFont="1" applyFill="1" applyBorder="1" applyAlignment="1">
      <alignment horizontal="center" vertical="center"/>
    </xf>
    <xf numFmtId="0" fontId="18" fillId="4" borderId="2" xfId="10" applyNumberFormat="1" applyFont="1" applyFill="1" applyBorder="1" applyAlignment="1">
      <alignment horizontal="center" vertical="center"/>
    </xf>
    <xf numFmtId="176" fontId="15" fillId="4" borderId="2" xfId="10" applyNumberFormat="1" applyFont="1" applyFill="1" applyBorder="1" applyAlignment="1">
      <alignment horizontal="center" vertical="center"/>
    </xf>
    <xf numFmtId="0" fontId="14" fillId="5" borderId="22" xfId="6" applyFont="1" applyFill="1" applyBorder="1" applyAlignment="1">
      <alignment horizontal="center" vertical="center"/>
    </xf>
    <xf numFmtId="0" fontId="14" fillId="5" borderId="0" xfId="6" applyFont="1" applyFill="1" applyBorder="1" applyAlignment="1">
      <alignment horizontal="center" vertical="center"/>
    </xf>
    <xf numFmtId="0" fontId="15" fillId="0" borderId="35" xfId="6" applyFont="1" applyFill="1" applyBorder="1" applyAlignment="1">
      <alignment horizontal="center" vertical="center"/>
    </xf>
    <xf numFmtId="0" fontId="14" fillId="7" borderId="35" xfId="6" applyFont="1" applyFill="1" applyBorder="1" applyAlignment="1">
      <alignment horizontal="center" vertical="center"/>
    </xf>
    <xf numFmtId="183" fontId="64" fillId="0" borderId="66" xfId="6" applyNumberFormat="1" applyFont="1" applyFill="1" applyBorder="1" applyAlignment="1">
      <alignment horizontal="center" vertical="center"/>
    </xf>
    <xf numFmtId="10" fontId="14" fillId="0" borderId="35" xfId="6" applyNumberFormat="1" applyFont="1" applyBorder="1" applyAlignment="1">
      <alignment vertical="center"/>
    </xf>
    <xf numFmtId="0" fontId="14" fillId="7" borderId="67" xfId="6" applyFont="1" applyFill="1" applyBorder="1" applyAlignment="1">
      <alignment horizontal="center" vertical="center"/>
    </xf>
    <xf numFmtId="0" fontId="14" fillId="7" borderId="4" xfId="6" applyFont="1" applyFill="1" applyBorder="1" applyAlignment="1">
      <alignment horizontal="center" vertical="center"/>
    </xf>
    <xf numFmtId="49" fontId="20" fillId="0" borderId="2" xfId="8" applyNumberFormat="1" applyFont="1" applyBorder="1" applyAlignment="1">
      <alignment horizontal="left" vertical="center"/>
    </xf>
    <xf numFmtId="0" fontId="20" fillId="0" borderId="26" xfId="8" applyFont="1" applyBorder="1" applyAlignment="1">
      <alignment horizontal="left" vertical="center"/>
    </xf>
    <xf numFmtId="0" fontId="16" fillId="7" borderId="101" xfId="6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center" vertical="center"/>
    </xf>
    <xf numFmtId="2" fontId="64" fillId="0" borderId="0" xfId="6" applyNumberFormat="1" applyFont="1" applyFill="1" applyBorder="1" applyAlignment="1">
      <alignment horizontal="center" vertical="center"/>
    </xf>
    <xf numFmtId="10" fontId="15" fillId="0" borderId="0" xfId="7" applyNumberFormat="1" applyFont="1" applyFill="1" applyBorder="1" applyAlignment="1">
      <alignment horizontal="center" vertical="center"/>
    </xf>
    <xf numFmtId="183" fontId="15" fillId="0" borderId="2" xfId="6" applyNumberFormat="1" applyFont="1" applyBorder="1" applyAlignment="1">
      <alignment horizontal="center" vertical="center"/>
    </xf>
    <xf numFmtId="0" fontId="68" fillId="0" borderId="0" xfId="0" applyFont="1" applyAlignment="1"/>
    <xf numFmtId="0" fontId="15" fillId="0" borderId="0" xfId="6" applyFont="1" applyAlignment="1">
      <alignment horizontal="left" vertical="center"/>
    </xf>
    <xf numFmtId="0" fontId="63" fillId="0" borderId="0" xfId="6" applyFont="1" applyAlignment="1">
      <alignment horizontal="left" vertical="center"/>
    </xf>
    <xf numFmtId="0" fontId="66" fillId="0" borderId="0" xfId="9" applyNumberFormat="1" applyFont="1" applyFill="1" applyAlignment="1">
      <alignment horizontal="center" vertical="center"/>
    </xf>
    <xf numFmtId="0" fontId="38" fillId="0" borderId="0" xfId="9" applyNumberFormat="1" applyFont="1" applyFill="1" applyAlignment="1">
      <alignment horizontal="center" vertical="center"/>
    </xf>
    <xf numFmtId="0" fontId="14" fillId="0" borderId="16" xfId="6" applyFont="1" applyBorder="1" applyAlignment="1">
      <alignment horizontal="right" vertical="center"/>
    </xf>
    <xf numFmtId="0" fontId="14" fillId="0" borderId="28" xfId="6" applyFont="1" applyBorder="1" applyAlignment="1">
      <alignment horizontal="right" vertical="center"/>
    </xf>
    <xf numFmtId="0" fontId="15" fillId="0" borderId="16" xfId="6" applyFont="1" applyBorder="1" applyAlignment="1">
      <alignment horizontal="right" vertical="center"/>
    </xf>
    <xf numFmtId="0" fontId="15" fillId="0" borderId="19" xfId="6" applyFont="1" applyBorder="1" applyAlignment="1">
      <alignment horizontal="right" vertical="center"/>
    </xf>
    <xf numFmtId="0" fontId="28" fillId="0" borderId="34" xfId="9" applyFont="1" applyFill="1" applyBorder="1" applyAlignment="1">
      <alignment horizontal="center" vertical="center"/>
    </xf>
    <xf numFmtId="0" fontId="18" fillId="0" borderId="56" xfId="9" applyFont="1" applyFill="1" applyBorder="1" applyAlignment="1">
      <alignment horizontal="center" vertical="center"/>
    </xf>
    <xf numFmtId="0" fontId="18" fillId="0" borderId="6" xfId="9" applyFont="1" applyFill="1" applyBorder="1" applyAlignment="1">
      <alignment horizontal="center" vertical="center"/>
    </xf>
    <xf numFmtId="0" fontId="27" fillId="0" borderId="60" xfId="9" applyFont="1" applyFill="1" applyBorder="1" applyAlignment="1">
      <alignment horizontal="center" vertical="center"/>
    </xf>
    <xf numFmtId="0" fontId="27" fillId="0" borderId="57" xfId="9" applyFont="1" applyFill="1" applyBorder="1" applyAlignment="1">
      <alignment horizontal="center" vertical="center"/>
    </xf>
    <xf numFmtId="0" fontId="27" fillId="0" borderId="89" xfId="9" applyFont="1" applyFill="1" applyBorder="1" applyAlignment="1">
      <alignment horizontal="center" vertical="center"/>
    </xf>
    <xf numFmtId="0" fontId="33" fillId="0" borderId="60" xfId="9" applyFont="1" applyFill="1" applyBorder="1" applyAlignment="1">
      <alignment horizontal="center" vertical="center"/>
    </xf>
    <xf numFmtId="0" fontId="33" fillId="0" borderId="57" xfId="9" applyFont="1" applyFill="1" applyBorder="1" applyAlignment="1">
      <alignment horizontal="center" vertical="center"/>
    </xf>
    <xf numFmtId="0" fontId="33" fillId="0" borderId="89" xfId="9" applyFont="1" applyFill="1" applyBorder="1" applyAlignment="1">
      <alignment horizontal="center" vertical="center"/>
    </xf>
    <xf numFmtId="0" fontId="27" fillId="0" borderId="54" xfId="9" applyFont="1" applyFill="1" applyBorder="1" applyAlignment="1">
      <alignment horizontal="center" vertical="center"/>
    </xf>
    <xf numFmtId="0" fontId="27" fillId="0" borderId="53" xfId="9" applyFont="1" applyFill="1" applyBorder="1" applyAlignment="1">
      <alignment horizontal="center" vertical="center"/>
    </xf>
    <xf numFmtId="0" fontId="27" fillId="0" borderId="52" xfId="9" applyFont="1" applyFill="1" applyBorder="1" applyAlignment="1">
      <alignment horizontal="center" vertical="center"/>
    </xf>
    <xf numFmtId="0" fontId="24" fillId="0" borderId="0" xfId="8" applyFont="1" applyAlignment="1">
      <alignment horizontal="center" vertical="center"/>
    </xf>
    <xf numFmtId="0" fontId="47" fillId="0" borderId="90" xfId="3" applyFont="1" applyBorder="1" applyAlignment="1">
      <alignment horizontal="center" vertical="center" wrapText="1"/>
    </xf>
    <xf numFmtId="0" fontId="47" fillId="0" borderId="7" xfId="3" applyFont="1" applyBorder="1" applyAlignment="1">
      <alignment horizontal="center" vertical="center" wrapText="1"/>
    </xf>
    <xf numFmtId="0" fontId="48" fillId="0" borderId="96" xfId="3" applyFont="1" applyBorder="1" applyAlignment="1">
      <alignment horizontal="center" vertical="center" wrapText="1"/>
    </xf>
    <xf numFmtId="0" fontId="48" fillId="0" borderId="97" xfId="3" applyFont="1" applyBorder="1" applyAlignment="1">
      <alignment horizontal="center" vertical="center" wrapText="1"/>
    </xf>
    <xf numFmtId="0" fontId="49" fillId="0" borderId="48" xfId="3" applyFont="1" applyBorder="1" applyAlignment="1">
      <alignment horizontal="center" vertical="center" wrapText="1"/>
    </xf>
    <xf numFmtId="0" fontId="46" fillId="0" borderId="68" xfId="3" applyFont="1" applyBorder="1" applyAlignment="1">
      <alignment horizontal="center" vertical="center" wrapText="1"/>
    </xf>
    <xf numFmtId="0" fontId="48" fillId="4" borderId="79" xfId="3" applyFont="1" applyFill="1" applyBorder="1" applyAlignment="1">
      <alignment horizontal="center" vertical="center" wrapText="1"/>
    </xf>
    <xf numFmtId="0" fontId="48" fillId="4" borderId="77" xfId="3" applyFont="1" applyFill="1" applyBorder="1" applyAlignment="1">
      <alignment horizontal="center" vertical="center" wrapText="1"/>
    </xf>
    <xf numFmtId="0" fontId="49" fillId="0" borderId="45" xfId="3" applyFont="1" applyBorder="1" applyAlignment="1">
      <alignment horizontal="center" vertical="center" wrapText="1"/>
    </xf>
    <xf numFmtId="0" fontId="46" fillId="0" borderId="61" xfId="3" applyFont="1" applyBorder="1" applyAlignment="1">
      <alignment horizontal="center" vertical="center" wrapText="1"/>
    </xf>
    <xf numFmtId="0" fontId="53" fillId="0" borderId="0" xfId="3" applyFont="1" applyAlignment="1">
      <alignment horizontal="center" vertical="center" wrapText="1"/>
    </xf>
    <xf numFmtId="0" fontId="52" fillId="0" borderId="0" xfId="3" applyFont="1" applyAlignment="1">
      <alignment horizontal="center" vertical="center" wrapText="1"/>
    </xf>
    <xf numFmtId="0" fontId="48" fillId="0" borderId="45" xfId="3" applyFont="1" applyBorder="1" applyAlignment="1">
      <alignment horizontal="center" vertical="center" wrapText="1"/>
    </xf>
    <xf numFmtId="0" fontId="48" fillId="0" borderId="61" xfId="3" applyFont="1" applyBorder="1" applyAlignment="1">
      <alignment horizontal="center" vertical="center" wrapText="1"/>
    </xf>
    <xf numFmtId="0" fontId="46" fillId="0" borderId="49" xfId="3" applyFont="1" applyBorder="1" applyAlignment="1">
      <alignment horizontal="center" vertical="center" wrapText="1"/>
    </xf>
    <xf numFmtId="0" fontId="46" fillId="0" borderId="76" xfId="3" applyFont="1" applyBorder="1" applyAlignment="1">
      <alignment horizontal="center" vertical="center" wrapText="1"/>
    </xf>
    <xf numFmtId="0" fontId="51" fillId="0" borderId="0" xfId="3" applyFont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54" fillId="0" borderId="8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64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5" borderId="48" xfId="0" applyFont="1" applyFill="1" applyBorder="1" applyAlignment="1">
      <alignment horizontal="center" vertical="center"/>
    </xf>
    <xf numFmtId="0" fontId="15" fillId="5" borderId="64" xfId="0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22" fillId="3" borderId="85" xfId="0" applyFont="1" applyFill="1" applyBorder="1" applyAlignment="1">
      <alignment horizontal="center" vertical="center"/>
    </xf>
    <xf numFmtId="0" fontId="0" fillId="0" borderId="7" xfId="0" applyBorder="1"/>
    <xf numFmtId="0" fontId="22" fillId="0" borderId="8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7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2" fillId="3" borderId="44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</cellXfs>
  <cellStyles count="11">
    <cellStyle name="一般" xfId="0" builtinId="0"/>
    <cellStyle name="一般 2" xfId="1"/>
    <cellStyle name="一般 3" xfId="2"/>
    <cellStyle name="一般 4" xfId="3"/>
    <cellStyle name="一般 5" xfId="4"/>
    <cellStyle name="一般 6" xfId="6"/>
    <cellStyle name="一般 7" xfId="8"/>
    <cellStyle name="一般 8" xfId="9"/>
    <cellStyle name="百分比 2" xfId="5"/>
    <cellStyle name="百分比 3" xfId="7"/>
    <cellStyle name="百分比 4" xfId="10"/>
  </cellStyles>
  <dxfs count="0"/>
  <tableStyles count="0" defaultTableStyle="TableStyleMedium9" defaultPivotStyle="PivotStyleLight16"/>
  <colors>
    <mruColors>
      <color rgb="FFFF9933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altLang="en-US"/>
              <a:t>Sales Trend 2009</a:t>
            </a:r>
          </a:p>
        </c:rich>
      </c:tx>
      <c:layout>
        <c:manualLayout>
          <c:xMode val="edge"/>
          <c:yMode val="edge"/>
          <c:x val="0.21854350987584073"/>
          <c:y val="3.225806451613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640328884539E-2"/>
          <c:y val="0.14888355507952453"/>
          <c:w val="0.89624917272258964"/>
          <c:h val="0.74689916798228162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0000D4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D4"/>
              </a:solidFill>
              <a:ln>
                <a:solidFill>
                  <a:srgbClr val="0000D4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業代產能!$C$6:$N$6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業代產能!$C$52:$N$52</c:f>
              <c:numCache>
                <c:formatCode>General</c:formatCode>
                <c:ptCount val="12"/>
                <c:pt idx="0">
                  <c:v>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79243136"/>
        <c:axId val="79249408"/>
      </c:lineChart>
      <c:catAx>
        <c:axId val="792431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zh-TW"/>
          </a:p>
        </c:txPr>
        <c:crossAx val="79249408"/>
        <c:crosses val="autoZero"/>
        <c:auto val="1"/>
        <c:lblAlgn val="ctr"/>
        <c:lblOffset val="100"/>
        <c:tickLblSkip val="1"/>
        <c:tickMarkSkip val="1"/>
      </c:catAx>
      <c:valAx>
        <c:axId val="792494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zh-TW"/>
          </a:p>
        </c:txPr>
        <c:crossAx val="79243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zh-TW"/>
    </a:p>
  </c:txPr>
  <c:printSettings>
    <c:headerFooter alignWithMargins="0"/>
    <c:pageMargins b="1" l="0.75000000000001465" r="0.75000000000001465" t="1" header="0.5" footer="0.5"/>
    <c:pageSetup paperSize="0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altLang="en-US"/>
              <a:t>Sales Performance 2009</a:t>
            </a:r>
          </a:p>
        </c:rich>
      </c:tx>
      <c:layout>
        <c:manualLayout>
          <c:xMode val="edge"/>
          <c:yMode val="edge"/>
          <c:x val="8.2474226804123682E-2"/>
          <c:y val="3.97022332506203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474226804123682E-2"/>
          <c:y val="0.15384634024884244"/>
          <c:w val="0.88247422680412368"/>
          <c:h val="0.7419363828129382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00D4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zh-TW"/>
              </a:p>
            </c:txPr>
            <c:showVal val="1"/>
          </c:dLbls>
          <c:cat>
            <c:strRef>
              <c:f>業代產能!$B$11:$B$44</c:f>
              <c:strCache>
                <c:ptCount val="34"/>
                <c:pt idx="0">
                  <c:v>花志明</c:v>
                </c:pt>
                <c:pt idx="1">
                  <c:v>林柏霖</c:v>
                </c:pt>
                <c:pt idx="2">
                  <c:v>陳龍雲</c:v>
                </c:pt>
                <c:pt idx="3">
                  <c:v>張健宏</c:v>
                </c:pt>
                <c:pt idx="4">
                  <c:v>簡志勳</c:v>
                </c:pt>
                <c:pt idx="5">
                  <c:v>王裕明</c:v>
                </c:pt>
                <c:pt idx="6">
                  <c:v>郭麗文</c:v>
                </c:pt>
                <c:pt idx="7">
                  <c:v>S1-TOTAL</c:v>
                </c:pt>
                <c:pt idx="8">
                  <c:v>謝中堅</c:v>
                </c:pt>
                <c:pt idx="9">
                  <c:v>王慶儒</c:v>
                </c:pt>
                <c:pt idx="10">
                  <c:v>黃盛緯</c:v>
                </c:pt>
                <c:pt idx="11">
                  <c:v>張昇文</c:v>
                </c:pt>
                <c:pt idx="12">
                  <c:v>莊朝清</c:v>
                </c:pt>
                <c:pt idx="13">
                  <c:v>林陳郎</c:v>
                </c:pt>
                <c:pt idx="14">
                  <c:v>林政勳</c:v>
                </c:pt>
                <c:pt idx="15">
                  <c:v>陳維德</c:v>
                </c:pt>
                <c:pt idx="16">
                  <c:v>王冠賢</c:v>
                </c:pt>
                <c:pt idx="17">
                  <c:v>戴子貽</c:v>
                </c:pt>
                <c:pt idx="18">
                  <c:v>陳一鋐</c:v>
                </c:pt>
                <c:pt idx="19">
                  <c:v>吳豐譽</c:v>
                </c:pt>
                <c:pt idx="20">
                  <c:v>S2-TOTAL</c:v>
                </c:pt>
                <c:pt idx="21">
                  <c:v>黃英杰</c:v>
                </c:pt>
                <c:pt idx="22">
                  <c:v>陳禮健</c:v>
                </c:pt>
                <c:pt idx="23">
                  <c:v>賈勇華</c:v>
                </c:pt>
                <c:pt idx="24">
                  <c:v>郭力嘉</c:v>
                </c:pt>
                <c:pt idx="25">
                  <c:v>吳侑親</c:v>
                </c:pt>
                <c:pt idx="26">
                  <c:v>田錦興</c:v>
                </c:pt>
                <c:pt idx="27">
                  <c:v>劉家任</c:v>
                </c:pt>
                <c:pt idx="28">
                  <c:v>吳豐譽</c:v>
                </c:pt>
                <c:pt idx="29">
                  <c:v>鄭英彥</c:v>
                </c:pt>
                <c:pt idx="30">
                  <c:v>林謙慶</c:v>
                </c:pt>
                <c:pt idx="31">
                  <c:v>簡志勳</c:v>
                </c:pt>
                <c:pt idx="32">
                  <c:v>黃盛緯</c:v>
                </c:pt>
                <c:pt idx="33">
                  <c:v>S3-TOTAL</c:v>
                </c:pt>
              </c:strCache>
            </c:strRef>
          </c:cat>
          <c:val>
            <c:numRef>
              <c:f>業代產能!$O$11:$O$44</c:f>
              <c:numCache>
                <c:formatCode>General</c:formatCode>
                <c:ptCount val="34"/>
                <c:pt idx="0">
                  <c:v>3</c:v>
                </c:pt>
                <c:pt idx="1">
                  <c:v>9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35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35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21</c:v>
                </c:pt>
              </c:numCache>
            </c:numRef>
          </c:val>
        </c:ser>
        <c:gapWidth val="10"/>
        <c:axId val="79265152"/>
        <c:axId val="79283328"/>
      </c:barChart>
      <c:catAx>
        <c:axId val="792651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zh-TW"/>
          </a:p>
        </c:txPr>
        <c:crossAx val="79283328"/>
        <c:crosses val="autoZero"/>
        <c:auto val="1"/>
        <c:lblAlgn val="ctr"/>
        <c:lblOffset val="100"/>
        <c:tickLblSkip val="1"/>
        <c:tickMarkSkip val="1"/>
      </c:catAx>
      <c:valAx>
        <c:axId val="792833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zh-TW"/>
          </a:p>
        </c:txPr>
        <c:crossAx val="792651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zh-TW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altLang="en-US"/>
              <a:t>Sales Efficiency 2009</a:t>
            </a:r>
          </a:p>
        </c:rich>
      </c:tx>
      <c:layout>
        <c:manualLayout>
          <c:xMode val="edge"/>
          <c:yMode val="edge"/>
          <c:x val="8.4745960427265746E-2"/>
          <c:y val="3.45679012345678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8512403837843298E-2"/>
          <c:y val="0.16296335591086991"/>
          <c:w val="0.87570782520420065"/>
          <c:h val="0.6839522664744086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00D4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zh-TW"/>
              </a:p>
            </c:txPr>
            <c:showVal val="1"/>
          </c:dLbls>
          <c:cat>
            <c:strRef>
              <c:f>業代產能!$B$11:$B$52</c:f>
              <c:strCache>
                <c:ptCount val="40"/>
                <c:pt idx="0">
                  <c:v>花志明</c:v>
                </c:pt>
                <c:pt idx="1">
                  <c:v>林柏霖</c:v>
                </c:pt>
                <c:pt idx="2">
                  <c:v>陳龍雲</c:v>
                </c:pt>
                <c:pt idx="3">
                  <c:v>張健宏</c:v>
                </c:pt>
                <c:pt idx="4">
                  <c:v>簡志勳</c:v>
                </c:pt>
                <c:pt idx="5">
                  <c:v>王裕明</c:v>
                </c:pt>
                <c:pt idx="6">
                  <c:v>郭麗文</c:v>
                </c:pt>
                <c:pt idx="7">
                  <c:v>S1-TOTAL</c:v>
                </c:pt>
                <c:pt idx="8">
                  <c:v>謝中堅</c:v>
                </c:pt>
                <c:pt idx="9">
                  <c:v>王慶儒</c:v>
                </c:pt>
                <c:pt idx="10">
                  <c:v>黃盛緯</c:v>
                </c:pt>
                <c:pt idx="11">
                  <c:v>張昇文</c:v>
                </c:pt>
                <c:pt idx="12">
                  <c:v>莊朝清</c:v>
                </c:pt>
                <c:pt idx="13">
                  <c:v>林陳郎</c:v>
                </c:pt>
                <c:pt idx="14">
                  <c:v>林政勳</c:v>
                </c:pt>
                <c:pt idx="15">
                  <c:v>陳維德</c:v>
                </c:pt>
                <c:pt idx="16">
                  <c:v>王冠賢</c:v>
                </c:pt>
                <c:pt idx="17">
                  <c:v>戴子貽</c:v>
                </c:pt>
                <c:pt idx="18">
                  <c:v>陳一鋐</c:v>
                </c:pt>
                <c:pt idx="19">
                  <c:v>吳豐譽</c:v>
                </c:pt>
                <c:pt idx="20">
                  <c:v>S2-TOTAL</c:v>
                </c:pt>
                <c:pt idx="21">
                  <c:v>黃英杰</c:v>
                </c:pt>
                <c:pt idx="22">
                  <c:v>陳禮健</c:v>
                </c:pt>
                <c:pt idx="23">
                  <c:v>賈勇華</c:v>
                </c:pt>
                <c:pt idx="24">
                  <c:v>郭力嘉</c:v>
                </c:pt>
                <c:pt idx="25">
                  <c:v>吳侑親</c:v>
                </c:pt>
                <c:pt idx="26">
                  <c:v>田錦興</c:v>
                </c:pt>
                <c:pt idx="27">
                  <c:v>劉家任</c:v>
                </c:pt>
                <c:pt idx="28">
                  <c:v>吳豐譽</c:v>
                </c:pt>
                <c:pt idx="29">
                  <c:v>鄭英彥</c:v>
                </c:pt>
                <c:pt idx="30">
                  <c:v>林謙慶</c:v>
                </c:pt>
                <c:pt idx="31">
                  <c:v>簡志勳</c:v>
                </c:pt>
                <c:pt idx="32">
                  <c:v>黃盛緯</c:v>
                </c:pt>
                <c:pt idx="33">
                  <c:v>S3-TOTAL</c:v>
                </c:pt>
                <c:pt idx="34">
                  <c:v>行銷業務</c:v>
                </c:pt>
                <c:pt idx="35">
                  <c:v>試乘車</c:v>
                </c:pt>
                <c:pt idx="36">
                  <c:v>主管配車</c:v>
                </c:pt>
                <c:pt idx="37">
                  <c:v>員購/配車</c:v>
                </c:pt>
                <c:pt idx="38">
                  <c:v>退換車</c:v>
                </c:pt>
                <c:pt idx="39">
                  <c:v>掛牌台數</c:v>
                </c:pt>
              </c:strCache>
            </c:strRef>
          </c:cat>
          <c:val>
            <c:numRef>
              <c:f>業代產能!$Q$11:$Q$52</c:f>
              <c:numCache>
                <c:formatCode>0.0</c:formatCode>
                <c:ptCount val="40"/>
                <c:pt idx="0">
                  <c:v>1</c:v>
                </c:pt>
                <c:pt idx="1">
                  <c:v>3</c:v>
                </c:pt>
                <c:pt idx="2">
                  <c:v>0.33333333333333331</c:v>
                </c:pt>
                <c:pt idx="3">
                  <c:v>1.3333333333333333</c:v>
                </c:pt>
                <c:pt idx="4">
                  <c:v>1.3333333333333333</c:v>
                </c:pt>
                <c:pt idx="5">
                  <c:v>0.33333333333333331</c:v>
                </c:pt>
                <c:pt idx="6">
                  <c:v>0</c:v>
                </c:pt>
                <c:pt idx="7" formatCode="0.00">
                  <c:v>1.09375</c:v>
                </c:pt>
                <c:pt idx="8">
                  <c:v>1.3333333333333333</c:v>
                </c:pt>
                <c:pt idx="9">
                  <c:v>1.6666666666666667</c:v>
                </c:pt>
                <c:pt idx="10">
                  <c:v>2.5</c:v>
                </c:pt>
                <c:pt idx="11">
                  <c:v>1.3333333333333333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0.66666666666666663</c:v>
                </c:pt>
                <c:pt idx="17">
                  <c:v>0.33333333333333331</c:v>
                </c:pt>
                <c:pt idx="18">
                  <c:v>0.66666666666666663</c:v>
                </c:pt>
                <c:pt idx="19">
                  <c:v>0</c:v>
                </c:pt>
                <c:pt idx="20" formatCode="0.00">
                  <c:v>1.0606060606060606</c:v>
                </c:pt>
                <c:pt idx="21">
                  <c:v>1.5</c:v>
                </c:pt>
                <c:pt idx="22">
                  <c:v>0.33333333333333331</c:v>
                </c:pt>
                <c:pt idx="23">
                  <c:v>1</c:v>
                </c:pt>
                <c:pt idx="24">
                  <c:v>1</c:v>
                </c:pt>
                <c:pt idx="25">
                  <c:v>0.66666666666666663</c:v>
                </c:pt>
                <c:pt idx="26">
                  <c:v>0.33333333333333331</c:v>
                </c:pt>
                <c:pt idx="27">
                  <c:v>0.33333333333333331</c:v>
                </c:pt>
                <c:pt idx="28">
                  <c:v>1</c:v>
                </c:pt>
                <c:pt idx="29">
                  <c:v>0.33333333333333331</c:v>
                </c:pt>
                <c:pt idx="30">
                  <c:v>1.3333333333333333</c:v>
                </c:pt>
                <c:pt idx="31">
                  <c:v>0</c:v>
                </c:pt>
                <c:pt idx="32">
                  <c:v>0</c:v>
                </c:pt>
                <c:pt idx="33" formatCode="0.00">
                  <c:v>0.7</c:v>
                </c:pt>
              </c:numCache>
            </c:numRef>
          </c:val>
        </c:ser>
        <c:gapWidth val="10"/>
        <c:axId val="80646912"/>
        <c:axId val="80648448"/>
      </c:barChart>
      <c:catAx>
        <c:axId val="806469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zh-TW"/>
          </a:p>
        </c:txPr>
        <c:crossAx val="80648448"/>
        <c:crosses val="autoZero"/>
        <c:auto val="1"/>
        <c:lblAlgn val="ctr"/>
        <c:lblOffset val="100"/>
        <c:tickLblSkip val="1"/>
        <c:tickMarkSkip val="1"/>
      </c:catAx>
      <c:valAx>
        <c:axId val="80648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zh-TW"/>
          </a:p>
        </c:txPr>
        <c:crossAx val="806469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zh-TW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752475</xdr:colOff>
      <xdr:row>25</xdr:row>
      <xdr:rowOff>57150</xdr:rowOff>
    </xdr:to>
    <xdr:pic>
      <xdr:nvPicPr>
        <xdr:cNvPr id="77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5833" t="25111" r="17570" b="18667"/>
        <a:stretch>
          <a:fillRect/>
        </a:stretch>
      </xdr:blipFill>
      <xdr:spPr bwMode="auto">
        <a:xfrm>
          <a:off x="0" y="0"/>
          <a:ext cx="9134475" cy="4819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95250</xdr:colOff>
      <xdr:row>13</xdr:row>
      <xdr:rowOff>161925</xdr:rowOff>
    </xdr:from>
    <xdr:to>
      <xdr:col>1</xdr:col>
      <xdr:colOff>457200</xdr:colOff>
      <xdr:row>15</xdr:row>
      <xdr:rowOff>85725</xdr:rowOff>
    </xdr:to>
    <xdr:sp macro="" textlink="">
      <xdr:nvSpPr>
        <xdr:cNvPr id="3" name="圓角矩形 2"/>
        <xdr:cNvSpPr/>
      </xdr:nvSpPr>
      <xdr:spPr bwMode="auto">
        <a:xfrm>
          <a:off x="95250" y="2638425"/>
          <a:ext cx="1123950" cy="304800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zh-TW" altLang="en-US" sz="1100"/>
        </a:p>
      </xdr:txBody>
    </xdr:sp>
    <xdr:clientData/>
  </xdr:twoCellAnchor>
  <xdr:twoCellAnchor>
    <xdr:from>
      <xdr:col>1</xdr:col>
      <xdr:colOff>390525</xdr:colOff>
      <xdr:row>15</xdr:row>
      <xdr:rowOff>142875</xdr:rowOff>
    </xdr:from>
    <xdr:to>
      <xdr:col>1</xdr:col>
      <xdr:colOff>409575</xdr:colOff>
      <xdr:row>27</xdr:row>
      <xdr:rowOff>171450</xdr:rowOff>
    </xdr:to>
    <xdr:cxnSp macro="">
      <xdr:nvCxnSpPr>
        <xdr:cNvPr id="7" name="直線單箭頭接點 6"/>
        <xdr:cNvCxnSpPr/>
      </xdr:nvCxnSpPr>
      <xdr:spPr bwMode="auto">
        <a:xfrm flipH="1">
          <a:off x="1152525" y="3000375"/>
          <a:ext cx="19050" cy="2314575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781050</xdr:colOff>
      <xdr:row>59</xdr:row>
      <xdr:rowOff>133350</xdr:rowOff>
    </xdr:from>
    <xdr:to>
      <xdr:col>16</xdr:col>
      <xdr:colOff>828675</xdr:colOff>
      <xdr:row>83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59</xdr:row>
      <xdr:rowOff>133350</xdr:rowOff>
    </xdr:from>
    <xdr:to>
      <xdr:col>11</xdr:col>
      <xdr:colOff>685800</xdr:colOff>
      <xdr:row>83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59</xdr:row>
      <xdr:rowOff>123825</xdr:rowOff>
    </xdr:from>
    <xdr:to>
      <xdr:col>6</xdr:col>
      <xdr:colOff>171450</xdr:colOff>
      <xdr:row>83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externalLinkPath" Target="&#24180;&#24230;&#37559;&#21806;&#20998;&#26512;-2012.xlsx" TargetMode="External"/><Relationship Id="rId1" Type="http://schemas.openxmlformats.org/officeDocument/2006/relationships/externalLinkPath" Target="&#24180;&#24230;&#37559;&#21806;&#20998;&#26512;-2012.xlsx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9:L30"/>
  <sheetViews>
    <sheetView tabSelected="1" topLeftCell="A10" workbookViewId="0">
      <selection activeCell="Q16" sqref="Q16"/>
    </sheetView>
  </sheetViews>
  <sheetFormatPr defaultRowHeight="15"/>
  <sheetData>
    <row r="29" spans="1:12">
      <c r="A29" s="367" t="s">
        <v>317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</row>
    <row r="30" spans="1:12">
      <c r="A30" s="367"/>
      <c r="B30" s="367"/>
      <c r="C30" s="367"/>
      <c r="D30" s="367"/>
      <c r="E30" s="367"/>
      <c r="F30" s="367"/>
      <c r="G30" s="367"/>
      <c r="H30" s="367"/>
      <c r="I30" s="367"/>
      <c r="J30" s="367"/>
      <c r="K30" s="367"/>
      <c r="L30" s="367"/>
    </row>
  </sheetData>
  <mergeCells count="1">
    <mergeCell ref="A29:L30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6"/>
  <sheetViews>
    <sheetView topLeftCell="A4" zoomScaleNormal="100" workbookViewId="0">
      <pane xSplit="2" ySplit="3" topLeftCell="C40" activePane="bottomRight" state="frozen"/>
      <selection activeCell="Q16" sqref="Q16"/>
      <selection pane="topRight" activeCell="Q16" sqref="Q16"/>
      <selection pane="bottomLeft" activeCell="Q16" sqref="Q16"/>
      <selection pane="bottomRight" activeCell="D45" sqref="D45:E46"/>
    </sheetView>
  </sheetViews>
  <sheetFormatPr defaultColWidth="9.77734375" defaultRowHeight="15"/>
  <cols>
    <col min="1" max="1" width="3.88671875" style="269" customWidth="1"/>
    <col min="2" max="2" width="10.77734375" style="269" customWidth="1"/>
    <col min="3" max="14" width="6" style="270" customWidth="1"/>
    <col min="15" max="15" width="21.109375" style="270" customWidth="1"/>
    <col min="16" max="16" width="10.33203125" style="270" customWidth="1"/>
    <col min="17" max="17" width="10" style="270" customWidth="1"/>
    <col min="18" max="16384" width="9.77734375" style="270"/>
  </cols>
  <sheetData>
    <row r="1" spans="1:18">
      <c r="B1" s="368" t="s">
        <v>206</v>
      </c>
      <c r="C1" s="368"/>
      <c r="D1" s="368"/>
      <c r="E1" s="368"/>
      <c r="F1" s="368"/>
    </row>
    <row r="2" spans="1:18">
      <c r="B2" s="369" t="s">
        <v>207</v>
      </c>
      <c r="C2" s="369"/>
      <c r="D2" s="369"/>
      <c r="E2" s="369"/>
      <c r="F2" s="369"/>
    </row>
    <row r="4" spans="1:18" ht="36.75" customHeight="1">
      <c r="A4" s="370" t="s">
        <v>258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</row>
    <row r="5" spans="1:18" ht="15.75" thickBot="1"/>
    <row r="6" spans="1:18" ht="36" customHeight="1" thickBot="1">
      <c r="A6" s="271" t="s">
        <v>208</v>
      </c>
      <c r="B6" s="271" t="s">
        <v>209</v>
      </c>
      <c r="C6" s="272" t="s">
        <v>210</v>
      </c>
      <c r="D6" s="273" t="s">
        <v>11</v>
      </c>
      <c r="E6" s="273" t="s">
        <v>0</v>
      </c>
      <c r="F6" s="273" t="s">
        <v>1</v>
      </c>
      <c r="G6" s="273" t="s">
        <v>2</v>
      </c>
      <c r="H6" s="273" t="s">
        <v>3</v>
      </c>
      <c r="I6" s="273" t="s">
        <v>4</v>
      </c>
      <c r="J6" s="273" t="s">
        <v>5</v>
      </c>
      <c r="K6" s="273" t="s">
        <v>6</v>
      </c>
      <c r="L6" s="273" t="s">
        <v>7</v>
      </c>
      <c r="M6" s="273" t="s">
        <v>8</v>
      </c>
      <c r="N6" s="274" t="s">
        <v>9</v>
      </c>
      <c r="O6" s="271" t="s">
        <v>211</v>
      </c>
      <c r="P6" s="275" t="s">
        <v>212</v>
      </c>
      <c r="Q6" s="276" t="s">
        <v>316</v>
      </c>
      <c r="R6" s="271" t="s">
        <v>213</v>
      </c>
    </row>
    <row r="7" spans="1:18" ht="21" customHeight="1">
      <c r="A7" s="277">
        <v>1</v>
      </c>
      <c r="B7" s="278" t="s">
        <v>214</v>
      </c>
      <c r="C7" s="279">
        <v>5</v>
      </c>
      <c r="D7" s="280"/>
      <c r="E7" s="280"/>
      <c r="F7" s="280"/>
      <c r="G7" s="280"/>
      <c r="H7" s="281"/>
      <c r="I7" s="281"/>
      <c r="J7" s="281"/>
      <c r="K7" s="282"/>
      <c r="L7" s="282"/>
      <c r="M7" s="282"/>
      <c r="N7" s="283"/>
      <c r="O7" s="284">
        <f t="shared" ref="O7:O16" si="0">SUM(C7:N7)</f>
        <v>5</v>
      </c>
      <c r="P7" s="285">
        <v>3</v>
      </c>
      <c r="Q7" s="286">
        <f>+O7/P7</f>
        <v>1.6666666666666667</v>
      </c>
      <c r="R7" s="287">
        <f t="shared" ref="R7:R44" si="1">+O7/O$52</f>
        <v>5.3191489361702128E-2</v>
      </c>
    </row>
    <row r="8" spans="1:18" ht="21" customHeight="1">
      <c r="A8" s="288">
        <v>2</v>
      </c>
      <c r="B8" s="289" t="s">
        <v>215</v>
      </c>
      <c r="C8" s="290">
        <v>4</v>
      </c>
      <c r="D8" s="281"/>
      <c r="E8" s="281"/>
      <c r="F8" s="281"/>
      <c r="G8" s="281"/>
      <c r="H8" s="280"/>
      <c r="I8" s="280"/>
      <c r="J8" s="281"/>
      <c r="K8" s="291"/>
      <c r="L8" s="291"/>
      <c r="M8" s="291"/>
      <c r="N8" s="292"/>
      <c r="O8" s="284">
        <f t="shared" si="0"/>
        <v>4</v>
      </c>
      <c r="P8" s="285">
        <v>3</v>
      </c>
      <c r="Q8" s="286">
        <f t="shared" ref="Q8:Q43" si="2">+O8/P8</f>
        <v>1.3333333333333333</v>
      </c>
      <c r="R8" s="293">
        <f t="shared" si="1"/>
        <v>4.2553191489361701E-2</v>
      </c>
    </row>
    <row r="9" spans="1:18" ht="21" customHeight="1">
      <c r="A9" s="288">
        <v>3</v>
      </c>
      <c r="B9" s="278" t="s">
        <v>216</v>
      </c>
      <c r="C9" s="279">
        <v>3</v>
      </c>
      <c r="D9" s="280"/>
      <c r="E9" s="280"/>
      <c r="F9" s="280"/>
      <c r="G9" s="280"/>
      <c r="H9" s="280"/>
      <c r="I9" s="280"/>
      <c r="J9" s="281"/>
      <c r="K9" s="282"/>
      <c r="L9" s="282"/>
      <c r="M9" s="282"/>
      <c r="N9" s="283"/>
      <c r="O9" s="284">
        <f t="shared" si="0"/>
        <v>3</v>
      </c>
      <c r="P9" s="285">
        <v>3</v>
      </c>
      <c r="Q9" s="286">
        <f t="shared" si="2"/>
        <v>1</v>
      </c>
      <c r="R9" s="293">
        <f t="shared" si="1"/>
        <v>3.1914893617021274E-2</v>
      </c>
    </row>
    <row r="10" spans="1:18" ht="21" customHeight="1">
      <c r="A10" s="288">
        <v>4</v>
      </c>
      <c r="B10" s="289" t="s">
        <v>217</v>
      </c>
      <c r="C10" s="279">
        <v>1</v>
      </c>
      <c r="D10" s="280"/>
      <c r="E10" s="280"/>
      <c r="F10" s="280"/>
      <c r="G10" s="280"/>
      <c r="H10" s="280"/>
      <c r="I10" s="280"/>
      <c r="J10" s="281"/>
      <c r="K10" s="291"/>
      <c r="L10" s="291"/>
      <c r="M10" s="291"/>
      <c r="N10" s="292"/>
      <c r="O10" s="284">
        <f t="shared" si="0"/>
        <v>1</v>
      </c>
      <c r="P10" s="285">
        <v>3</v>
      </c>
      <c r="Q10" s="286">
        <f t="shared" si="2"/>
        <v>0.33333333333333331</v>
      </c>
      <c r="R10" s="293">
        <f t="shared" si="1"/>
        <v>1.0638297872340425E-2</v>
      </c>
    </row>
    <row r="11" spans="1:18" ht="21" customHeight="1">
      <c r="A11" s="288">
        <v>5</v>
      </c>
      <c r="B11" s="278" t="s">
        <v>218</v>
      </c>
      <c r="C11" s="279">
        <v>3</v>
      </c>
      <c r="D11" s="280"/>
      <c r="E11" s="280"/>
      <c r="F11" s="280"/>
      <c r="G11" s="280"/>
      <c r="H11" s="280"/>
      <c r="I11" s="280"/>
      <c r="J11" s="281"/>
      <c r="K11" s="282"/>
      <c r="L11" s="282"/>
      <c r="M11" s="282"/>
      <c r="N11" s="283"/>
      <c r="O11" s="284">
        <f t="shared" si="0"/>
        <v>3</v>
      </c>
      <c r="P11" s="285">
        <v>3</v>
      </c>
      <c r="Q11" s="286">
        <f t="shared" si="2"/>
        <v>1</v>
      </c>
      <c r="R11" s="293">
        <f t="shared" si="1"/>
        <v>3.1914893617021274E-2</v>
      </c>
    </row>
    <row r="12" spans="1:18" ht="21" customHeight="1">
      <c r="A12" s="288">
        <v>6</v>
      </c>
      <c r="B12" s="278" t="s">
        <v>219</v>
      </c>
      <c r="C12" s="294">
        <v>9</v>
      </c>
      <c r="D12" s="294"/>
      <c r="E12" s="294"/>
      <c r="F12" s="294"/>
      <c r="G12" s="294"/>
      <c r="H12" s="294"/>
      <c r="I12" s="294"/>
      <c r="J12" s="281"/>
      <c r="K12" s="294"/>
      <c r="L12" s="294"/>
      <c r="M12" s="294"/>
      <c r="N12" s="295"/>
      <c r="O12" s="284">
        <f t="shared" si="0"/>
        <v>9</v>
      </c>
      <c r="P12" s="285">
        <v>3</v>
      </c>
      <c r="Q12" s="286">
        <f t="shared" si="2"/>
        <v>3</v>
      </c>
      <c r="R12" s="293">
        <f t="shared" si="1"/>
        <v>9.5744680851063829E-2</v>
      </c>
    </row>
    <row r="13" spans="1:18" ht="21" customHeight="1">
      <c r="A13" s="288">
        <v>7</v>
      </c>
      <c r="B13" s="296" t="s">
        <v>220</v>
      </c>
      <c r="C13" s="297">
        <v>1</v>
      </c>
      <c r="D13" s="297"/>
      <c r="E13" s="297"/>
      <c r="F13" s="297"/>
      <c r="G13" s="298"/>
      <c r="H13" s="298"/>
      <c r="I13" s="298"/>
      <c r="J13" s="299"/>
      <c r="K13" s="298"/>
      <c r="L13" s="298"/>
      <c r="M13" s="298"/>
      <c r="N13" s="300"/>
      <c r="O13" s="301">
        <f t="shared" si="0"/>
        <v>1</v>
      </c>
      <c r="P13" s="285">
        <v>3</v>
      </c>
      <c r="Q13" s="302">
        <f t="shared" si="2"/>
        <v>0.33333333333333331</v>
      </c>
      <c r="R13" s="303">
        <f t="shared" si="1"/>
        <v>1.0638297872340425E-2</v>
      </c>
    </row>
    <row r="14" spans="1:18" ht="21" customHeight="1">
      <c r="A14" s="288">
        <v>8</v>
      </c>
      <c r="B14" s="278" t="s">
        <v>221</v>
      </c>
      <c r="C14" s="304">
        <v>4</v>
      </c>
      <c r="D14" s="304"/>
      <c r="E14" s="304"/>
      <c r="F14" s="304"/>
      <c r="G14" s="304"/>
      <c r="H14" s="304"/>
      <c r="I14" s="304"/>
      <c r="J14" s="304"/>
      <c r="K14" s="304"/>
      <c r="L14" s="304"/>
      <c r="M14" s="294"/>
      <c r="N14" s="295"/>
      <c r="O14" s="301">
        <f t="shared" si="0"/>
        <v>4</v>
      </c>
      <c r="P14" s="305">
        <v>3</v>
      </c>
      <c r="Q14" s="302">
        <f t="shared" si="2"/>
        <v>1.3333333333333333</v>
      </c>
      <c r="R14" s="303">
        <f t="shared" si="1"/>
        <v>4.2553191489361701E-2</v>
      </c>
    </row>
    <row r="15" spans="1:18" ht="21" customHeight="1">
      <c r="A15" s="306">
        <v>9</v>
      </c>
      <c r="B15" s="278" t="s">
        <v>222</v>
      </c>
      <c r="C15" s="304">
        <v>4</v>
      </c>
      <c r="D15" s="304"/>
      <c r="E15" s="304"/>
      <c r="F15" s="340"/>
      <c r="G15" s="340"/>
      <c r="H15" s="340"/>
      <c r="I15" s="340"/>
      <c r="J15" s="340"/>
      <c r="K15" s="340"/>
      <c r="L15" s="340"/>
      <c r="M15" s="340"/>
      <c r="N15" s="341"/>
      <c r="O15" s="284">
        <f t="shared" si="0"/>
        <v>4</v>
      </c>
      <c r="P15" s="285">
        <v>3</v>
      </c>
      <c r="Q15" s="286">
        <f t="shared" si="2"/>
        <v>1.3333333333333333</v>
      </c>
      <c r="R15" s="293">
        <f t="shared" si="1"/>
        <v>4.2553191489361701E-2</v>
      </c>
    </row>
    <row r="16" spans="1:18" ht="21" customHeight="1">
      <c r="A16" s="306">
        <v>10</v>
      </c>
      <c r="B16" s="278" t="s">
        <v>223</v>
      </c>
      <c r="C16" s="304">
        <v>1</v>
      </c>
      <c r="D16" s="304"/>
      <c r="E16" s="304"/>
      <c r="F16" s="304"/>
      <c r="G16" s="304"/>
      <c r="H16" s="304"/>
      <c r="I16" s="304"/>
      <c r="J16" s="304"/>
      <c r="K16" s="304"/>
      <c r="L16" s="304"/>
      <c r="M16" s="294"/>
      <c r="N16" s="295"/>
      <c r="O16" s="284">
        <f t="shared" si="0"/>
        <v>1</v>
      </c>
      <c r="P16" s="285">
        <v>3</v>
      </c>
      <c r="Q16" s="286">
        <f t="shared" si="2"/>
        <v>0.33333333333333331</v>
      </c>
      <c r="R16" s="293">
        <f t="shared" si="1"/>
        <v>1.0638297872340425E-2</v>
      </c>
    </row>
    <row r="17" spans="1:18" ht="21" customHeight="1" thickBot="1">
      <c r="A17" s="288">
        <v>11</v>
      </c>
      <c r="B17" s="278" t="s">
        <v>224</v>
      </c>
      <c r="C17" s="307"/>
      <c r="D17" s="304"/>
      <c r="E17" s="304"/>
      <c r="F17" s="304"/>
      <c r="G17" s="304"/>
      <c r="H17" s="304"/>
      <c r="I17" s="304"/>
      <c r="J17" s="304"/>
      <c r="K17" s="304"/>
      <c r="L17" s="304"/>
      <c r="M17" s="294"/>
      <c r="N17" s="308"/>
      <c r="O17" s="284">
        <f>SUM(C17:N17)</f>
        <v>0</v>
      </c>
      <c r="P17" s="285">
        <v>2</v>
      </c>
      <c r="Q17" s="286">
        <f t="shared" si="2"/>
        <v>0</v>
      </c>
      <c r="R17" s="293">
        <f t="shared" si="1"/>
        <v>0</v>
      </c>
    </row>
    <row r="18" spans="1:18" ht="21" customHeight="1" thickBot="1">
      <c r="A18" s="309"/>
      <c r="B18" s="275" t="s">
        <v>226</v>
      </c>
      <c r="C18" s="310">
        <f t="shared" ref="C18:P18" si="3">SUM(C7:C17)</f>
        <v>35</v>
      </c>
      <c r="D18" s="310">
        <f t="shared" si="3"/>
        <v>0</v>
      </c>
      <c r="E18" s="310">
        <f t="shared" si="3"/>
        <v>0</v>
      </c>
      <c r="F18" s="310">
        <f t="shared" si="3"/>
        <v>0</v>
      </c>
      <c r="G18" s="310">
        <f t="shared" si="3"/>
        <v>0</v>
      </c>
      <c r="H18" s="310">
        <f t="shared" si="3"/>
        <v>0</v>
      </c>
      <c r="I18" s="310">
        <f t="shared" si="3"/>
        <v>0</v>
      </c>
      <c r="J18" s="310">
        <f t="shared" si="3"/>
        <v>0</v>
      </c>
      <c r="K18" s="310">
        <f t="shared" si="3"/>
        <v>0</v>
      </c>
      <c r="L18" s="310">
        <f t="shared" si="3"/>
        <v>0</v>
      </c>
      <c r="M18" s="310">
        <f t="shared" si="3"/>
        <v>0</v>
      </c>
      <c r="N18" s="310">
        <f t="shared" si="3"/>
        <v>0</v>
      </c>
      <c r="O18" s="275">
        <f t="shared" si="3"/>
        <v>35</v>
      </c>
      <c r="P18" s="275">
        <f t="shared" si="3"/>
        <v>32</v>
      </c>
      <c r="Q18" s="349">
        <f>+O18/(10+11+11)</f>
        <v>1.09375</v>
      </c>
      <c r="R18" s="311">
        <f t="shared" si="1"/>
        <v>0.37234042553191488</v>
      </c>
    </row>
    <row r="19" spans="1:18" ht="21" customHeight="1">
      <c r="A19" s="312">
        <v>1</v>
      </c>
      <c r="B19" s="289" t="s">
        <v>227</v>
      </c>
      <c r="C19" s="279">
        <v>4</v>
      </c>
      <c r="D19" s="280"/>
      <c r="E19" s="280"/>
      <c r="F19" s="280"/>
      <c r="G19" s="280"/>
      <c r="H19" s="280"/>
      <c r="I19" s="280"/>
      <c r="J19" s="281"/>
      <c r="K19" s="291"/>
      <c r="L19" s="280"/>
      <c r="M19" s="291"/>
      <c r="N19" s="292"/>
      <c r="O19" s="284">
        <f t="shared" ref="O19:O28" si="4">SUM(C19:N19)</f>
        <v>4</v>
      </c>
      <c r="P19" s="313">
        <v>3</v>
      </c>
      <c r="Q19" s="286">
        <f>+O19/P19</f>
        <v>1.3333333333333333</v>
      </c>
      <c r="R19" s="293">
        <f t="shared" si="1"/>
        <v>4.2553191489361701E-2</v>
      </c>
    </row>
    <row r="20" spans="1:18" ht="21" customHeight="1">
      <c r="A20" s="288">
        <v>2</v>
      </c>
      <c r="B20" s="278" t="s">
        <v>228</v>
      </c>
      <c r="C20" s="279">
        <v>5</v>
      </c>
      <c r="D20" s="280"/>
      <c r="E20" s="280"/>
      <c r="F20" s="280"/>
      <c r="G20" s="280"/>
      <c r="H20" s="280"/>
      <c r="I20" s="280"/>
      <c r="J20" s="281"/>
      <c r="K20" s="282"/>
      <c r="L20" s="280"/>
      <c r="M20" s="282"/>
      <c r="N20" s="283"/>
      <c r="O20" s="284">
        <f t="shared" si="4"/>
        <v>5</v>
      </c>
      <c r="P20" s="313">
        <v>3</v>
      </c>
      <c r="Q20" s="286">
        <f t="shared" si="2"/>
        <v>1.6666666666666667</v>
      </c>
      <c r="R20" s="293">
        <f t="shared" si="1"/>
        <v>5.3191489361702128E-2</v>
      </c>
    </row>
    <row r="21" spans="1:18" ht="21" customHeight="1">
      <c r="A21" s="288">
        <v>3</v>
      </c>
      <c r="B21" s="278" t="s">
        <v>229</v>
      </c>
      <c r="C21" s="279">
        <v>5</v>
      </c>
      <c r="D21" s="280"/>
      <c r="E21" s="342"/>
      <c r="F21" s="342"/>
      <c r="G21" s="342"/>
      <c r="H21" s="342"/>
      <c r="I21" s="342"/>
      <c r="J21" s="343"/>
      <c r="K21" s="342"/>
      <c r="L21" s="342"/>
      <c r="M21" s="342"/>
      <c r="N21" s="344"/>
      <c r="O21" s="284">
        <f>SUM(C21:N21)</f>
        <v>5</v>
      </c>
      <c r="P21" s="313">
        <v>2</v>
      </c>
      <c r="Q21" s="286">
        <f t="shared" si="2"/>
        <v>2.5</v>
      </c>
      <c r="R21" s="293">
        <f t="shared" si="1"/>
        <v>5.3191489361702128E-2</v>
      </c>
    </row>
    <row r="22" spans="1:18" ht="21" customHeight="1">
      <c r="A22" s="288">
        <v>4</v>
      </c>
      <c r="B22" s="278" t="s">
        <v>230</v>
      </c>
      <c r="C22" s="279">
        <v>4</v>
      </c>
      <c r="D22" s="280"/>
      <c r="E22" s="280"/>
      <c r="F22" s="280"/>
      <c r="G22" s="280"/>
      <c r="H22" s="280"/>
      <c r="I22" s="280"/>
      <c r="J22" s="280"/>
      <c r="K22" s="282"/>
      <c r="L22" s="280"/>
      <c r="M22" s="282"/>
      <c r="N22" s="283"/>
      <c r="O22" s="284">
        <f t="shared" si="4"/>
        <v>4</v>
      </c>
      <c r="P22" s="313">
        <v>3</v>
      </c>
      <c r="Q22" s="286">
        <f t="shared" si="2"/>
        <v>1.3333333333333333</v>
      </c>
      <c r="R22" s="293">
        <f t="shared" si="1"/>
        <v>4.2553191489361701E-2</v>
      </c>
    </row>
    <row r="23" spans="1:18" ht="21" customHeight="1">
      <c r="A23" s="288">
        <v>5</v>
      </c>
      <c r="B23" s="289" t="s">
        <v>231</v>
      </c>
      <c r="C23" s="279">
        <v>3</v>
      </c>
      <c r="D23" s="280"/>
      <c r="E23" s="280"/>
      <c r="F23" s="280"/>
      <c r="G23" s="280"/>
      <c r="H23" s="280"/>
      <c r="I23" s="280"/>
      <c r="J23" s="280"/>
      <c r="K23" s="291"/>
      <c r="L23" s="280"/>
      <c r="M23" s="291"/>
      <c r="N23" s="292"/>
      <c r="O23" s="284">
        <f t="shared" si="4"/>
        <v>3</v>
      </c>
      <c r="P23" s="313">
        <v>3</v>
      </c>
      <c r="Q23" s="286">
        <f t="shared" si="2"/>
        <v>1</v>
      </c>
      <c r="R23" s="293">
        <f t="shared" si="1"/>
        <v>3.1914893617021274E-2</v>
      </c>
    </row>
    <row r="24" spans="1:18" ht="21" customHeight="1">
      <c r="A24" s="288">
        <v>6</v>
      </c>
      <c r="B24" s="314" t="s">
        <v>232</v>
      </c>
      <c r="C24" s="279">
        <v>3</v>
      </c>
      <c r="D24" s="280"/>
      <c r="E24" s="280"/>
      <c r="F24" s="280"/>
      <c r="G24" s="280"/>
      <c r="H24" s="280"/>
      <c r="I24" s="280"/>
      <c r="J24" s="280"/>
      <c r="K24" s="291"/>
      <c r="L24" s="280"/>
      <c r="M24" s="291"/>
      <c r="N24" s="292"/>
      <c r="O24" s="284">
        <f t="shared" si="4"/>
        <v>3</v>
      </c>
      <c r="P24" s="313">
        <v>3</v>
      </c>
      <c r="Q24" s="286">
        <f t="shared" si="2"/>
        <v>1</v>
      </c>
      <c r="R24" s="293">
        <f t="shared" si="1"/>
        <v>3.1914893617021274E-2</v>
      </c>
    </row>
    <row r="25" spans="1:18" ht="21" customHeight="1">
      <c r="A25" s="288">
        <v>7</v>
      </c>
      <c r="B25" s="278" t="s">
        <v>233</v>
      </c>
      <c r="C25" s="294">
        <v>3</v>
      </c>
      <c r="D25" s="294"/>
      <c r="E25" s="294"/>
      <c r="F25" s="294"/>
      <c r="G25" s="294"/>
      <c r="H25" s="294"/>
      <c r="I25" s="294"/>
      <c r="J25" s="294"/>
      <c r="K25" s="294"/>
      <c r="L25" s="315"/>
      <c r="M25" s="294"/>
      <c r="N25" s="295"/>
      <c r="O25" s="284">
        <f t="shared" si="4"/>
        <v>3</v>
      </c>
      <c r="P25" s="313">
        <v>3</v>
      </c>
      <c r="Q25" s="286">
        <f t="shared" si="2"/>
        <v>1</v>
      </c>
      <c r="R25" s="293">
        <f t="shared" si="1"/>
        <v>3.1914893617021274E-2</v>
      </c>
    </row>
    <row r="26" spans="1:18" ht="21" customHeight="1">
      <c r="A26" s="288">
        <v>8</v>
      </c>
      <c r="B26" s="278" t="s">
        <v>234</v>
      </c>
      <c r="C26" s="294">
        <v>3</v>
      </c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5"/>
      <c r="O26" s="284">
        <f t="shared" si="4"/>
        <v>3</v>
      </c>
      <c r="P26" s="313">
        <v>3</v>
      </c>
      <c r="Q26" s="286">
        <f t="shared" si="2"/>
        <v>1</v>
      </c>
      <c r="R26" s="293">
        <f t="shared" si="1"/>
        <v>3.1914893617021274E-2</v>
      </c>
    </row>
    <row r="27" spans="1:18" ht="21" customHeight="1">
      <c r="A27" s="288">
        <v>9</v>
      </c>
      <c r="B27" s="278" t="s">
        <v>235</v>
      </c>
      <c r="C27" s="294">
        <v>2</v>
      </c>
      <c r="D27" s="294"/>
      <c r="E27" s="294"/>
      <c r="F27" s="294"/>
      <c r="G27" s="294"/>
      <c r="H27" s="294"/>
      <c r="I27" s="294"/>
      <c r="J27" s="294"/>
      <c r="K27" s="294"/>
      <c r="L27" s="315"/>
      <c r="M27" s="294"/>
      <c r="N27" s="308"/>
      <c r="O27" s="284">
        <f t="shared" si="4"/>
        <v>2</v>
      </c>
      <c r="P27" s="313">
        <v>3</v>
      </c>
      <c r="Q27" s="286">
        <f t="shared" si="2"/>
        <v>0.66666666666666663</v>
      </c>
      <c r="R27" s="293">
        <f t="shared" si="1"/>
        <v>2.1276595744680851E-2</v>
      </c>
    </row>
    <row r="28" spans="1:18" ht="21" customHeight="1">
      <c r="A28" s="288">
        <v>10</v>
      </c>
      <c r="B28" s="278" t="s">
        <v>236</v>
      </c>
      <c r="C28" s="304">
        <v>1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16"/>
      <c r="O28" s="284">
        <f t="shared" si="4"/>
        <v>1</v>
      </c>
      <c r="P28" s="285">
        <v>3</v>
      </c>
      <c r="Q28" s="286">
        <f t="shared" si="2"/>
        <v>0.33333333333333331</v>
      </c>
      <c r="R28" s="293">
        <f t="shared" si="1"/>
        <v>1.0638297872340425E-2</v>
      </c>
    </row>
    <row r="29" spans="1:18" ht="21" customHeight="1">
      <c r="A29" s="288">
        <v>11</v>
      </c>
      <c r="B29" s="278" t="s">
        <v>237</v>
      </c>
      <c r="C29" s="317">
        <v>2</v>
      </c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18"/>
      <c r="O29" s="284">
        <f>SUM(C29:N29)</f>
        <v>2</v>
      </c>
      <c r="P29" s="285">
        <v>3</v>
      </c>
      <c r="Q29" s="286">
        <f>+O29/P29</f>
        <v>0.66666666666666663</v>
      </c>
      <c r="R29" s="293">
        <f t="shared" si="1"/>
        <v>2.1276595744680851E-2</v>
      </c>
    </row>
    <row r="30" spans="1:18" ht="21" customHeight="1" thickBot="1">
      <c r="A30" s="312">
        <v>12</v>
      </c>
      <c r="B30" s="321" t="s">
        <v>246</v>
      </c>
      <c r="C30" s="358"/>
      <c r="D30" s="359"/>
      <c r="E30" s="352"/>
      <c r="F30" s="352"/>
      <c r="G30" s="352"/>
      <c r="H30" s="352"/>
      <c r="I30" s="352"/>
      <c r="J30" s="352"/>
      <c r="K30" s="352"/>
      <c r="L30" s="352"/>
      <c r="M30" s="352"/>
      <c r="N30" s="353"/>
      <c r="O30" s="354">
        <f>SUM(E30:N30)</f>
        <v>0</v>
      </c>
      <c r="P30" s="355">
        <v>1</v>
      </c>
      <c r="Q30" s="356">
        <f>+O30/P30</f>
        <v>0</v>
      </c>
      <c r="R30" s="357">
        <f t="shared" si="1"/>
        <v>0</v>
      </c>
    </row>
    <row r="31" spans="1:18" ht="21" customHeight="1" thickBot="1">
      <c r="A31" s="309"/>
      <c r="B31" s="275" t="s">
        <v>238</v>
      </c>
      <c r="C31" s="310">
        <f>SUM(C19:C29)</f>
        <v>35</v>
      </c>
      <c r="D31" s="310">
        <f t="shared" ref="D31:N31" si="5">SUM(D19:D29)</f>
        <v>0</v>
      </c>
      <c r="E31" s="310">
        <f>SUM(E19:E30)</f>
        <v>0</v>
      </c>
      <c r="F31" s="310">
        <f t="shared" si="5"/>
        <v>0</v>
      </c>
      <c r="G31" s="310">
        <f t="shared" si="5"/>
        <v>0</v>
      </c>
      <c r="H31" s="310">
        <f t="shared" si="5"/>
        <v>0</v>
      </c>
      <c r="I31" s="310">
        <f t="shared" si="5"/>
        <v>0</v>
      </c>
      <c r="J31" s="310">
        <f t="shared" si="5"/>
        <v>0</v>
      </c>
      <c r="K31" s="310">
        <f t="shared" si="5"/>
        <v>0</v>
      </c>
      <c r="L31" s="310">
        <f t="shared" si="5"/>
        <v>0</v>
      </c>
      <c r="M31" s="310">
        <f t="shared" si="5"/>
        <v>0</v>
      </c>
      <c r="N31" s="310">
        <f t="shared" si="5"/>
        <v>0</v>
      </c>
      <c r="O31" s="275">
        <f>SUM(O19:O30)</f>
        <v>35</v>
      </c>
      <c r="P31" s="275">
        <f>SUM(P19:P30)</f>
        <v>33</v>
      </c>
      <c r="Q31" s="349">
        <f>+O31/(11+11+11)</f>
        <v>1.0606060606060606</v>
      </c>
      <c r="R31" s="311">
        <f t="shared" si="1"/>
        <v>0.37234042553191488</v>
      </c>
    </row>
    <row r="32" spans="1:18" ht="21" customHeight="1">
      <c r="A32" s="312">
        <v>1</v>
      </c>
      <c r="B32" s="319" t="s">
        <v>239</v>
      </c>
      <c r="C32" s="290">
        <v>3</v>
      </c>
      <c r="D32" s="281"/>
      <c r="E32" s="343"/>
      <c r="F32" s="343"/>
      <c r="G32" s="343"/>
      <c r="H32" s="343"/>
      <c r="I32" s="342"/>
      <c r="J32" s="342"/>
      <c r="K32" s="343"/>
      <c r="L32" s="343"/>
      <c r="M32" s="343"/>
      <c r="N32" s="345"/>
      <c r="O32" s="314">
        <f t="shared" ref="O32:O40" si="6">SUM(C32:N32)</f>
        <v>3</v>
      </c>
      <c r="P32" s="313">
        <v>2</v>
      </c>
      <c r="Q32" s="320">
        <f t="shared" si="2"/>
        <v>1.5</v>
      </c>
      <c r="R32" s="293">
        <f t="shared" si="1"/>
        <v>3.1914893617021274E-2</v>
      </c>
    </row>
    <row r="33" spans="1:18" ht="21" customHeight="1">
      <c r="A33" s="288">
        <v>2</v>
      </c>
      <c r="B33" s="278" t="s">
        <v>240</v>
      </c>
      <c r="C33" s="279">
        <v>1</v>
      </c>
      <c r="D33" s="280"/>
      <c r="E33" s="280"/>
      <c r="F33" s="280"/>
      <c r="G33" s="280"/>
      <c r="H33" s="280"/>
      <c r="I33" s="280"/>
      <c r="J33" s="280"/>
      <c r="K33" s="282"/>
      <c r="L33" s="282"/>
      <c r="M33" s="282"/>
      <c r="N33" s="283"/>
      <c r="O33" s="284">
        <f t="shared" si="6"/>
        <v>1</v>
      </c>
      <c r="P33" s="313">
        <v>3</v>
      </c>
      <c r="Q33" s="286">
        <f t="shared" si="2"/>
        <v>0.33333333333333331</v>
      </c>
      <c r="R33" s="293">
        <f t="shared" si="1"/>
        <v>1.0638297872340425E-2</v>
      </c>
    </row>
    <row r="34" spans="1:18" ht="21" customHeight="1">
      <c r="A34" s="288">
        <v>3</v>
      </c>
      <c r="B34" s="289" t="s">
        <v>241</v>
      </c>
      <c r="C34" s="279">
        <v>3</v>
      </c>
      <c r="D34" s="280"/>
      <c r="E34" s="280"/>
      <c r="F34" s="280"/>
      <c r="G34" s="280"/>
      <c r="H34" s="280"/>
      <c r="I34" s="280"/>
      <c r="J34" s="280"/>
      <c r="K34" s="291"/>
      <c r="L34" s="282"/>
      <c r="M34" s="291"/>
      <c r="N34" s="292"/>
      <c r="O34" s="284">
        <f t="shared" si="6"/>
        <v>3</v>
      </c>
      <c r="P34" s="313">
        <v>3</v>
      </c>
      <c r="Q34" s="286">
        <f t="shared" si="2"/>
        <v>1</v>
      </c>
      <c r="R34" s="293">
        <f t="shared" si="1"/>
        <v>3.1914893617021274E-2</v>
      </c>
    </row>
    <row r="35" spans="1:18" ht="21" customHeight="1">
      <c r="A35" s="288">
        <v>4</v>
      </c>
      <c r="B35" s="321" t="s">
        <v>242</v>
      </c>
      <c r="C35" s="294">
        <v>3</v>
      </c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5"/>
      <c r="O35" s="284">
        <f t="shared" si="6"/>
        <v>3</v>
      </c>
      <c r="P35" s="313">
        <v>3</v>
      </c>
      <c r="Q35" s="286">
        <f t="shared" si="2"/>
        <v>1</v>
      </c>
      <c r="R35" s="293">
        <f t="shared" si="1"/>
        <v>3.1914893617021274E-2</v>
      </c>
    </row>
    <row r="36" spans="1:18" ht="21" customHeight="1">
      <c r="A36" s="288">
        <v>5</v>
      </c>
      <c r="B36" s="321" t="s">
        <v>243</v>
      </c>
      <c r="C36" s="294">
        <v>2</v>
      </c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5"/>
      <c r="O36" s="284">
        <f t="shared" si="6"/>
        <v>2</v>
      </c>
      <c r="P36" s="313">
        <v>3</v>
      </c>
      <c r="Q36" s="286">
        <f t="shared" si="2"/>
        <v>0.66666666666666663</v>
      </c>
      <c r="R36" s="293">
        <f t="shared" si="1"/>
        <v>2.1276595744680851E-2</v>
      </c>
    </row>
    <row r="37" spans="1:18" ht="21" customHeight="1">
      <c r="A37" s="288">
        <v>6</v>
      </c>
      <c r="B37" s="322" t="s">
        <v>244</v>
      </c>
      <c r="C37" s="315">
        <v>1</v>
      </c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23"/>
      <c r="O37" s="284">
        <f t="shared" si="6"/>
        <v>1</v>
      </c>
      <c r="P37" s="313">
        <v>3</v>
      </c>
      <c r="Q37" s="286">
        <f t="shared" si="2"/>
        <v>0.33333333333333331</v>
      </c>
      <c r="R37" s="293">
        <f t="shared" si="1"/>
        <v>1.0638297872340425E-2</v>
      </c>
    </row>
    <row r="38" spans="1:18" ht="21" customHeight="1">
      <c r="A38" s="288">
        <v>7</v>
      </c>
      <c r="B38" s="324" t="s">
        <v>245</v>
      </c>
      <c r="C38" s="297">
        <v>1</v>
      </c>
      <c r="D38" s="297"/>
      <c r="E38" s="297"/>
      <c r="F38" s="297"/>
      <c r="G38" s="297"/>
      <c r="H38" s="297"/>
      <c r="I38" s="304"/>
      <c r="J38" s="304"/>
      <c r="K38" s="304"/>
      <c r="L38" s="304"/>
      <c r="M38" s="304"/>
      <c r="N38" s="316"/>
      <c r="O38" s="325">
        <f t="shared" si="6"/>
        <v>1</v>
      </c>
      <c r="P38" s="313">
        <v>3</v>
      </c>
      <c r="Q38" s="302">
        <f t="shared" si="2"/>
        <v>0.33333333333333331</v>
      </c>
      <c r="R38" s="303">
        <f t="shared" si="1"/>
        <v>1.0638297872340425E-2</v>
      </c>
    </row>
    <row r="39" spans="1:18" ht="21" customHeight="1">
      <c r="A39" s="288">
        <v>8</v>
      </c>
      <c r="B39" s="321" t="s">
        <v>246</v>
      </c>
      <c r="C39" s="304">
        <v>2</v>
      </c>
      <c r="D39" s="304"/>
      <c r="E39" s="340"/>
      <c r="F39" s="340"/>
      <c r="G39" s="340"/>
      <c r="H39" s="340"/>
      <c r="I39" s="340"/>
      <c r="J39" s="340"/>
      <c r="K39" s="340"/>
      <c r="L39" s="340"/>
      <c r="M39" s="340"/>
      <c r="N39" s="341"/>
      <c r="O39" s="284">
        <f t="shared" si="6"/>
        <v>2</v>
      </c>
      <c r="P39" s="285">
        <v>2</v>
      </c>
      <c r="Q39" s="286">
        <f t="shared" si="2"/>
        <v>1</v>
      </c>
      <c r="R39" s="293">
        <f t="shared" si="1"/>
        <v>2.1276595744680851E-2</v>
      </c>
    </row>
    <row r="40" spans="1:18" ht="21" customHeight="1">
      <c r="A40" s="288">
        <v>9</v>
      </c>
      <c r="B40" s="321" t="s">
        <v>247</v>
      </c>
      <c r="C40" s="304">
        <v>1</v>
      </c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18"/>
      <c r="O40" s="284">
        <f t="shared" si="6"/>
        <v>1</v>
      </c>
      <c r="P40" s="285">
        <v>3</v>
      </c>
      <c r="Q40" s="286">
        <f t="shared" si="2"/>
        <v>0.33333333333333331</v>
      </c>
      <c r="R40" s="293">
        <f t="shared" si="1"/>
        <v>1.0638297872340425E-2</v>
      </c>
    </row>
    <row r="41" spans="1:18" ht="21" customHeight="1">
      <c r="A41" s="288">
        <v>10</v>
      </c>
      <c r="B41" s="321" t="s">
        <v>248</v>
      </c>
      <c r="C41" s="317">
        <v>4</v>
      </c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18"/>
      <c r="O41" s="284">
        <f>SUM(C41:N41)</f>
        <v>4</v>
      </c>
      <c r="P41" s="285">
        <v>3</v>
      </c>
      <c r="Q41" s="286">
        <f t="shared" si="2"/>
        <v>1.3333333333333333</v>
      </c>
      <c r="R41" s="293">
        <f t="shared" si="1"/>
        <v>4.2553191489361701E-2</v>
      </c>
    </row>
    <row r="42" spans="1:18" ht="21" customHeight="1">
      <c r="A42" s="288">
        <v>11</v>
      </c>
      <c r="B42" s="321" t="s">
        <v>262</v>
      </c>
      <c r="C42" s="340"/>
      <c r="D42" s="340"/>
      <c r="E42" s="304"/>
      <c r="F42" s="304"/>
      <c r="G42" s="304"/>
      <c r="H42" s="304"/>
      <c r="I42" s="304"/>
      <c r="J42" s="304"/>
      <c r="K42" s="304"/>
      <c r="L42" s="304"/>
      <c r="M42" s="304"/>
      <c r="N42" s="318"/>
      <c r="O42" s="284">
        <f>SUM(C42:N42)</f>
        <v>0</v>
      </c>
      <c r="P42" s="285">
        <v>1</v>
      </c>
      <c r="Q42" s="286">
        <f t="shared" si="2"/>
        <v>0</v>
      </c>
      <c r="R42" s="293">
        <f t="shared" si="1"/>
        <v>0</v>
      </c>
    </row>
    <row r="43" spans="1:18" ht="21" customHeight="1" thickBot="1">
      <c r="A43" s="312">
        <v>12</v>
      </c>
      <c r="B43" s="322" t="s">
        <v>263</v>
      </c>
      <c r="C43" s="358"/>
      <c r="D43" s="359"/>
      <c r="E43" s="352"/>
      <c r="F43" s="352"/>
      <c r="G43" s="352"/>
      <c r="H43" s="352"/>
      <c r="I43" s="352"/>
      <c r="J43" s="352"/>
      <c r="K43" s="352"/>
      <c r="L43" s="352"/>
      <c r="M43" s="352"/>
      <c r="N43" s="353"/>
      <c r="O43" s="354">
        <f>SUM(C43:N43)</f>
        <v>0</v>
      </c>
      <c r="P43" s="355">
        <v>1</v>
      </c>
      <c r="Q43" s="356">
        <f t="shared" si="2"/>
        <v>0</v>
      </c>
      <c r="R43" s="293">
        <f t="shared" si="1"/>
        <v>0</v>
      </c>
    </row>
    <row r="44" spans="1:18" ht="21" customHeight="1" thickBot="1">
      <c r="A44" s="309"/>
      <c r="B44" s="275" t="s">
        <v>249</v>
      </c>
      <c r="C44" s="310">
        <f>SUM(C32:C41)</f>
        <v>21</v>
      </c>
      <c r="D44" s="310">
        <f t="shared" ref="D44:N44" si="7">SUM(D32:D41)</f>
        <v>0</v>
      </c>
      <c r="E44" s="310">
        <f>SUM(E32:E43)</f>
        <v>0</v>
      </c>
      <c r="F44" s="310">
        <f t="shared" si="7"/>
        <v>0</v>
      </c>
      <c r="G44" s="310">
        <f t="shared" si="7"/>
        <v>0</v>
      </c>
      <c r="H44" s="310">
        <f t="shared" si="7"/>
        <v>0</v>
      </c>
      <c r="I44" s="310">
        <f t="shared" si="7"/>
        <v>0</v>
      </c>
      <c r="J44" s="310">
        <f t="shared" si="7"/>
        <v>0</v>
      </c>
      <c r="K44" s="310">
        <f t="shared" si="7"/>
        <v>0</v>
      </c>
      <c r="L44" s="310">
        <f t="shared" si="7"/>
        <v>0</v>
      </c>
      <c r="M44" s="310">
        <f t="shared" si="7"/>
        <v>0</v>
      </c>
      <c r="N44" s="310">
        <f t="shared" si="7"/>
        <v>0</v>
      </c>
      <c r="O44" s="275">
        <f>SUM(O32:O43)</f>
        <v>21</v>
      </c>
      <c r="P44" s="275">
        <f>SUM(P32:P43)</f>
        <v>30</v>
      </c>
      <c r="Q44" s="349">
        <f>+O44/(10+10+10)</f>
        <v>0.7</v>
      </c>
      <c r="R44" s="311">
        <f t="shared" si="1"/>
        <v>0.22340425531914893</v>
      </c>
    </row>
    <row r="45" spans="1:18" ht="21" customHeight="1" thickBot="1">
      <c r="A45" s="326"/>
      <c r="B45" s="327" t="s">
        <v>250</v>
      </c>
      <c r="C45" s="328">
        <v>2</v>
      </c>
      <c r="D45" s="328"/>
      <c r="E45" s="328"/>
      <c r="F45" s="328"/>
      <c r="G45" s="328"/>
      <c r="H45" s="328"/>
      <c r="I45" s="328"/>
      <c r="J45" s="328"/>
      <c r="K45" s="328"/>
      <c r="L45" s="328"/>
      <c r="M45" s="328"/>
      <c r="N45" s="329"/>
      <c r="O45" s="330">
        <f>SUM(C45:N45)</f>
        <v>2</v>
      </c>
      <c r="P45" s="331"/>
      <c r="Q45" s="332"/>
      <c r="R45" s="333"/>
    </row>
    <row r="46" spans="1:18" ht="21" customHeight="1" thickBot="1">
      <c r="A46" s="326"/>
      <c r="B46" s="327" t="s">
        <v>251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9"/>
      <c r="O46" s="330">
        <f>SUM(C46:N46)</f>
        <v>0</v>
      </c>
      <c r="P46" s="331"/>
      <c r="Q46" s="332"/>
      <c r="R46" s="333"/>
    </row>
    <row r="47" spans="1:18" ht="21" customHeight="1" thickBot="1">
      <c r="A47" s="326"/>
      <c r="B47" s="327" t="s">
        <v>252</v>
      </c>
      <c r="C47" s="328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9"/>
      <c r="O47" s="330">
        <f t="shared" ref="O47:O48" si="8">SUM(C47:N47)</f>
        <v>0</v>
      </c>
      <c r="P47" s="331"/>
      <c r="Q47" s="332"/>
      <c r="R47" s="333"/>
    </row>
    <row r="48" spans="1:18" ht="21" customHeight="1" thickBot="1">
      <c r="A48" s="326"/>
      <c r="B48" s="327" t="s">
        <v>253</v>
      </c>
      <c r="C48" s="328"/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9"/>
      <c r="O48" s="330">
        <f t="shared" si="8"/>
        <v>0</v>
      </c>
      <c r="P48" s="331"/>
      <c r="Q48" s="332"/>
      <c r="R48" s="333"/>
    </row>
    <row r="49" spans="1:18" ht="21" hidden="1" customHeight="1" thickBot="1">
      <c r="A49" s="326"/>
      <c r="B49" s="327" t="s">
        <v>225</v>
      </c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9"/>
      <c r="O49" s="330"/>
      <c r="P49" s="331"/>
      <c r="Q49" s="332"/>
      <c r="R49" s="333"/>
    </row>
    <row r="50" spans="1:18" ht="21" customHeight="1" thickBot="1">
      <c r="A50" s="326" t="s">
        <v>259</v>
      </c>
      <c r="B50" s="327" t="s">
        <v>254</v>
      </c>
      <c r="C50" s="328">
        <v>1</v>
      </c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30">
        <f>SUM(C50:N50)</f>
        <v>1</v>
      </c>
      <c r="P50" s="331"/>
      <c r="Q50" s="332"/>
      <c r="R50" s="333"/>
    </row>
    <row r="51" spans="1:18" ht="21" hidden="1" customHeight="1" thickBot="1">
      <c r="A51" s="326"/>
      <c r="B51" s="327" t="s">
        <v>225</v>
      </c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30"/>
      <c r="P51" s="331"/>
      <c r="Q51" s="332"/>
      <c r="R51" s="333"/>
    </row>
    <row r="52" spans="1:18" ht="21" customHeight="1" thickBot="1">
      <c r="A52" s="326"/>
      <c r="B52" s="362" t="s">
        <v>315</v>
      </c>
      <c r="C52" s="272">
        <f t="shared" ref="C52:N52" si="9">C18+C31+C44+C45+C46+C50</f>
        <v>94</v>
      </c>
      <c r="D52" s="272">
        <f t="shared" si="9"/>
        <v>0</v>
      </c>
      <c r="E52" s="272">
        <f t="shared" si="9"/>
        <v>0</v>
      </c>
      <c r="F52" s="272">
        <f t="shared" si="9"/>
        <v>0</v>
      </c>
      <c r="G52" s="272">
        <f t="shared" si="9"/>
        <v>0</v>
      </c>
      <c r="H52" s="272">
        <f t="shared" si="9"/>
        <v>0</v>
      </c>
      <c r="I52" s="272">
        <f t="shared" si="9"/>
        <v>0</v>
      </c>
      <c r="J52" s="272">
        <f t="shared" si="9"/>
        <v>0</v>
      </c>
      <c r="K52" s="272">
        <f t="shared" si="9"/>
        <v>0</v>
      </c>
      <c r="L52" s="272">
        <f t="shared" si="9"/>
        <v>0</v>
      </c>
      <c r="M52" s="272">
        <f t="shared" si="9"/>
        <v>0</v>
      </c>
      <c r="N52" s="272">
        <f t="shared" si="9"/>
        <v>0</v>
      </c>
      <c r="O52" s="275">
        <f>SUM(C52:N52)</f>
        <v>94</v>
      </c>
      <c r="P52" s="330"/>
      <c r="Q52" s="332"/>
      <c r="R52" s="334"/>
    </row>
    <row r="53" spans="1:18"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335"/>
    </row>
    <row r="54" spans="1:18"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372" t="s">
        <v>255</v>
      </c>
      <c r="P54" s="373"/>
      <c r="Q54" s="336">
        <v>3</v>
      </c>
    </row>
    <row r="55" spans="1:18"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O55" s="374" t="s">
        <v>256</v>
      </c>
      <c r="P55" s="375"/>
      <c r="Q55" s="366">
        <f>+O52/Q54</f>
        <v>31.333333333333332</v>
      </c>
    </row>
    <row r="56" spans="1:18"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O56" s="337"/>
      <c r="P56" s="337"/>
      <c r="Q56" s="338"/>
    </row>
    <row r="57" spans="1:18" ht="16.5"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O57" s="339"/>
      <c r="P57" s="337"/>
      <c r="Q57" s="338"/>
    </row>
    <row r="58" spans="1:18" ht="16.5" customHeight="1"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O58" s="337"/>
      <c r="P58" s="337"/>
      <c r="Q58" s="338"/>
    </row>
    <row r="59" spans="1:18" ht="2.25" hidden="1" customHeight="1"/>
    <row r="60" spans="1:18" s="269" customFormat="1" ht="2.25" hidden="1" customHeight="1"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</row>
    <row r="61" spans="1:18" s="269" customFormat="1" ht="2.25" hidden="1" customHeight="1"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</row>
    <row r="62" spans="1:18" s="269" customFormat="1" ht="2.25" hidden="1" customHeight="1"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</row>
    <row r="63" spans="1:18" s="269" customFormat="1" ht="2.25" hidden="1" customHeight="1"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</row>
    <row r="64" spans="1:18" s="269" customFormat="1" ht="2.25" hidden="1" customHeight="1"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</row>
    <row r="65" spans="2:18" s="269" customFormat="1" ht="2.25" hidden="1" customHeight="1"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</row>
    <row r="66" spans="2:18" s="269" customFormat="1" ht="2.25" hidden="1" customHeight="1"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</row>
    <row r="67" spans="2:18" s="269" customFormat="1" ht="2.25" hidden="1" customHeight="1"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</row>
    <row r="68" spans="2:18" s="269" customFormat="1" ht="2.25" hidden="1" customHeight="1"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</row>
    <row r="69" spans="2:18" s="269" customFormat="1" ht="2.25" hidden="1" customHeight="1"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</row>
    <row r="70" spans="2:18" s="269" customFormat="1" ht="2.25" hidden="1" customHeight="1"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</row>
    <row r="71" spans="2:18" s="269" customFormat="1" ht="2.25" hidden="1" customHeight="1"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</row>
    <row r="72" spans="2:18" s="269" customFormat="1" ht="2.25" hidden="1" customHeight="1"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</row>
    <row r="73" spans="2:18" s="269" customFormat="1" ht="2.25" hidden="1" customHeight="1"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</row>
    <row r="74" spans="2:18" s="269" customFormat="1" ht="2.25" hidden="1" customHeight="1"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</row>
    <row r="75" spans="2:18" s="269" customFormat="1" ht="2.25" hidden="1" customHeight="1"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</row>
    <row r="76" spans="2:18" ht="2.25" hidden="1" customHeight="1">
      <c r="B76" s="270"/>
    </row>
    <row r="77" spans="2:18" ht="2.25" hidden="1" customHeight="1">
      <c r="B77" s="270"/>
    </row>
    <row r="78" spans="2:18" ht="2.25" hidden="1" customHeight="1">
      <c r="B78" s="270"/>
    </row>
    <row r="79" spans="2:18" ht="2.25" hidden="1" customHeight="1">
      <c r="B79" s="270"/>
    </row>
    <row r="80" spans="2:18" ht="2.25" hidden="1" customHeight="1">
      <c r="B80" s="270"/>
    </row>
    <row r="81" spans="2:18" ht="2.25" hidden="1" customHeight="1">
      <c r="B81" s="270"/>
    </row>
    <row r="82" spans="2:18" ht="2.25" hidden="1" customHeight="1">
      <c r="B82" s="270"/>
    </row>
    <row r="83" spans="2:18" ht="2.25" hidden="1" customHeight="1">
      <c r="B83" s="270"/>
    </row>
    <row r="84" spans="2:18" ht="2.25" hidden="1" customHeight="1">
      <c r="B84" s="270"/>
    </row>
    <row r="86" spans="2:18">
      <c r="C86" s="323"/>
      <c r="D86" s="323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363"/>
      <c r="P86" s="323"/>
      <c r="Q86" s="364"/>
      <c r="R86" s="365"/>
    </row>
  </sheetData>
  <mergeCells count="5">
    <mergeCell ref="B1:F1"/>
    <mergeCell ref="B2:F2"/>
    <mergeCell ref="A4:R4"/>
    <mergeCell ref="O54:P54"/>
    <mergeCell ref="O55:P55"/>
  </mergeCells>
  <phoneticPr fontId="3" type="noConversion"/>
  <printOptions horizontalCentered="1"/>
  <pageMargins left="0.15748031496062992" right="0.15748031496062992" top="0.39370078740157483" bottom="0.39370078740157483" header="0.51181102362204722" footer="0.51181102362204722"/>
  <pageSetup paperSize="9" scale="66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9"/>
  <sheetViews>
    <sheetView showZeros="0" topLeftCell="A13" workbookViewId="0">
      <selection activeCell="D23" sqref="D23:E24"/>
    </sheetView>
  </sheetViews>
  <sheetFormatPr defaultColWidth="10.5546875" defaultRowHeight="22.5" customHeight="1"/>
  <cols>
    <col min="1" max="1" width="5.5546875" style="19" customWidth="1"/>
    <col min="2" max="2" width="7.21875" style="19" customWidth="1"/>
    <col min="3" max="14" width="5.33203125" style="20" customWidth="1"/>
    <col min="15" max="15" width="6" style="20" customWidth="1"/>
    <col min="16" max="17" width="10.5546875" style="19" customWidth="1"/>
    <col min="18" max="16384" width="10.5546875" style="18"/>
  </cols>
  <sheetData>
    <row r="1" spans="1:17" ht="36" customHeight="1">
      <c r="A1" s="371" t="s">
        <v>257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7" ht="22.5" customHeight="1" thickBot="1">
      <c r="A2" s="46"/>
      <c r="B2" s="4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76" t="s">
        <v>261</v>
      </c>
      <c r="O2" s="376"/>
    </row>
    <row r="3" spans="1:17" s="39" customFormat="1" ht="21" customHeight="1" thickBot="1">
      <c r="A3" s="223" t="s">
        <v>47</v>
      </c>
      <c r="B3" s="225" t="s">
        <v>46</v>
      </c>
      <c r="C3" s="42" t="s">
        <v>45</v>
      </c>
      <c r="D3" s="42" t="s">
        <v>44</v>
      </c>
      <c r="E3" s="42" t="s">
        <v>43</v>
      </c>
      <c r="F3" s="42" t="s">
        <v>42</v>
      </c>
      <c r="G3" s="42" t="s">
        <v>41</v>
      </c>
      <c r="H3" s="44" t="s">
        <v>40</v>
      </c>
      <c r="I3" s="43" t="s">
        <v>39</v>
      </c>
      <c r="J3" s="42" t="s">
        <v>38</v>
      </c>
      <c r="K3" s="42" t="s">
        <v>37</v>
      </c>
      <c r="L3" s="42" t="s">
        <v>36</v>
      </c>
      <c r="M3" s="42" t="s">
        <v>35</v>
      </c>
      <c r="N3" s="42" t="s">
        <v>34</v>
      </c>
      <c r="O3" s="41" t="s">
        <v>33</v>
      </c>
      <c r="P3" s="40"/>
      <c r="Q3" s="40"/>
    </row>
    <row r="4" spans="1:17" ht="26.25" customHeight="1">
      <c r="A4" s="379" t="s">
        <v>32</v>
      </c>
      <c r="B4" s="246" t="s">
        <v>30</v>
      </c>
      <c r="C4" s="38">
        <v>35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2">
        <f>C4+D4+E4+F4+G4+H4+I4+J4+K4+L4+N4+M4</f>
        <v>35</v>
      </c>
    </row>
    <row r="5" spans="1:17" ht="26.25" customHeight="1">
      <c r="A5" s="380"/>
      <c r="B5" s="247" t="s">
        <v>29</v>
      </c>
      <c r="C5" s="37">
        <v>10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46">
        <f>SUM(C5:N5)</f>
        <v>10</v>
      </c>
    </row>
    <row r="6" spans="1:17" s="28" customFormat="1" ht="26.25" customHeight="1">
      <c r="A6" s="380"/>
      <c r="B6" s="247" t="s">
        <v>28</v>
      </c>
      <c r="C6" s="255">
        <f>IF(C5=0,"",C4/C5)</f>
        <v>3.5</v>
      </c>
      <c r="D6" s="259" t="str">
        <f t="shared" ref="D6:N6" si="0">IF(D5=0,"",D4/D5)</f>
        <v/>
      </c>
      <c r="E6" s="259" t="str">
        <f t="shared" si="0"/>
        <v/>
      </c>
      <c r="F6" s="259" t="str">
        <f t="shared" si="0"/>
        <v/>
      </c>
      <c r="G6" s="259" t="str">
        <f t="shared" si="0"/>
        <v/>
      </c>
      <c r="H6" s="259" t="str">
        <f t="shared" si="0"/>
        <v/>
      </c>
      <c r="I6" s="259" t="str">
        <f t="shared" si="0"/>
        <v/>
      </c>
      <c r="J6" s="259" t="str">
        <f t="shared" si="0"/>
        <v/>
      </c>
      <c r="K6" s="259" t="str">
        <f t="shared" si="0"/>
        <v/>
      </c>
      <c r="L6" s="259" t="str">
        <f t="shared" si="0"/>
        <v/>
      </c>
      <c r="M6" s="259" t="str">
        <f t="shared" si="0"/>
        <v/>
      </c>
      <c r="N6" s="259" t="str">
        <f t="shared" si="0"/>
        <v/>
      </c>
      <c r="O6" s="256">
        <f>IF(O4=0,"",O4/O5)</f>
        <v>3.5</v>
      </c>
      <c r="P6" s="29"/>
      <c r="Q6" s="29"/>
    </row>
    <row r="7" spans="1:17" s="28" customFormat="1" ht="26.25" customHeight="1" thickBot="1">
      <c r="A7" s="381"/>
      <c r="B7" s="249" t="s">
        <v>199</v>
      </c>
      <c r="C7" s="252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4">
        <f>SUM(C7:N7)</f>
        <v>0</v>
      </c>
      <c r="P7" s="29"/>
      <c r="Q7" s="29"/>
    </row>
    <row r="8" spans="1:17" ht="26.25" customHeight="1">
      <c r="A8" s="379" t="s">
        <v>31</v>
      </c>
      <c r="B8" s="246" t="s">
        <v>30</v>
      </c>
      <c r="C8" s="38">
        <v>35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2">
        <f>C8+D8+E8+F8+G8+H8+I8+J8+K8+L8+N8+M8</f>
        <v>35</v>
      </c>
    </row>
    <row r="9" spans="1:17" ht="26.25" customHeight="1">
      <c r="A9" s="380"/>
      <c r="B9" s="247" t="s">
        <v>29</v>
      </c>
      <c r="C9" s="37">
        <v>11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46">
        <f>SUM(C9:N9)</f>
        <v>11</v>
      </c>
    </row>
    <row r="10" spans="1:17" s="28" customFormat="1" ht="26.25" customHeight="1">
      <c r="A10" s="380"/>
      <c r="B10" s="247" t="s">
        <v>28</v>
      </c>
      <c r="C10" s="257">
        <f t="shared" ref="C10:N10" si="1">IF(C9=0,"",C8/C9)</f>
        <v>3.1818181818181817</v>
      </c>
      <c r="D10" s="257" t="str">
        <f t="shared" si="1"/>
        <v/>
      </c>
      <c r="E10" s="257" t="str">
        <f t="shared" si="1"/>
        <v/>
      </c>
      <c r="F10" s="257" t="str">
        <f t="shared" si="1"/>
        <v/>
      </c>
      <c r="G10" s="257" t="str">
        <f t="shared" si="1"/>
        <v/>
      </c>
      <c r="H10" s="257" t="str">
        <f t="shared" si="1"/>
        <v/>
      </c>
      <c r="I10" s="257" t="str">
        <f t="shared" si="1"/>
        <v/>
      </c>
      <c r="J10" s="257" t="str">
        <f t="shared" si="1"/>
        <v/>
      </c>
      <c r="K10" s="257" t="str">
        <f t="shared" si="1"/>
        <v/>
      </c>
      <c r="L10" s="257" t="str">
        <f t="shared" si="1"/>
        <v/>
      </c>
      <c r="M10" s="257" t="str">
        <f t="shared" si="1"/>
        <v/>
      </c>
      <c r="N10" s="257" t="str">
        <f t="shared" si="1"/>
        <v/>
      </c>
      <c r="O10" s="258">
        <f>IF(O9=0,"",O8/O9)</f>
        <v>3.1818181818181817</v>
      </c>
      <c r="P10" s="29"/>
      <c r="Q10" s="29"/>
    </row>
    <row r="11" spans="1:17" s="28" customFormat="1" ht="26.25" customHeight="1" thickBot="1">
      <c r="A11" s="381"/>
      <c r="B11" s="247" t="s">
        <v>195</v>
      </c>
      <c r="C11" s="237">
        <v>1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348">
        <f>SUM(C11:N11)</f>
        <v>1</v>
      </c>
      <c r="P11" s="29"/>
      <c r="Q11" s="29"/>
    </row>
    <row r="12" spans="1:17" ht="26.25" customHeight="1">
      <c r="A12" s="379" t="s">
        <v>197</v>
      </c>
      <c r="B12" s="246" t="s">
        <v>30</v>
      </c>
      <c r="C12" s="38">
        <v>21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250">
        <f>C12+D12+E12+F12+G12+H12+I12+J12+K12+L12+N12+M12</f>
        <v>21</v>
      </c>
    </row>
    <row r="13" spans="1:17" ht="26.25" customHeight="1">
      <c r="A13" s="380"/>
      <c r="B13" s="247" t="s">
        <v>29</v>
      </c>
      <c r="C13" s="37">
        <v>10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47">
        <f>SUM(C13:N13)</f>
        <v>10</v>
      </c>
    </row>
    <row r="14" spans="1:17" s="28" customFormat="1" ht="26.25" customHeight="1">
      <c r="A14" s="380"/>
      <c r="B14" s="247" t="s">
        <v>196</v>
      </c>
      <c r="C14" s="259">
        <f t="shared" ref="C14:N14" si="2">IF(C13=0,"",C12/C13)</f>
        <v>2.1</v>
      </c>
      <c r="D14" s="259" t="str">
        <f t="shared" si="2"/>
        <v/>
      </c>
      <c r="E14" s="259" t="str">
        <f t="shared" si="2"/>
        <v/>
      </c>
      <c r="F14" s="259" t="str">
        <f t="shared" si="2"/>
        <v/>
      </c>
      <c r="G14" s="259" t="str">
        <f t="shared" si="2"/>
        <v/>
      </c>
      <c r="H14" s="259" t="str">
        <f t="shared" si="2"/>
        <v/>
      </c>
      <c r="I14" s="259" t="str">
        <f t="shared" si="2"/>
        <v/>
      </c>
      <c r="J14" s="259" t="str">
        <f t="shared" si="2"/>
        <v/>
      </c>
      <c r="K14" s="259" t="str">
        <f t="shared" si="2"/>
        <v/>
      </c>
      <c r="L14" s="259" t="str">
        <f t="shared" si="2"/>
        <v/>
      </c>
      <c r="M14" s="259" t="str">
        <f t="shared" si="2"/>
        <v/>
      </c>
      <c r="N14" s="259" t="str">
        <f t="shared" si="2"/>
        <v/>
      </c>
      <c r="O14" s="260">
        <f>IF(O13=0,"",O12/O13)</f>
        <v>2.1</v>
      </c>
      <c r="P14" s="29"/>
      <c r="Q14" s="29"/>
    </row>
    <row r="15" spans="1:17" s="28" customFormat="1" ht="26.25" customHeight="1" thickBot="1">
      <c r="A15" s="381"/>
      <c r="B15" s="249" t="s">
        <v>195</v>
      </c>
      <c r="C15" s="238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251">
        <f>SUM(C15:N15)</f>
        <v>0</v>
      </c>
      <c r="P15" s="29"/>
      <c r="Q15" s="29"/>
    </row>
    <row r="16" spans="1:17" s="33" customFormat="1" ht="9" customHeight="1">
      <c r="A16" s="34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4"/>
      <c r="Q16" s="34"/>
    </row>
    <row r="17" spans="1:17" s="33" customFormat="1" ht="14.25" customHeight="1" thickBot="1">
      <c r="A17" s="34"/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4"/>
      <c r="Q17" s="34"/>
    </row>
    <row r="18" spans="1:17" s="30" customFormat="1" ht="26.25" customHeight="1">
      <c r="A18" s="382" t="s">
        <v>200</v>
      </c>
      <c r="B18" s="248" t="s">
        <v>201</v>
      </c>
      <c r="C18" s="266">
        <f>C4+C8+C12</f>
        <v>91</v>
      </c>
      <c r="D18" s="266">
        <f t="shared" ref="D18:N18" si="3">D4+D8+D12</f>
        <v>0</v>
      </c>
      <c r="E18" s="266">
        <f t="shared" si="3"/>
        <v>0</v>
      </c>
      <c r="F18" s="266">
        <f t="shared" si="3"/>
        <v>0</v>
      </c>
      <c r="G18" s="266">
        <f t="shared" si="3"/>
        <v>0</v>
      </c>
      <c r="H18" s="266">
        <f t="shared" si="3"/>
        <v>0</v>
      </c>
      <c r="I18" s="266">
        <f t="shared" si="3"/>
        <v>0</v>
      </c>
      <c r="J18" s="266">
        <f t="shared" si="3"/>
        <v>0</v>
      </c>
      <c r="K18" s="266">
        <f t="shared" si="3"/>
        <v>0</v>
      </c>
      <c r="L18" s="266">
        <f t="shared" si="3"/>
        <v>0</v>
      </c>
      <c r="M18" s="266">
        <f t="shared" si="3"/>
        <v>0</v>
      </c>
      <c r="N18" s="266">
        <f t="shared" si="3"/>
        <v>0</v>
      </c>
      <c r="O18" s="267">
        <f>C18+D18+E18+F18+G18+H18+I18+J18+K18+L18+N18+M18</f>
        <v>91</v>
      </c>
      <c r="P18" s="31"/>
      <c r="Q18" s="31"/>
    </row>
    <row r="19" spans="1:17" ht="26.25" customHeight="1">
      <c r="A19" s="383"/>
      <c r="B19" s="247" t="s">
        <v>202</v>
      </c>
      <c r="C19" s="261">
        <f>C5+C9+C13</f>
        <v>31</v>
      </c>
      <c r="D19" s="261">
        <f t="shared" ref="D19:N19" si="4">D5+D9+D13</f>
        <v>0</v>
      </c>
      <c r="E19" s="261">
        <f t="shared" si="4"/>
        <v>0</v>
      </c>
      <c r="F19" s="261">
        <f t="shared" si="4"/>
        <v>0</v>
      </c>
      <c r="G19" s="261">
        <f t="shared" si="4"/>
        <v>0</v>
      </c>
      <c r="H19" s="261">
        <f t="shared" si="4"/>
        <v>0</v>
      </c>
      <c r="I19" s="261">
        <f t="shared" si="4"/>
        <v>0</v>
      </c>
      <c r="J19" s="261">
        <f t="shared" si="4"/>
        <v>0</v>
      </c>
      <c r="K19" s="261">
        <f t="shared" si="4"/>
        <v>0</v>
      </c>
      <c r="L19" s="261">
        <f t="shared" si="4"/>
        <v>0</v>
      </c>
      <c r="M19" s="261">
        <f t="shared" si="4"/>
        <v>0</v>
      </c>
      <c r="N19" s="261">
        <f t="shared" si="4"/>
        <v>0</v>
      </c>
      <c r="O19" s="346">
        <f>SUM(C19:N19)</f>
        <v>31</v>
      </c>
    </row>
    <row r="20" spans="1:17" s="28" customFormat="1" ht="26.25" customHeight="1">
      <c r="A20" s="383"/>
      <c r="B20" s="247" t="s">
        <v>203</v>
      </c>
      <c r="C20" s="262">
        <f t="shared" ref="C20:N20" si="5">IF(C19=0,"",C18/C19)</f>
        <v>2.935483870967742</v>
      </c>
      <c r="D20" s="262" t="str">
        <f t="shared" si="5"/>
        <v/>
      </c>
      <c r="E20" s="262" t="str">
        <f t="shared" si="5"/>
        <v/>
      </c>
      <c r="F20" s="262" t="str">
        <f t="shared" si="5"/>
        <v/>
      </c>
      <c r="G20" s="262" t="str">
        <f t="shared" si="5"/>
        <v/>
      </c>
      <c r="H20" s="262" t="str">
        <f t="shared" si="5"/>
        <v/>
      </c>
      <c r="I20" s="262" t="str">
        <f t="shared" si="5"/>
        <v/>
      </c>
      <c r="J20" s="262" t="str">
        <f t="shared" si="5"/>
        <v/>
      </c>
      <c r="K20" s="262" t="str">
        <f t="shared" si="5"/>
        <v/>
      </c>
      <c r="L20" s="262" t="str">
        <f t="shared" si="5"/>
        <v/>
      </c>
      <c r="M20" s="262" t="str">
        <f t="shared" si="5"/>
        <v/>
      </c>
      <c r="N20" s="262" t="str">
        <f t="shared" si="5"/>
        <v/>
      </c>
      <c r="O20" s="263">
        <f>IF(O19=0,"",O18/O19)</f>
        <v>2.935483870967742</v>
      </c>
      <c r="P20" s="29"/>
      <c r="Q20" s="29"/>
    </row>
    <row r="21" spans="1:17" s="28" customFormat="1" ht="26.25" customHeight="1" thickBot="1">
      <c r="A21" s="384"/>
      <c r="B21" s="249" t="s">
        <v>204</v>
      </c>
      <c r="C21" s="264">
        <f>C7+C11+C15</f>
        <v>1</v>
      </c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5">
        <f>SUM(C21:N21)</f>
        <v>1</v>
      </c>
      <c r="P21" s="29"/>
      <c r="Q21" s="29"/>
    </row>
    <row r="22" spans="1:17" ht="22.5" customHeight="1" thickBot="1"/>
    <row r="23" spans="1:17" ht="22.5" customHeight="1">
      <c r="A23" s="385" t="s">
        <v>27</v>
      </c>
      <c r="B23" s="226" t="s">
        <v>172</v>
      </c>
      <c r="C23" s="27">
        <v>2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6">
        <f t="shared" ref="O23:O26" si="6">SUM(C23:N23)</f>
        <v>2</v>
      </c>
    </row>
    <row r="24" spans="1:17" ht="22.5" customHeight="1">
      <c r="A24" s="386"/>
      <c r="B24" s="242" t="s">
        <v>10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3">
        <f t="shared" si="6"/>
        <v>0</v>
      </c>
    </row>
    <row r="25" spans="1:17" ht="22.5" customHeight="1">
      <c r="A25" s="386"/>
      <c r="B25" s="25" t="s">
        <v>26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3">
        <f t="shared" si="6"/>
        <v>0</v>
      </c>
    </row>
    <row r="26" spans="1:17" ht="22.5" customHeight="1">
      <c r="A26" s="386"/>
      <c r="B26" s="242" t="s">
        <v>25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3">
        <f t="shared" si="6"/>
        <v>0</v>
      </c>
    </row>
    <row r="27" spans="1:17" ht="22.5" customHeight="1" thickBot="1">
      <c r="A27" s="387"/>
      <c r="B27" s="240" t="s">
        <v>198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1"/>
    </row>
    <row r="28" spans="1:17" ht="10.5" customHeight="1" thickBot="1"/>
    <row r="29" spans="1:17" ht="22.5" customHeight="1" thickBot="1">
      <c r="A29" s="377" t="s">
        <v>24</v>
      </c>
      <c r="B29" s="378"/>
      <c r="C29" s="239">
        <f>SUM(C18,C21,C23:C27)</f>
        <v>94</v>
      </c>
      <c r="D29" s="239">
        <f t="shared" ref="D29:O29" si="7">SUM(D18,D21,D23:D26)</f>
        <v>0</v>
      </c>
      <c r="E29" s="239">
        <f t="shared" si="7"/>
        <v>0</v>
      </c>
      <c r="F29" s="239">
        <f t="shared" si="7"/>
        <v>0</v>
      </c>
      <c r="G29" s="239">
        <f t="shared" si="7"/>
        <v>0</v>
      </c>
      <c r="H29" s="239">
        <f t="shared" si="7"/>
        <v>0</v>
      </c>
      <c r="I29" s="239">
        <f t="shared" si="7"/>
        <v>0</v>
      </c>
      <c r="J29" s="239">
        <f t="shared" si="7"/>
        <v>0</v>
      </c>
      <c r="K29" s="239">
        <f t="shared" si="7"/>
        <v>0</v>
      </c>
      <c r="L29" s="239">
        <f t="shared" si="7"/>
        <v>0</v>
      </c>
      <c r="M29" s="239">
        <f t="shared" si="7"/>
        <v>0</v>
      </c>
      <c r="N29" s="239">
        <f t="shared" si="7"/>
        <v>0</v>
      </c>
      <c r="O29" s="241">
        <f t="shared" si="7"/>
        <v>94</v>
      </c>
    </row>
  </sheetData>
  <mergeCells count="8">
    <mergeCell ref="A1:O1"/>
    <mergeCell ref="N2:O2"/>
    <mergeCell ref="A29:B29"/>
    <mergeCell ref="A4:A7"/>
    <mergeCell ref="A8:A11"/>
    <mergeCell ref="A12:A15"/>
    <mergeCell ref="A18:A21"/>
    <mergeCell ref="A23:A27"/>
  </mergeCells>
  <phoneticPr fontId="21" type="noConversion"/>
  <printOptions horizontalCentered="1"/>
  <pageMargins left="0.11811023622047245" right="0.11811023622047245" top="0.19685039370078741" bottom="0.15748031496062992" header="0.15748031496062992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G9" sqref="G9"/>
    </sheetView>
  </sheetViews>
  <sheetFormatPr defaultRowHeight="15"/>
  <cols>
    <col min="1" max="1" width="6.88671875" style="1" customWidth="1"/>
    <col min="2" max="2" width="11.6640625" style="1" customWidth="1"/>
    <col min="3" max="3" width="11" style="1" customWidth="1"/>
    <col min="4" max="4" width="10.5546875" style="1" bestFit="1" customWidth="1"/>
    <col min="5" max="5" width="12.33203125" style="1" customWidth="1"/>
    <col min="6" max="6" width="13.5546875" style="2" customWidth="1"/>
    <col min="7" max="7" width="9.21875" style="1" customWidth="1"/>
    <col min="8" max="8" width="9.33203125" style="1" customWidth="1"/>
    <col min="9" max="9" width="7.88671875" style="1" customWidth="1"/>
    <col min="10" max="10" width="12.5546875" style="1" customWidth="1"/>
    <col min="11" max="11" width="8" style="1" customWidth="1"/>
    <col min="12" max="12" width="37" style="1" bestFit="1" customWidth="1"/>
    <col min="13" max="16384" width="8.88671875" style="1"/>
  </cols>
  <sheetData>
    <row r="1" spans="1:15" ht="37.5" customHeight="1">
      <c r="A1" s="388" t="s">
        <v>296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5" ht="15.75" thickBot="1"/>
    <row r="3" spans="1:15" ht="28.5" customHeight="1">
      <c r="A3" s="17" t="s">
        <v>186</v>
      </c>
      <c r="B3" s="15" t="s">
        <v>22</v>
      </c>
      <c r="C3" s="15" t="s">
        <v>21</v>
      </c>
      <c r="D3" s="15" t="s">
        <v>20</v>
      </c>
      <c r="E3" s="15" t="s">
        <v>19</v>
      </c>
      <c r="F3" s="16" t="s">
        <v>18</v>
      </c>
      <c r="G3" s="15" t="s">
        <v>17</v>
      </c>
      <c r="H3" s="15" t="s">
        <v>16</v>
      </c>
      <c r="I3" s="15" t="s">
        <v>15</v>
      </c>
      <c r="J3" s="15" t="s">
        <v>14</v>
      </c>
      <c r="K3" s="15" t="s">
        <v>187</v>
      </c>
      <c r="L3" s="14" t="s">
        <v>12</v>
      </c>
    </row>
    <row r="4" spans="1:15" ht="24" customHeight="1">
      <c r="A4" s="10">
        <v>1</v>
      </c>
      <c r="B4" s="8" t="s">
        <v>264</v>
      </c>
      <c r="C4" s="8" t="s">
        <v>188</v>
      </c>
      <c r="D4" s="8" t="s">
        <v>269</v>
      </c>
      <c r="E4" s="8" t="s">
        <v>274</v>
      </c>
      <c r="F4" s="360" t="s">
        <v>279</v>
      </c>
      <c r="G4" s="8">
        <v>130329</v>
      </c>
      <c r="H4" s="8" t="s">
        <v>190</v>
      </c>
      <c r="I4" s="8" t="s">
        <v>189</v>
      </c>
      <c r="J4" s="8" t="s">
        <v>295</v>
      </c>
      <c r="K4" s="8">
        <v>970</v>
      </c>
      <c r="L4" s="361" t="s">
        <v>290</v>
      </c>
      <c r="M4" s="13"/>
      <c r="N4" s="13"/>
      <c r="O4" s="13"/>
    </row>
    <row r="5" spans="1:15" ht="24" customHeight="1">
      <c r="A5" s="10">
        <v>2</v>
      </c>
      <c r="B5" s="8" t="s">
        <v>265</v>
      </c>
      <c r="C5" s="8" t="s">
        <v>194</v>
      </c>
      <c r="D5" s="8" t="s">
        <v>270</v>
      </c>
      <c r="E5" s="8" t="s">
        <v>275</v>
      </c>
      <c r="F5" s="360" t="s">
        <v>280</v>
      </c>
      <c r="G5" s="8">
        <v>130322</v>
      </c>
      <c r="H5" s="8" t="s">
        <v>284</v>
      </c>
      <c r="I5" s="8" t="s">
        <v>189</v>
      </c>
      <c r="J5" s="8" t="s">
        <v>287</v>
      </c>
      <c r="K5" s="8">
        <v>220</v>
      </c>
      <c r="L5" s="361" t="s">
        <v>291</v>
      </c>
      <c r="M5" s="13"/>
      <c r="N5" s="13"/>
      <c r="O5" s="13"/>
    </row>
    <row r="6" spans="1:15" ht="24" customHeight="1">
      <c r="A6" s="10">
        <v>3</v>
      </c>
      <c r="B6" s="8" t="s">
        <v>266</v>
      </c>
      <c r="C6" s="8" t="s">
        <v>188</v>
      </c>
      <c r="D6" s="8" t="s">
        <v>271</v>
      </c>
      <c r="E6" s="8" t="s">
        <v>276</v>
      </c>
      <c r="F6" s="360" t="s">
        <v>281</v>
      </c>
      <c r="G6" s="8">
        <v>130329</v>
      </c>
      <c r="H6" s="8" t="s">
        <v>285</v>
      </c>
      <c r="I6" s="8" t="s">
        <v>189</v>
      </c>
      <c r="J6" s="8" t="s">
        <v>288</v>
      </c>
      <c r="K6" s="8">
        <v>241</v>
      </c>
      <c r="L6" s="361" t="s">
        <v>292</v>
      </c>
      <c r="M6" s="13"/>
      <c r="N6" s="13"/>
      <c r="O6" s="13"/>
    </row>
    <row r="7" spans="1:15" ht="24" customHeight="1">
      <c r="A7" s="10">
        <v>4</v>
      </c>
      <c r="B7" s="8" t="s">
        <v>267</v>
      </c>
      <c r="C7" s="8" t="s">
        <v>194</v>
      </c>
      <c r="D7" s="8" t="s">
        <v>272</v>
      </c>
      <c r="E7" s="8" t="s">
        <v>277</v>
      </c>
      <c r="F7" s="360" t="s">
        <v>282</v>
      </c>
      <c r="G7" s="8">
        <v>130308</v>
      </c>
      <c r="H7" s="8" t="s">
        <v>191</v>
      </c>
      <c r="I7" s="8" t="s">
        <v>192</v>
      </c>
      <c r="J7" s="8" t="s">
        <v>289</v>
      </c>
      <c r="K7" s="8">
        <v>235</v>
      </c>
      <c r="L7" s="361" t="s">
        <v>293</v>
      </c>
      <c r="M7" s="13"/>
      <c r="N7" s="13"/>
      <c r="O7" s="13"/>
    </row>
    <row r="8" spans="1:15" ht="24" customHeight="1">
      <c r="A8" s="10">
        <v>5</v>
      </c>
      <c r="B8" s="8" t="s">
        <v>268</v>
      </c>
      <c r="C8" s="8" t="s">
        <v>188</v>
      </c>
      <c r="D8" s="8" t="s">
        <v>273</v>
      </c>
      <c r="E8" s="8" t="s">
        <v>278</v>
      </c>
      <c r="F8" s="360" t="s">
        <v>283</v>
      </c>
      <c r="G8" s="8">
        <v>130328</v>
      </c>
      <c r="H8" s="8" t="s">
        <v>263</v>
      </c>
      <c r="I8" s="8" t="s">
        <v>193</v>
      </c>
      <c r="J8" s="8" t="s">
        <v>287</v>
      </c>
      <c r="K8" s="8">
        <v>103</v>
      </c>
      <c r="L8" s="361" t="s">
        <v>294</v>
      </c>
      <c r="M8" s="13"/>
      <c r="N8" s="13"/>
      <c r="O8" s="13"/>
    </row>
    <row r="9" spans="1:15" ht="24" customHeight="1">
      <c r="A9" s="10"/>
      <c r="B9" s="8"/>
      <c r="C9" s="8"/>
      <c r="D9" s="8"/>
      <c r="E9" s="8"/>
      <c r="F9" s="8"/>
      <c r="G9" s="8"/>
      <c r="H9" s="8"/>
      <c r="I9" s="8"/>
      <c r="J9" s="8"/>
      <c r="K9" s="8"/>
      <c r="L9" s="11"/>
    </row>
    <row r="10" spans="1:15" ht="24" hidden="1" customHeight="1">
      <c r="A10" s="10"/>
      <c r="B10" s="8"/>
      <c r="C10" s="8"/>
      <c r="D10" s="8"/>
      <c r="E10" s="8"/>
      <c r="F10" s="12"/>
      <c r="G10" s="8"/>
      <c r="H10" s="8"/>
      <c r="I10" s="8"/>
      <c r="J10" s="12"/>
      <c r="K10" s="8"/>
      <c r="L10" s="11"/>
    </row>
    <row r="11" spans="1:15" ht="24" hidden="1" customHeight="1">
      <c r="A11" s="10"/>
      <c r="B11" s="8"/>
      <c r="C11" s="8"/>
      <c r="D11" s="8"/>
      <c r="E11" s="8"/>
      <c r="F11" s="12"/>
      <c r="G11" s="8"/>
      <c r="H11" s="8"/>
      <c r="I11" s="8"/>
      <c r="J11" s="12"/>
      <c r="K11" s="8"/>
      <c r="L11" s="11"/>
      <c r="M11" s="13"/>
      <c r="N11" s="13"/>
      <c r="O11" s="13"/>
    </row>
    <row r="12" spans="1:15" ht="24" hidden="1" customHeight="1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11"/>
    </row>
    <row r="13" spans="1:15" ht="24" hidden="1" customHeight="1">
      <c r="A13" s="10"/>
      <c r="B13" s="8"/>
      <c r="C13" s="8"/>
      <c r="D13" s="8"/>
      <c r="E13" s="8"/>
      <c r="F13" s="12"/>
      <c r="G13" s="8"/>
      <c r="H13" s="8"/>
      <c r="I13" s="8"/>
      <c r="J13" s="12"/>
      <c r="K13" s="8"/>
      <c r="L13" s="11"/>
      <c r="M13" s="13"/>
      <c r="N13" s="13"/>
      <c r="O13" s="13"/>
    </row>
    <row r="14" spans="1:15" ht="24" hidden="1" customHeight="1">
      <c r="A14" s="10"/>
      <c r="B14" s="8"/>
      <c r="C14" s="8"/>
      <c r="D14" s="8"/>
      <c r="E14" s="8"/>
      <c r="F14" s="8"/>
      <c r="G14" s="8"/>
      <c r="H14" s="8"/>
      <c r="I14" s="8"/>
      <c r="J14" s="8"/>
      <c r="K14" s="8"/>
      <c r="L14" s="11"/>
    </row>
    <row r="15" spans="1:15" ht="24" hidden="1" customHeight="1">
      <c r="A15" s="10"/>
      <c r="B15" s="8"/>
      <c r="C15" s="8"/>
      <c r="D15" s="8"/>
      <c r="E15" s="8"/>
      <c r="F15" s="8"/>
      <c r="G15" s="8"/>
      <c r="H15" s="8"/>
      <c r="I15" s="8"/>
      <c r="J15" s="8"/>
      <c r="K15" s="8"/>
      <c r="L15" s="7"/>
    </row>
    <row r="16" spans="1:15" ht="24" hidden="1" customHeight="1">
      <c r="A16" s="10"/>
      <c r="B16" s="8"/>
      <c r="C16" s="8"/>
      <c r="D16" s="8"/>
      <c r="E16" s="8"/>
      <c r="F16" s="8"/>
      <c r="G16" s="8"/>
      <c r="H16" s="8"/>
      <c r="I16" s="8"/>
      <c r="J16" s="8"/>
      <c r="K16" s="8"/>
      <c r="L16" s="7"/>
    </row>
    <row r="17" spans="1:12" ht="24" hidden="1" customHeight="1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7"/>
    </row>
    <row r="18" spans="1:12" ht="24" hidden="1" customHeight="1">
      <c r="A18" s="10"/>
      <c r="B18" s="8"/>
      <c r="C18" s="8"/>
      <c r="D18" s="8"/>
      <c r="E18" s="8"/>
      <c r="F18" s="8"/>
      <c r="G18" s="8"/>
      <c r="H18" s="8"/>
      <c r="I18" s="8"/>
      <c r="J18" s="8"/>
      <c r="K18" s="8"/>
      <c r="L18" s="7"/>
    </row>
    <row r="19" spans="1:12" ht="24" customHeight="1">
      <c r="A19" s="10"/>
      <c r="B19" s="8"/>
      <c r="C19" s="8"/>
      <c r="D19" s="8"/>
      <c r="E19" s="8"/>
      <c r="F19" s="9"/>
      <c r="G19" s="8"/>
      <c r="H19" s="8"/>
      <c r="I19" s="8"/>
      <c r="J19" s="8"/>
      <c r="K19" s="8"/>
      <c r="L19" s="7"/>
    </row>
    <row r="20" spans="1:12" ht="24" customHeight="1" thickBot="1">
      <c r="A20" s="6"/>
      <c r="B20" s="4"/>
      <c r="C20" s="4"/>
      <c r="D20" s="4"/>
      <c r="E20" s="4"/>
      <c r="F20" s="5"/>
      <c r="G20" s="4"/>
      <c r="H20" s="4"/>
      <c r="I20" s="4"/>
      <c r="J20" s="4"/>
      <c r="K20" s="4"/>
      <c r="L20" s="3"/>
    </row>
    <row r="21" spans="1:12" ht="24" customHeight="1"/>
  </sheetData>
  <sortState ref="B4:L14">
    <sortCondition ref="I4:I14"/>
  </sortState>
  <mergeCells count="1">
    <mergeCell ref="A1:L1"/>
  </mergeCells>
  <phoneticPr fontId="21" type="noConversion"/>
  <pageMargins left="0" right="0" top="0.39370078740157483" bottom="0.39370078740157483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selection activeCell="A2" sqref="A2"/>
    </sheetView>
  </sheetViews>
  <sheetFormatPr defaultRowHeight="15"/>
  <cols>
    <col min="1" max="1" width="6.88671875" style="1" customWidth="1"/>
    <col min="2" max="2" width="11.6640625" style="1" customWidth="1"/>
    <col min="3" max="3" width="11" style="1" customWidth="1"/>
    <col min="4" max="4" width="10.5546875" style="1" bestFit="1" customWidth="1"/>
    <col min="5" max="5" width="12.33203125" style="1" customWidth="1"/>
    <col min="6" max="6" width="13.5546875" style="2" customWidth="1"/>
    <col min="7" max="7" width="9.21875" style="1" customWidth="1"/>
    <col min="8" max="8" width="9.33203125" style="1" customWidth="1"/>
    <col min="9" max="9" width="7.88671875" style="1" customWidth="1"/>
    <col min="10" max="10" width="12.5546875" style="1" customWidth="1"/>
    <col min="11" max="11" width="8" style="1" customWidth="1"/>
    <col min="12" max="12" width="37" style="1" bestFit="1" customWidth="1"/>
    <col min="13" max="16384" width="8.88671875" style="1"/>
  </cols>
  <sheetData>
    <row r="1" spans="1:15" ht="37.5" customHeight="1">
      <c r="A1" s="388" t="s">
        <v>313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5" ht="15.75" thickBot="1"/>
    <row r="3" spans="1:15" ht="28.5" customHeight="1">
      <c r="A3" s="17" t="s">
        <v>23</v>
      </c>
      <c r="B3" s="15" t="s">
        <v>22</v>
      </c>
      <c r="C3" s="15" t="s">
        <v>21</v>
      </c>
      <c r="D3" s="15" t="s">
        <v>20</v>
      </c>
      <c r="E3" s="15" t="s">
        <v>19</v>
      </c>
      <c r="F3" s="16" t="s">
        <v>18</v>
      </c>
      <c r="G3" s="15" t="s">
        <v>17</v>
      </c>
      <c r="H3" s="15" t="s">
        <v>16</v>
      </c>
      <c r="I3" s="15" t="s">
        <v>15</v>
      </c>
      <c r="J3" s="15" t="s">
        <v>14</v>
      </c>
      <c r="K3" s="15" t="s">
        <v>13</v>
      </c>
      <c r="L3" s="14" t="s">
        <v>12</v>
      </c>
    </row>
    <row r="4" spans="1:15" ht="24" customHeight="1">
      <c r="A4" s="10">
        <v>1</v>
      </c>
      <c r="B4" s="8" t="s">
        <v>297</v>
      </c>
      <c r="C4" s="8" t="s">
        <v>297</v>
      </c>
      <c r="D4" s="8" t="s">
        <v>300</v>
      </c>
      <c r="E4" s="8" t="s">
        <v>301</v>
      </c>
      <c r="F4" s="9"/>
      <c r="G4" s="8">
        <v>130328</v>
      </c>
      <c r="H4" s="8" t="s">
        <v>190</v>
      </c>
      <c r="I4" s="8" t="s">
        <v>189</v>
      </c>
      <c r="J4" s="8" t="s">
        <v>309</v>
      </c>
      <c r="K4" s="8">
        <v>106</v>
      </c>
      <c r="L4" s="361" t="s">
        <v>310</v>
      </c>
      <c r="M4" s="13"/>
      <c r="N4" s="13"/>
      <c r="O4" s="13"/>
    </row>
    <row r="5" spans="1:15" ht="24" customHeight="1">
      <c r="A5" s="10">
        <v>2</v>
      </c>
      <c r="B5" s="8" t="s">
        <v>298</v>
      </c>
      <c r="C5" s="8" t="s">
        <v>298</v>
      </c>
      <c r="D5" s="8" t="s">
        <v>302</v>
      </c>
      <c r="E5" s="8" t="s">
        <v>303</v>
      </c>
      <c r="F5" s="9" t="s">
        <v>306</v>
      </c>
      <c r="G5" s="8">
        <v>130315</v>
      </c>
      <c r="H5" s="8" t="s">
        <v>308</v>
      </c>
      <c r="I5" s="8" t="s">
        <v>189</v>
      </c>
      <c r="J5" s="8" t="s">
        <v>287</v>
      </c>
      <c r="K5" s="8">
        <v>104</v>
      </c>
      <c r="L5" s="361" t="s">
        <v>311</v>
      </c>
      <c r="M5" s="13"/>
      <c r="N5" s="13"/>
      <c r="O5" s="13"/>
    </row>
    <row r="6" spans="1:15" ht="24" hidden="1" customHeight="1">
      <c r="A6" s="10"/>
      <c r="B6" s="8" t="s">
        <v>299</v>
      </c>
      <c r="C6" s="8" t="s">
        <v>299</v>
      </c>
      <c r="D6" s="8" t="s">
        <v>304</v>
      </c>
      <c r="E6" s="8" t="s">
        <v>305</v>
      </c>
      <c r="F6" s="9" t="s">
        <v>307</v>
      </c>
      <c r="G6" s="8">
        <v>130307</v>
      </c>
      <c r="H6" s="8" t="s">
        <v>205</v>
      </c>
      <c r="I6" s="8" t="s">
        <v>192</v>
      </c>
      <c r="J6" s="8" t="s">
        <v>287</v>
      </c>
      <c r="K6" s="8">
        <v>104</v>
      </c>
      <c r="L6" s="361" t="s">
        <v>312</v>
      </c>
      <c r="M6" s="13"/>
      <c r="N6" s="13"/>
      <c r="O6" s="13"/>
    </row>
    <row r="7" spans="1:15" ht="24" hidden="1" customHeight="1">
      <c r="A7" s="10"/>
      <c r="B7" s="8" t="s">
        <v>297</v>
      </c>
      <c r="C7" s="8" t="s">
        <v>297</v>
      </c>
      <c r="D7" s="8" t="s">
        <v>300</v>
      </c>
      <c r="E7" s="8" t="s">
        <v>301</v>
      </c>
      <c r="F7" s="9" t="s">
        <v>306</v>
      </c>
      <c r="G7" s="8">
        <v>130328</v>
      </c>
      <c r="H7" s="8" t="s">
        <v>190</v>
      </c>
      <c r="I7" s="8" t="s">
        <v>189</v>
      </c>
      <c r="J7" s="8" t="s">
        <v>286</v>
      </c>
      <c r="K7" s="8">
        <v>106</v>
      </c>
      <c r="L7" s="361" t="s">
        <v>310</v>
      </c>
      <c r="M7" s="13"/>
      <c r="N7" s="13"/>
      <c r="O7" s="13"/>
    </row>
    <row r="8" spans="1:15" ht="24" hidden="1" customHeight="1">
      <c r="A8" s="10"/>
      <c r="B8" s="8" t="s">
        <v>298</v>
      </c>
      <c r="C8" s="8" t="s">
        <v>298</v>
      </c>
      <c r="D8" s="8" t="s">
        <v>302</v>
      </c>
      <c r="E8" s="8" t="s">
        <v>303</v>
      </c>
      <c r="F8" s="9" t="s">
        <v>307</v>
      </c>
      <c r="G8" s="8">
        <v>130315</v>
      </c>
      <c r="H8" s="8" t="s">
        <v>308</v>
      </c>
      <c r="I8" s="8" t="s">
        <v>189</v>
      </c>
      <c r="J8" s="8" t="s">
        <v>287</v>
      </c>
      <c r="K8" s="8">
        <v>104</v>
      </c>
      <c r="L8" s="361" t="s">
        <v>311</v>
      </c>
      <c r="M8" s="13"/>
      <c r="N8" s="13"/>
      <c r="O8" s="13"/>
    </row>
    <row r="9" spans="1:15" ht="24" hidden="1" customHeight="1">
      <c r="A9" s="10"/>
      <c r="B9" s="8" t="s">
        <v>299</v>
      </c>
      <c r="C9" s="8" t="s">
        <v>299</v>
      </c>
      <c r="D9" s="8" t="s">
        <v>304</v>
      </c>
      <c r="E9" s="8" t="s">
        <v>305</v>
      </c>
      <c r="F9" s="9" t="s">
        <v>306</v>
      </c>
      <c r="G9" s="8">
        <v>130307</v>
      </c>
      <c r="H9" s="8" t="s">
        <v>205</v>
      </c>
      <c r="I9" s="8" t="s">
        <v>192</v>
      </c>
      <c r="J9" s="8" t="s">
        <v>287</v>
      </c>
      <c r="K9" s="8">
        <v>104</v>
      </c>
      <c r="L9" s="361" t="s">
        <v>312</v>
      </c>
      <c r="M9" s="13"/>
      <c r="N9" s="13"/>
      <c r="O9" s="13"/>
    </row>
    <row r="10" spans="1:15" ht="24" hidden="1" customHeight="1">
      <c r="A10" s="10"/>
      <c r="B10" s="8" t="s">
        <v>297</v>
      </c>
      <c r="C10" s="8" t="s">
        <v>297</v>
      </c>
      <c r="D10" s="8" t="s">
        <v>300</v>
      </c>
      <c r="E10" s="8" t="s">
        <v>301</v>
      </c>
      <c r="F10" s="9" t="s">
        <v>307</v>
      </c>
      <c r="G10" s="8">
        <v>130328</v>
      </c>
      <c r="H10" s="8" t="s">
        <v>190</v>
      </c>
      <c r="I10" s="8" t="s">
        <v>189</v>
      </c>
      <c r="J10" s="8" t="s">
        <v>286</v>
      </c>
      <c r="K10" s="8">
        <v>106</v>
      </c>
      <c r="L10" s="361" t="s">
        <v>310</v>
      </c>
      <c r="M10" s="13"/>
      <c r="N10" s="13"/>
      <c r="O10" s="13"/>
    </row>
    <row r="11" spans="1:15" ht="24" hidden="1" customHeight="1">
      <c r="A11" s="10"/>
      <c r="B11" s="8" t="s">
        <v>298</v>
      </c>
      <c r="C11" s="8" t="s">
        <v>298</v>
      </c>
      <c r="D11" s="8" t="s">
        <v>302</v>
      </c>
      <c r="E11" s="8" t="s">
        <v>303</v>
      </c>
      <c r="F11" s="9" t="s">
        <v>306</v>
      </c>
      <c r="G11" s="8">
        <v>130315</v>
      </c>
      <c r="H11" s="8" t="s">
        <v>308</v>
      </c>
      <c r="I11" s="8" t="s">
        <v>189</v>
      </c>
      <c r="J11" s="8" t="s">
        <v>287</v>
      </c>
      <c r="K11" s="8">
        <v>104</v>
      </c>
      <c r="L11" s="361" t="s">
        <v>311</v>
      </c>
    </row>
    <row r="12" spans="1:15" ht="24" hidden="1" customHeight="1">
      <c r="A12" s="10"/>
      <c r="B12" s="8" t="s">
        <v>299</v>
      </c>
      <c r="C12" s="8" t="s">
        <v>299</v>
      </c>
      <c r="D12" s="8" t="s">
        <v>304</v>
      </c>
      <c r="E12" s="8" t="s">
        <v>305</v>
      </c>
      <c r="F12" s="9" t="s">
        <v>307</v>
      </c>
      <c r="G12" s="8">
        <v>130307</v>
      </c>
      <c r="H12" s="8" t="s">
        <v>205</v>
      </c>
      <c r="I12" s="8" t="s">
        <v>192</v>
      </c>
      <c r="J12" s="8" t="s">
        <v>287</v>
      </c>
      <c r="K12" s="8">
        <v>104</v>
      </c>
      <c r="L12" s="361" t="s">
        <v>312</v>
      </c>
    </row>
    <row r="13" spans="1:15" ht="24" hidden="1" customHeight="1">
      <c r="A13" s="10"/>
      <c r="B13" s="8" t="s">
        <v>297</v>
      </c>
      <c r="C13" s="8" t="s">
        <v>297</v>
      </c>
      <c r="D13" s="8" t="s">
        <v>300</v>
      </c>
      <c r="E13" s="8" t="s">
        <v>301</v>
      </c>
      <c r="F13" s="9" t="s">
        <v>306</v>
      </c>
      <c r="G13" s="8">
        <v>130328</v>
      </c>
      <c r="H13" s="8" t="s">
        <v>190</v>
      </c>
      <c r="I13" s="8" t="s">
        <v>189</v>
      </c>
      <c r="J13" s="8" t="s">
        <v>286</v>
      </c>
      <c r="K13" s="8">
        <v>106</v>
      </c>
      <c r="L13" s="361" t="s">
        <v>310</v>
      </c>
    </row>
    <row r="14" spans="1:15" ht="24" hidden="1" customHeight="1">
      <c r="A14" s="10"/>
      <c r="B14" s="8" t="s">
        <v>298</v>
      </c>
      <c r="C14" s="8" t="s">
        <v>298</v>
      </c>
      <c r="D14" s="8" t="s">
        <v>302</v>
      </c>
      <c r="E14" s="8" t="s">
        <v>303</v>
      </c>
      <c r="F14" s="9" t="s">
        <v>307</v>
      </c>
      <c r="G14" s="8">
        <v>130315</v>
      </c>
      <c r="H14" s="8" t="s">
        <v>308</v>
      </c>
      <c r="I14" s="8" t="s">
        <v>189</v>
      </c>
      <c r="J14" s="8" t="s">
        <v>287</v>
      </c>
      <c r="K14" s="8">
        <v>104</v>
      </c>
      <c r="L14" s="361" t="s">
        <v>311</v>
      </c>
    </row>
    <row r="15" spans="1:15" ht="24" hidden="1" customHeight="1">
      <c r="A15" s="10"/>
      <c r="B15" s="8" t="s">
        <v>299</v>
      </c>
      <c r="C15" s="8" t="s">
        <v>299</v>
      </c>
      <c r="D15" s="8" t="s">
        <v>304</v>
      </c>
      <c r="E15" s="8" t="s">
        <v>305</v>
      </c>
      <c r="F15" s="9" t="s">
        <v>306</v>
      </c>
      <c r="G15" s="8">
        <v>130307</v>
      </c>
      <c r="H15" s="8" t="s">
        <v>205</v>
      </c>
      <c r="I15" s="8" t="s">
        <v>192</v>
      </c>
      <c r="J15" s="8" t="s">
        <v>287</v>
      </c>
      <c r="K15" s="8">
        <v>104</v>
      </c>
      <c r="L15" s="361" t="s">
        <v>312</v>
      </c>
    </row>
    <row r="16" spans="1:15" ht="24" hidden="1" customHeight="1">
      <c r="A16" s="10"/>
      <c r="B16" s="8" t="s">
        <v>297</v>
      </c>
      <c r="C16" s="8" t="s">
        <v>297</v>
      </c>
      <c r="D16" s="8" t="s">
        <v>300</v>
      </c>
      <c r="E16" s="8" t="s">
        <v>301</v>
      </c>
      <c r="F16" s="9" t="s">
        <v>307</v>
      </c>
      <c r="G16" s="8">
        <v>130328</v>
      </c>
      <c r="H16" s="8" t="s">
        <v>190</v>
      </c>
      <c r="I16" s="8" t="s">
        <v>189</v>
      </c>
      <c r="J16" s="8" t="s">
        <v>286</v>
      </c>
      <c r="K16" s="8">
        <v>106</v>
      </c>
      <c r="L16" s="361" t="s">
        <v>310</v>
      </c>
    </row>
    <row r="17" spans="1:12" ht="24" hidden="1" customHeight="1">
      <c r="A17" s="10"/>
      <c r="B17" s="8" t="s">
        <v>298</v>
      </c>
      <c r="C17" s="8" t="s">
        <v>298</v>
      </c>
      <c r="D17" s="8" t="s">
        <v>302</v>
      </c>
      <c r="E17" s="8" t="s">
        <v>303</v>
      </c>
      <c r="F17" s="9" t="s">
        <v>306</v>
      </c>
      <c r="G17" s="8">
        <v>130315</v>
      </c>
      <c r="H17" s="8" t="s">
        <v>308</v>
      </c>
      <c r="I17" s="8" t="s">
        <v>189</v>
      </c>
      <c r="J17" s="8" t="s">
        <v>287</v>
      </c>
      <c r="K17" s="8">
        <v>104</v>
      </c>
      <c r="L17" s="361" t="s">
        <v>311</v>
      </c>
    </row>
    <row r="18" spans="1:12" ht="24" customHeight="1">
      <c r="A18" s="10">
        <v>3</v>
      </c>
      <c r="B18" s="8" t="s">
        <v>299</v>
      </c>
      <c r="C18" s="8" t="s">
        <v>299</v>
      </c>
      <c r="D18" s="8" t="s">
        <v>304</v>
      </c>
      <c r="E18" s="8" t="s">
        <v>305</v>
      </c>
      <c r="F18" s="9" t="s">
        <v>307</v>
      </c>
      <c r="G18" s="8">
        <v>130307</v>
      </c>
      <c r="H18" s="8" t="s">
        <v>205</v>
      </c>
      <c r="I18" s="8" t="s">
        <v>192</v>
      </c>
      <c r="J18" s="8" t="s">
        <v>287</v>
      </c>
      <c r="K18" s="8">
        <v>104</v>
      </c>
      <c r="L18" s="361" t="s">
        <v>312</v>
      </c>
    </row>
    <row r="19" spans="1:12" ht="24" customHeight="1">
      <c r="A19" s="10"/>
      <c r="B19" s="8"/>
      <c r="C19" s="8"/>
      <c r="D19" s="8"/>
      <c r="E19" s="8"/>
      <c r="F19" s="9"/>
      <c r="G19" s="8"/>
      <c r="H19" s="8"/>
      <c r="I19" s="8"/>
      <c r="J19" s="8"/>
      <c r="K19" s="8"/>
      <c r="L19" s="7"/>
    </row>
    <row r="20" spans="1:12" ht="24" customHeight="1" thickBot="1">
      <c r="A20" s="6"/>
      <c r="B20" s="4"/>
      <c r="C20" s="4"/>
      <c r="D20" s="4"/>
      <c r="E20" s="4"/>
      <c r="F20" s="5"/>
      <c r="G20" s="4"/>
      <c r="H20" s="4"/>
      <c r="I20" s="4"/>
      <c r="J20" s="4"/>
      <c r="K20" s="4"/>
      <c r="L20" s="3"/>
    </row>
  </sheetData>
  <sortState ref="B4:L9">
    <sortCondition ref="I4:I9"/>
  </sortState>
  <mergeCells count="1">
    <mergeCell ref="A1:L1"/>
  </mergeCells>
  <phoneticPr fontId="3" type="noConversion"/>
  <pageMargins left="0" right="0" top="0.39370078740157483" bottom="0.39370078740157483" header="0" footer="0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topLeftCell="A3" workbookViewId="0">
      <pane xSplit="1" ySplit="4" topLeftCell="B7" activePane="bottomRight" state="frozen"/>
      <selection activeCell="H28" sqref="H28"/>
      <selection pane="topRight" activeCell="H28" sqref="H28"/>
      <selection pane="bottomLeft" activeCell="H28" sqref="H28"/>
      <selection pane="bottomRight" activeCell="K8" sqref="K8:O9"/>
    </sheetView>
  </sheetViews>
  <sheetFormatPr defaultColWidth="8" defaultRowHeight="15"/>
  <cols>
    <col min="1" max="1" width="8" style="121"/>
    <col min="2" max="16" width="9.33203125" style="121" customWidth="1"/>
    <col min="17" max="16384" width="8" style="121"/>
  </cols>
  <sheetData>
    <row r="1" spans="1:16" ht="37.5" customHeight="1">
      <c r="A1" s="399" t="s">
        <v>101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</row>
    <row r="3" spans="1:16" ht="33" customHeight="1">
      <c r="A3" s="405" t="s">
        <v>174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</row>
    <row r="4" spans="1:16" ht="15.75" thickBot="1"/>
    <row r="5" spans="1:16" ht="24.75" customHeight="1" thickTop="1">
      <c r="A5" s="139" t="s">
        <v>100</v>
      </c>
      <c r="B5" s="397" t="s">
        <v>182</v>
      </c>
      <c r="C5" s="401" t="s">
        <v>183</v>
      </c>
      <c r="D5" s="391" t="s">
        <v>181</v>
      </c>
      <c r="E5" s="397" t="s">
        <v>99</v>
      </c>
      <c r="F5" s="397" t="s">
        <v>98</v>
      </c>
      <c r="G5" s="397" t="s">
        <v>97</v>
      </c>
      <c r="H5" s="397" t="s">
        <v>96</v>
      </c>
      <c r="I5" s="393" t="s">
        <v>95</v>
      </c>
      <c r="J5" s="395" t="s">
        <v>94</v>
      </c>
      <c r="K5" s="397" t="s">
        <v>173</v>
      </c>
      <c r="L5" s="397" t="s">
        <v>93</v>
      </c>
      <c r="M5" s="397" t="s">
        <v>92</v>
      </c>
      <c r="N5" s="401" t="s">
        <v>91</v>
      </c>
      <c r="O5" s="393" t="s">
        <v>90</v>
      </c>
      <c r="P5" s="403" t="s">
        <v>88</v>
      </c>
    </row>
    <row r="6" spans="1:16" ht="24.75" customHeight="1" thickBot="1">
      <c r="A6" s="138" t="s">
        <v>89</v>
      </c>
      <c r="B6" s="398"/>
      <c r="C6" s="402"/>
      <c r="D6" s="392"/>
      <c r="E6" s="398"/>
      <c r="F6" s="398"/>
      <c r="G6" s="398"/>
      <c r="H6" s="398"/>
      <c r="I6" s="394"/>
      <c r="J6" s="396"/>
      <c r="K6" s="398"/>
      <c r="L6" s="398"/>
      <c r="M6" s="398"/>
      <c r="N6" s="398"/>
      <c r="O6" s="394"/>
      <c r="P6" s="404"/>
    </row>
    <row r="7" spans="1:16" ht="30" customHeight="1" thickTop="1">
      <c r="A7" s="137">
        <v>1</v>
      </c>
      <c r="B7" s="135"/>
      <c r="C7" s="135"/>
      <c r="D7" s="135">
        <v>3</v>
      </c>
      <c r="E7" s="135">
        <v>3</v>
      </c>
      <c r="F7" s="135">
        <v>7</v>
      </c>
      <c r="G7" s="135">
        <v>11</v>
      </c>
      <c r="H7" s="135">
        <v>3</v>
      </c>
      <c r="I7" s="134">
        <v>3</v>
      </c>
      <c r="J7" s="136">
        <f t="shared" ref="J7:J18" si="0">SUM(B7:I7)</f>
        <v>30</v>
      </c>
      <c r="K7" s="135">
        <v>6</v>
      </c>
      <c r="L7" s="135">
        <v>15</v>
      </c>
      <c r="M7" s="135">
        <v>26</v>
      </c>
      <c r="N7" s="135">
        <v>11</v>
      </c>
      <c r="O7" s="134">
        <v>6</v>
      </c>
      <c r="P7" s="133">
        <f t="shared" ref="P7:P18" si="1">SUM(J7:O7)</f>
        <v>94</v>
      </c>
    </row>
    <row r="8" spans="1:16" ht="30" customHeight="1">
      <c r="A8" s="132">
        <v>2</v>
      </c>
      <c r="B8" s="130"/>
      <c r="C8" s="130"/>
      <c r="D8" s="130"/>
      <c r="E8" s="130"/>
      <c r="F8" s="130"/>
      <c r="G8" s="130"/>
      <c r="H8" s="130"/>
      <c r="I8" s="129"/>
      <c r="J8" s="131">
        <f t="shared" si="0"/>
        <v>0</v>
      </c>
      <c r="K8" s="130"/>
      <c r="L8" s="130"/>
      <c r="M8" s="130"/>
      <c r="N8" s="130"/>
      <c r="O8" s="129"/>
      <c r="P8" s="128">
        <f t="shared" si="1"/>
        <v>0</v>
      </c>
    </row>
    <row r="9" spans="1:16" ht="30" customHeight="1">
      <c r="A9" s="132">
        <v>3</v>
      </c>
      <c r="B9" s="130"/>
      <c r="C9" s="130"/>
      <c r="D9" s="130"/>
      <c r="E9" s="130"/>
      <c r="F9" s="130"/>
      <c r="G9" s="130"/>
      <c r="H9" s="130"/>
      <c r="I9" s="129"/>
      <c r="J9" s="131">
        <f t="shared" si="0"/>
        <v>0</v>
      </c>
      <c r="K9" s="130"/>
      <c r="L9" s="130"/>
      <c r="M9" s="130"/>
      <c r="N9" s="130"/>
      <c r="O9" s="129"/>
      <c r="P9" s="128">
        <f t="shared" si="1"/>
        <v>0</v>
      </c>
    </row>
    <row r="10" spans="1:16" ht="30" customHeight="1">
      <c r="A10" s="132">
        <v>4</v>
      </c>
      <c r="B10" s="130"/>
      <c r="C10" s="130"/>
      <c r="D10" s="130"/>
      <c r="E10" s="130"/>
      <c r="F10" s="130"/>
      <c r="G10" s="130"/>
      <c r="H10" s="130"/>
      <c r="I10" s="129"/>
      <c r="J10" s="131">
        <f t="shared" si="0"/>
        <v>0</v>
      </c>
      <c r="K10" s="130"/>
      <c r="L10" s="130"/>
      <c r="M10" s="130"/>
      <c r="N10" s="130"/>
      <c r="O10" s="129"/>
      <c r="P10" s="128">
        <f t="shared" si="1"/>
        <v>0</v>
      </c>
    </row>
    <row r="11" spans="1:16" ht="30" customHeight="1">
      <c r="A11" s="132">
        <v>5</v>
      </c>
      <c r="B11" s="130"/>
      <c r="C11" s="130"/>
      <c r="D11" s="130"/>
      <c r="E11" s="130"/>
      <c r="F11" s="130"/>
      <c r="G11" s="130"/>
      <c r="H11" s="130"/>
      <c r="I11" s="129"/>
      <c r="J11" s="131">
        <f t="shared" si="0"/>
        <v>0</v>
      </c>
      <c r="K11" s="130"/>
      <c r="L11" s="130"/>
      <c r="M11" s="130"/>
      <c r="N11" s="130"/>
      <c r="O11" s="129"/>
      <c r="P11" s="128">
        <f t="shared" si="1"/>
        <v>0</v>
      </c>
    </row>
    <row r="12" spans="1:16" ht="30" customHeight="1">
      <c r="A12" s="132">
        <v>6</v>
      </c>
      <c r="B12" s="130"/>
      <c r="C12" s="130"/>
      <c r="D12" s="130"/>
      <c r="E12" s="130"/>
      <c r="F12" s="130"/>
      <c r="G12" s="130"/>
      <c r="H12" s="130"/>
      <c r="I12" s="129"/>
      <c r="J12" s="131">
        <f t="shared" si="0"/>
        <v>0</v>
      </c>
      <c r="K12" s="130"/>
      <c r="L12" s="130"/>
      <c r="M12" s="130"/>
      <c r="N12" s="130"/>
      <c r="O12" s="129"/>
      <c r="P12" s="128">
        <f t="shared" si="1"/>
        <v>0</v>
      </c>
    </row>
    <row r="13" spans="1:16" ht="30" customHeight="1">
      <c r="A13" s="132">
        <v>7</v>
      </c>
      <c r="B13" s="130"/>
      <c r="C13" s="130"/>
      <c r="D13" s="130"/>
      <c r="E13" s="130"/>
      <c r="F13" s="130"/>
      <c r="G13" s="130"/>
      <c r="H13" s="130"/>
      <c r="I13" s="129"/>
      <c r="J13" s="131">
        <f t="shared" si="0"/>
        <v>0</v>
      </c>
      <c r="K13" s="130"/>
      <c r="L13" s="130"/>
      <c r="M13" s="130"/>
      <c r="N13" s="130"/>
      <c r="O13" s="129"/>
      <c r="P13" s="128">
        <f t="shared" si="1"/>
        <v>0</v>
      </c>
    </row>
    <row r="14" spans="1:16" ht="30" customHeight="1">
      <c r="A14" s="132">
        <v>8</v>
      </c>
      <c r="B14" s="130"/>
      <c r="C14" s="130"/>
      <c r="D14" s="130"/>
      <c r="E14" s="130"/>
      <c r="F14" s="130"/>
      <c r="G14" s="130"/>
      <c r="H14" s="130"/>
      <c r="I14" s="129"/>
      <c r="J14" s="131">
        <f t="shared" si="0"/>
        <v>0</v>
      </c>
      <c r="K14" s="130"/>
      <c r="L14" s="130"/>
      <c r="M14" s="130"/>
      <c r="N14" s="130"/>
      <c r="O14" s="129"/>
      <c r="P14" s="128">
        <f t="shared" si="1"/>
        <v>0</v>
      </c>
    </row>
    <row r="15" spans="1:16" ht="30" customHeight="1">
      <c r="A15" s="132">
        <v>9</v>
      </c>
      <c r="B15" s="130"/>
      <c r="C15" s="130"/>
      <c r="D15" s="130"/>
      <c r="E15" s="130"/>
      <c r="F15" s="130"/>
      <c r="G15" s="130"/>
      <c r="H15" s="130"/>
      <c r="I15" s="129"/>
      <c r="J15" s="131">
        <f t="shared" si="0"/>
        <v>0</v>
      </c>
      <c r="K15" s="130"/>
      <c r="L15" s="130"/>
      <c r="M15" s="130"/>
      <c r="N15" s="130"/>
      <c r="O15" s="129"/>
      <c r="P15" s="128">
        <f t="shared" si="1"/>
        <v>0</v>
      </c>
    </row>
    <row r="16" spans="1:16" ht="30" customHeight="1">
      <c r="A16" s="132">
        <v>10</v>
      </c>
      <c r="B16" s="130"/>
      <c r="C16" s="130"/>
      <c r="D16" s="130"/>
      <c r="E16" s="130"/>
      <c r="F16" s="130"/>
      <c r="G16" s="130"/>
      <c r="H16" s="130"/>
      <c r="I16" s="129"/>
      <c r="J16" s="131">
        <f t="shared" si="0"/>
        <v>0</v>
      </c>
      <c r="K16" s="130"/>
      <c r="L16" s="130"/>
      <c r="M16" s="130"/>
      <c r="N16" s="130"/>
      <c r="O16" s="129"/>
      <c r="P16" s="128">
        <f t="shared" si="1"/>
        <v>0</v>
      </c>
    </row>
    <row r="17" spans="1:16" ht="30" customHeight="1">
      <c r="A17" s="132">
        <v>11</v>
      </c>
      <c r="B17" s="130"/>
      <c r="C17" s="130"/>
      <c r="D17" s="130"/>
      <c r="E17" s="130"/>
      <c r="F17" s="130"/>
      <c r="G17" s="130"/>
      <c r="H17" s="130"/>
      <c r="I17" s="129"/>
      <c r="J17" s="131">
        <f t="shared" si="0"/>
        <v>0</v>
      </c>
      <c r="K17" s="130"/>
      <c r="L17" s="130"/>
      <c r="M17" s="130"/>
      <c r="N17" s="130"/>
      <c r="O17" s="129"/>
      <c r="P17" s="128">
        <f t="shared" si="1"/>
        <v>0</v>
      </c>
    </row>
    <row r="18" spans="1:16" ht="30" customHeight="1" thickBot="1">
      <c r="A18" s="127">
        <v>12</v>
      </c>
      <c r="B18" s="125"/>
      <c r="C18" s="125"/>
      <c r="D18" s="125"/>
      <c r="E18" s="125"/>
      <c r="F18" s="125"/>
      <c r="G18" s="125"/>
      <c r="H18" s="125"/>
      <c r="I18" s="124"/>
      <c r="J18" s="126">
        <f t="shared" si="0"/>
        <v>0</v>
      </c>
      <c r="K18" s="125"/>
      <c r="L18" s="125"/>
      <c r="M18" s="125"/>
      <c r="N18" s="125"/>
      <c r="O18" s="124"/>
      <c r="P18" s="123">
        <f t="shared" si="1"/>
        <v>0</v>
      </c>
    </row>
    <row r="19" spans="1:16" s="122" customFormat="1" ht="30" customHeight="1" thickTop="1">
      <c r="A19" s="389" t="s">
        <v>88</v>
      </c>
      <c r="B19" s="227">
        <f t="shared" ref="B19:P19" si="2">SUM(B7:B18)</f>
        <v>0</v>
      </c>
      <c r="C19" s="227">
        <f t="shared" si="2"/>
        <v>0</v>
      </c>
      <c r="D19" s="227">
        <f t="shared" si="2"/>
        <v>3</v>
      </c>
      <c r="E19" s="227">
        <f t="shared" si="2"/>
        <v>3</v>
      </c>
      <c r="F19" s="227">
        <f t="shared" si="2"/>
        <v>7</v>
      </c>
      <c r="G19" s="227">
        <f t="shared" si="2"/>
        <v>11</v>
      </c>
      <c r="H19" s="227">
        <f t="shared" si="2"/>
        <v>3</v>
      </c>
      <c r="I19" s="228">
        <f t="shared" si="2"/>
        <v>3</v>
      </c>
      <c r="J19" s="229">
        <f t="shared" si="2"/>
        <v>30</v>
      </c>
      <c r="K19" s="227">
        <f t="shared" si="2"/>
        <v>6</v>
      </c>
      <c r="L19" s="227">
        <f t="shared" si="2"/>
        <v>15</v>
      </c>
      <c r="M19" s="227">
        <f t="shared" si="2"/>
        <v>26</v>
      </c>
      <c r="N19" s="227">
        <f t="shared" si="2"/>
        <v>11</v>
      </c>
      <c r="O19" s="228">
        <f t="shared" si="2"/>
        <v>6</v>
      </c>
      <c r="P19" s="230">
        <f t="shared" si="2"/>
        <v>94</v>
      </c>
    </row>
    <row r="20" spans="1:16" ht="27" customHeight="1" thickBot="1">
      <c r="A20" s="390"/>
      <c r="B20" s="231">
        <f>B19/P19</f>
        <v>0</v>
      </c>
      <c r="C20" s="231">
        <f>C19/P19</f>
        <v>0</v>
      </c>
      <c r="D20" s="231">
        <f>D19/P19</f>
        <v>3.1914893617021274E-2</v>
      </c>
      <c r="E20" s="231">
        <f>E19/P19</f>
        <v>3.1914893617021274E-2</v>
      </c>
      <c r="F20" s="231">
        <f>F19/P19</f>
        <v>7.4468085106382975E-2</v>
      </c>
      <c r="G20" s="231">
        <f>G19/P19</f>
        <v>0.11702127659574468</v>
      </c>
      <c r="H20" s="231">
        <f>H19/P19</f>
        <v>3.1914893617021274E-2</v>
      </c>
      <c r="I20" s="232">
        <f>I19/P19</f>
        <v>3.1914893617021274E-2</v>
      </c>
      <c r="J20" s="233">
        <f>J19/P19</f>
        <v>0.31914893617021278</v>
      </c>
      <c r="K20" s="231">
        <f>K19/P19</f>
        <v>6.3829787234042548E-2</v>
      </c>
      <c r="L20" s="231">
        <f>L19/P19</f>
        <v>0.15957446808510639</v>
      </c>
      <c r="M20" s="231">
        <f>M19/P19</f>
        <v>0.27659574468085107</v>
      </c>
      <c r="N20" s="231">
        <f>N19/P19</f>
        <v>0.11702127659574468</v>
      </c>
      <c r="O20" s="232">
        <f>O19/P19</f>
        <v>6.3829787234042548E-2</v>
      </c>
      <c r="P20" s="234"/>
    </row>
    <row r="21" spans="1:16" ht="15.75" thickTop="1"/>
  </sheetData>
  <mergeCells count="18">
    <mergeCell ref="L5:L6"/>
    <mergeCell ref="A1:P1"/>
    <mergeCell ref="B5:B6"/>
    <mergeCell ref="C5:C6"/>
    <mergeCell ref="E5:E6"/>
    <mergeCell ref="F5:F6"/>
    <mergeCell ref="N5:N6"/>
    <mergeCell ref="O5:O6"/>
    <mergeCell ref="P5:P6"/>
    <mergeCell ref="A3:P3"/>
    <mergeCell ref="M5:M6"/>
    <mergeCell ref="G5:G6"/>
    <mergeCell ref="H5:H6"/>
    <mergeCell ref="A19:A20"/>
    <mergeCell ref="D5:D6"/>
    <mergeCell ref="I5:I6"/>
    <mergeCell ref="J5:J6"/>
    <mergeCell ref="K5:K6"/>
  </mergeCells>
  <phoneticPr fontId="3" type="noConversion"/>
  <printOptions horizontalCentered="1"/>
  <pageMargins left="0.11811023622047245" right="0.11811023622047245" top="0.39370078740157483" bottom="0.15748031496062992" header="0.31496062992125984" footer="0.31496062992125984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1"/>
  <sheetViews>
    <sheetView zoomScale="95" zoomScaleNormal="95" workbookViewId="0">
      <pane xSplit="2" ySplit="6" topLeftCell="F13" activePane="bottomRight" state="frozen"/>
      <selection activeCell="H28" sqref="H28"/>
      <selection pane="topRight" activeCell="H28" sqref="H28"/>
      <selection pane="bottomLeft" activeCell="H28" sqref="H28"/>
      <selection pane="bottomRight" activeCell="D20" sqref="D20:X20"/>
    </sheetView>
  </sheetViews>
  <sheetFormatPr defaultColWidth="8.77734375" defaultRowHeight="15"/>
  <cols>
    <col min="1" max="2" width="7.44140625" style="47" customWidth="1"/>
    <col min="3" max="3" width="7.44140625" style="141" customWidth="1"/>
    <col min="4" max="4" width="8.5546875" style="141" customWidth="1"/>
    <col min="5" max="22" width="7.44140625" style="141" customWidth="1"/>
    <col min="23" max="23" width="8.6640625" style="141" customWidth="1"/>
    <col min="24" max="24" width="7.44140625" style="141" customWidth="1"/>
    <col min="25" max="25" width="8.109375" style="141" customWidth="1"/>
    <col min="26" max="16384" width="8.77734375" style="141"/>
  </cols>
  <sheetData>
    <row r="1" spans="1:25" ht="24.75" customHeight="1">
      <c r="A1" s="411" t="s">
        <v>177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</row>
    <row r="2" spans="1:25" ht="9" customHeight="1">
      <c r="A2" s="120"/>
      <c r="B2" s="120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1:25" s="167" customFormat="1" ht="18" customHeight="1">
      <c r="A3" s="172" t="s">
        <v>141</v>
      </c>
      <c r="B3" s="195" t="s">
        <v>314</v>
      </c>
      <c r="C3" s="196"/>
      <c r="D3" s="195"/>
      <c r="E3" s="195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</row>
    <row r="4" spans="1:25" ht="5.25" customHeight="1" thickBot="1">
      <c r="A4" s="120"/>
      <c r="B4" s="120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</row>
    <row r="5" spans="1:25" s="47" customFormat="1" ht="25.5" customHeight="1" thickTop="1">
      <c r="A5" s="194"/>
      <c r="B5" s="193" t="s">
        <v>140</v>
      </c>
      <c r="C5" s="412">
        <v>1</v>
      </c>
      <c r="D5" s="413"/>
      <c r="E5" s="414"/>
      <c r="F5" s="415">
        <v>3</v>
      </c>
      <c r="G5" s="416"/>
      <c r="H5" s="416"/>
      <c r="I5" s="416"/>
      <c r="J5" s="416"/>
      <c r="K5" s="417"/>
      <c r="L5" s="416">
        <v>5</v>
      </c>
      <c r="M5" s="416"/>
      <c r="N5" s="417"/>
      <c r="O5" s="415" t="s">
        <v>139</v>
      </c>
      <c r="P5" s="416"/>
      <c r="Q5" s="416"/>
      <c r="R5" s="417"/>
      <c r="S5" s="412">
        <v>6</v>
      </c>
      <c r="T5" s="414"/>
      <c r="U5" s="415">
        <v>7</v>
      </c>
      <c r="V5" s="416"/>
      <c r="W5" s="417"/>
      <c r="X5" s="192" t="s">
        <v>138</v>
      </c>
      <c r="Y5" s="418" t="s">
        <v>137</v>
      </c>
    </row>
    <row r="6" spans="1:25" s="47" customFormat="1" ht="25.5" customHeight="1">
      <c r="A6" s="191" t="s">
        <v>136</v>
      </c>
      <c r="B6" s="190"/>
      <c r="C6" s="186" t="s">
        <v>135</v>
      </c>
      <c r="D6" s="186" t="s">
        <v>134</v>
      </c>
      <c r="E6" s="186" t="s">
        <v>133</v>
      </c>
      <c r="F6" s="186" t="s">
        <v>132</v>
      </c>
      <c r="G6" s="186" t="s">
        <v>131</v>
      </c>
      <c r="H6" s="186" t="s">
        <v>130</v>
      </c>
      <c r="I6" s="186" t="s">
        <v>129</v>
      </c>
      <c r="J6" s="186" t="s">
        <v>128</v>
      </c>
      <c r="K6" s="186" t="s">
        <v>127</v>
      </c>
      <c r="L6" s="186" t="s">
        <v>126</v>
      </c>
      <c r="M6" s="186" t="s">
        <v>125</v>
      </c>
      <c r="N6" s="186" t="s">
        <v>124</v>
      </c>
      <c r="O6" s="186" t="s">
        <v>123</v>
      </c>
      <c r="P6" s="186" t="s">
        <v>122</v>
      </c>
      <c r="Q6" s="186" t="s">
        <v>121</v>
      </c>
      <c r="R6" s="186" t="s">
        <v>120</v>
      </c>
      <c r="S6" s="186" t="s">
        <v>176</v>
      </c>
      <c r="T6" s="186" t="s">
        <v>175</v>
      </c>
      <c r="U6" s="186" t="s">
        <v>119</v>
      </c>
      <c r="V6" s="186" t="s">
        <v>118</v>
      </c>
      <c r="W6" s="185" t="s">
        <v>117</v>
      </c>
      <c r="X6" s="188" t="s">
        <v>116</v>
      </c>
      <c r="Y6" s="419"/>
    </row>
    <row r="7" spans="1:25" s="47" customFormat="1" ht="42.75" customHeight="1">
      <c r="A7" s="189" t="s">
        <v>115</v>
      </c>
      <c r="B7" s="118" t="s">
        <v>108</v>
      </c>
      <c r="C7" s="186"/>
      <c r="D7" s="186"/>
      <c r="E7" s="186"/>
      <c r="F7" s="186"/>
      <c r="G7" s="186">
        <v>7</v>
      </c>
      <c r="H7" s="186">
        <v>1</v>
      </c>
      <c r="I7" s="186"/>
      <c r="J7" s="186"/>
      <c r="K7" s="186"/>
      <c r="L7" s="186">
        <v>1</v>
      </c>
      <c r="M7" s="48">
        <v>6</v>
      </c>
      <c r="N7" s="186">
        <v>3</v>
      </c>
      <c r="O7" s="186">
        <v>2</v>
      </c>
      <c r="P7" s="186">
        <v>1</v>
      </c>
      <c r="Q7" s="186">
        <v>2</v>
      </c>
      <c r="R7" s="186">
        <v>3</v>
      </c>
      <c r="S7" s="186">
        <v>1</v>
      </c>
      <c r="T7" s="186"/>
      <c r="U7" s="186"/>
      <c r="V7" s="186">
        <v>2</v>
      </c>
      <c r="W7" s="185"/>
      <c r="X7" s="188"/>
      <c r="Y7" s="187">
        <f>SUM(C7:X7)</f>
        <v>29</v>
      </c>
    </row>
    <row r="8" spans="1:25" s="47" customFormat="1" ht="42.75" customHeight="1">
      <c r="A8" s="189" t="s">
        <v>114</v>
      </c>
      <c r="B8" s="118" t="s">
        <v>108</v>
      </c>
      <c r="C8" s="186"/>
      <c r="D8" s="186"/>
      <c r="E8" s="186">
        <v>1</v>
      </c>
      <c r="F8" s="186"/>
      <c r="G8" s="186">
        <v>5</v>
      </c>
      <c r="H8" s="186"/>
      <c r="I8" s="186"/>
      <c r="J8" s="186"/>
      <c r="K8" s="186"/>
      <c r="L8" s="186"/>
      <c r="M8" s="186">
        <v>6</v>
      </c>
      <c r="N8" s="186"/>
      <c r="O8" s="186">
        <v>3</v>
      </c>
      <c r="P8" s="186">
        <v>1</v>
      </c>
      <c r="Q8" s="186"/>
      <c r="R8" s="186"/>
      <c r="S8" s="186">
        <v>1</v>
      </c>
      <c r="T8" s="186"/>
      <c r="U8" s="186"/>
      <c r="V8" s="186">
        <v>1</v>
      </c>
      <c r="W8" s="185"/>
      <c r="X8" s="188"/>
      <c r="Y8" s="187">
        <f t="shared" ref="Y8:Y12" si="0">SUM(C8:X8)</f>
        <v>18</v>
      </c>
    </row>
    <row r="9" spans="1:25" s="47" customFormat="1" ht="42.75" customHeight="1">
      <c r="A9" s="189" t="s">
        <v>113</v>
      </c>
      <c r="B9" s="118" t="s">
        <v>108</v>
      </c>
      <c r="C9" s="186"/>
      <c r="D9" s="186"/>
      <c r="E9" s="186">
        <v>2</v>
      </c>
      <c r="F9" s="186"/>
      <c r="G9" s="186"/>
      <c r="H9" s="186"/>
      <c r="I9" s="186"/>
      <c r="J9" s="186"/>
      <c r="K9" s="186"/>
      <c r="L9" s="186"/>
      <c r="M9" s="186">
        <v>7</v>
      </c>
      <c r="N9" s="186">
        <v>1</v>
      </c>
      <c r="O9" s="186">
        <v>3</v>
      </c>
      <c r="P9" s="186">
        <v>2</v>
      </c>
      <c r="Q9" s="186">
        <v>1</v>
      </c>
      <c r="R9" s="186"/>
      <c r="S9" s="186"/>
      <c r="T9" s="186"/>
      <c r="U9" s="186"/>
      <c r="V9" s="186"/>
      <c r="W9" s="185"/>
      <c r="X9" s="188"/>
      <c r="Y9" s="187">
        <f t="shared" si="0"/>
        <v>16</v>
      </c>
    </row>
    <row r="10" spans="1:25" s="47" customFormat="1" ht="42.75" customHeight="1">
      <c r="A10" s="189" t="s">
        <v>112</v>
      </c>
      <c r="B10" s="118" t="s">
        <v>108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5"/>
      <c r="X10" s="188"/>
      <c r="Y10" s="187">
        <f t="shared" si="0"/>
        <v>0</v>
      </c>
    </row>
    <row r="11" spans="1:25" s="47" customFormat="1" ht="42.75" customHeight="1" thickBot="1">
      <c r="A11" s="235" t="s">
        <v>180</v>
      </c>
      <c r="B11" s="118" t="s">
        <v>108</v>
      </c>
      <c r="C11" s="186"/>
      <c r="D11" s="186"/>
      <c r="E11" s="186"/>
      <c r="F11" s="186"/>
      <c r="G11" s="186">
        <v>1</v>
      </c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5"/>
      <c r="X11" s="184"/>
      <c r="Y11" s="183">
        <f t="shared" si="0"/>
        <v>1</v>
      </c>
    </row>
    <row r="12" spans="1:25" s="47" customFormat="1" ht="42.75" customHeight="1">
      <c r="A12" s="420" t="s">
        <v>111</v>
      </c>
      <c r="B12" s="182" t="s">
        <v>108</v>
      </c>
      <c r="C12" s="180">
        <f t="shared" ref="C12:X12" si="1">SUM(C7:C11)</f>
        <v>0</v>
      </c>
      <c r="D12" s="180">
        <f t="shared" si="1"/>
        <v>0</v>
      </c>
      <c r="E12" s="180">
        <f t="shared" si="1"/>
        <v>3</v>
      </c>
      <c r="F12" s="180">
        <f t="shared" si="1"/>
        <v>0</v>
      </c>
      <c r="G12" s="180">
        <f t="shared" si="1"/>
        <v>13</v>
      </c>
      <c r="H12" s="180">
        <f t="shared" si="1"/>
        <v>1</v>
      </c>
      <c r="I12" s="180">
        <f t="shared" si="1"/>
        <v>0</v>
      </c>
      <c r="J12" s="180">
        <f t="shared" si="1"/>
        <v>0</v>
      </c>
      <c r="K12" s="180">
        <f t="shared" si="1"/>
        <v>0</v>
      </c>
      <c r="L12" s="180">
        <f t="shared" si="1"/>
        <v>1</v>
      </c>
      <c r="M12" s="180">
        <f t="shared" si="1"/>
        <v>19</v>
      </c>
      <c r="N12" s="180">
        <f t="shared" si="1"/>
        <v>4</v>
      </c>
      <c r="O12" s="180">
        <f t="shared" si="1"/>
        <v>8</v>
      </c>
      <c r="P12" s="180">
        <f t="shared" si="1"/>
        <v>4</v>
      </c>
      <c r="Q12" s="181">
        <f t="shared" si="1"/>
        <v>3</v>
      </c>
      <c r="R12" s="181">
        <f t="shared" si="1"/>
        <v>3</v>
      </c>
      <c r="S12" s="181">
        <f t="shared" si="1"/>
        <v>2</v>
      </c>
      <c r="T12" s="181">
        <f t="shared" si="1"/>
        <v>0</v>
      </c>
      <c r="U12" s="181">
        <f t="shared" si="1"/>
        <v>0</v>
      </c>
      <c r="V12" s="180">
        <f t="shared" si="1"/>
        <v>3</v>
      </c>
      <c r="W12" s="180">
        <f t="shared" si="1"/>
        <v>0</v>
      </c>
      <c r="X12" s="180">
        <f t="shared" si="1"/>
        <v>0</v>
      </c>
      <c r="Y12" s="179">
        <f t="shared" si="0"/>
        <v>64</v>
      </c>
    </row>
    <row r="13" spans="1:25" s="47" customFormat="1" ht="42.75" customHeight="1" thickBot="1">
      <c r="A13" s="421"/>
      <c r="B13" s="178" t="s">
        <v>110</v>
      </c>
      <c r="C13" s="176" t="e">
        <f>C12/C14</f>
        <v>#DIV/0!</v>
      </c>
      <c r="D13" s="176" t="e">
        <f>D12/D14</f>
        <v>#DIV/0!</v>
      </c>
      <c r="E13" s="176" t="e">
        <f>E12/E14</f>
        <v>#DIV/0!</v>
      </c>
      <c r="F13" s="176" t="e">
        <f t="shared" ref="F13:Y13" si="2">F12/F14</f>
        <v>#DIV/0!</v>
      </c>
      <c r="G13" s="176" t="e">
        <f>G12/G14</f>
        <v>#DIV/0!</v>
      </c>
      <c r="H13" s="176" t="e">
        <f t="shared" si="2"/>
        <v>#DIV/0!</v>
      </c>
      <c r="I13" s="176" t="e">
        <f t="shared" si="2"/>
        <v>#DIV/0!</v>
      </c>
      <c r="J13" s="176" t="e">
        <f t="shared" si="2"/>
        <v>#DIV/0!</v>
      </c>
      <c r="K13" s="177" t="e">
        <f t="shared" si="2"/>
        <v>#DIV/0!</v>
      </c>
      <c r="L13" s="176" t="e">
        <f t="shared" si="2"/>
        <v>#DIV/0!</v>
      </c>
      <c r="M13" s="176" t="e">
        <f t="shared" si="2"/>
        <v>#DIV/0!</v>
      </c>
      <c r="N13" s="176" t="e">
        <f t="shared" si="2"/>
        <v>#DIV/0!</v>
      </c>
      <c r="O13" s="176" t="e">
        <f t="shared" si="2"/>
        <v>#DIV/0!</v>
      </c>
      <c r="P13" s="176" t="e">
        <f t="shared" si="2"/>
        <v>#DIV/0!</v>
      </c>
      <c r="Q13" s="176" t="e">
        <f t="shared" si="2"/>
        <v>#DIV/0!</v>
      </c>
      <c r="R13" s="176" t="e">
        <f t="shared" si="2"/>
        <v>#DIV/0!</v>
      </c>
      <c r="S13" s="176" t="e">
        <f t="shared" si="2"/>
        <v>#DIV/0!</v>
      </c>
      <c r="T13" s="176" t="e">
        <f t="shared" si="2"/>
        <v>#DIV/0!</v>
      </c>
      <c r="U13" s="176" t="e">
        <f t="shared" si="2"/>
        <v>#DIV/0!</v>
      </c>
      <c r="V13" s="176" t="e">
        <f t="shared" si="2"/>
        <v>#DIV/0!</v>
      </c>
      <c r="W13" s="176" t="e">
        <f t="shared" si="2"/>
        <v>#DIV/0!</v>
      </c>
      <c r="X13" s="176" t="e">
        <f t="shared" si="2"/>
        <v>#DIV/0!</v>
      </c>
      <c r="Y13" s="159" t="e">
        <f t="shared" si="2"/>
        <v>#DIV/0!</v>
      </c>
    </row>
    <row r="14" spans="1:25" s="47" customFormat="1" ht="42.75" customHeight="1" thickTop="1" thickBot="1">
      <c r="A14" s="175" t="s">
        <v>109</v>
      </c>
      <c r="B14" s="174" t="s">
        <v>108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73"/>
      <c r="Y14" s="221">
        <f>SUM(C14:X14)</f>
        <v>0</v>
      </c>
    </row>
    <row r="15" spans="1:25" ht="15.75" thickTop="1">
      <c r="A15" s="120"/>
      <c r="B15" s="120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</row>
    <row r="16" spans="1:25" s="167" customFormat="1" ht="18.75" customHeight="1">
      <c r="A16" s="172" t="s">
        <v>107</v>
      </c>
      <c r="B16" s="171" t="s">
        <v>142</v>
      </c>
      <c r="C16" s="170"/>
      <c r="D16" s="169"/>
      <c r="E16" s="169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</row>
    <row r="17" spans="1:25" ht="6" customHeight="1" thickBot="1">
      <c r="A17" s="166"/>
      <c r="B17" s="120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</row>
    <row r="18" spans="1:25" s="47" customFormat="1" ht="42.75" customHeight="1" thickTop="1">
      <c r="A18" s="422" t="s">
        <v>106</v>
      </c>
      <c r="B18" s="164" t="s">
        <v>103</v>
      </c>
      <c r="C18" s="163"/>
      <c r="D18" s="163"/>
      <c r="E18" s="163">
        <f>5+2+3</f>
        <v>10</v>
      </c>
      <c r="F18" s="163"/>
      <c r="G18" s="163">
        <f>22+12+13</f>
        <v>47</v>
      </c>
      <c r="H18" s="163">
        <f>1</f>
        <v>1</v>
      </c>
      <c r="I18" s="163"/>
      <c r="J18" s="163"/>
      <c r="K18" s="163">
        <f>1</f>
        <v>1</v>
      </c>
      <c r="L18" s="163">
        <f>1+1</f>
        <v>2</v>
      </c>
      <c r="M18" s="163">
        <f>29+9+19</f>
        <v>57</v>
      </c>
      <c r="N18" s="163">
        <f>1+1+4</f>
        <v>6</v>
      </c>
      <c r="O18" s="163">
        <f>10+1+8</f>
        <v>19</v>
      </c>
      <c r="P18" s="163">
        <f>6+17+4</f>
        <v>27</v>
      </c>
      <c r="Q18" s="163">
        <f>3+3</f>
        <v>6</v>
      </c>
      <c r="R18" s="163">
        <f>5+4+3</f>
        <v>12</v>
      </c>
      <c r="S18" s="163">
        <f>2+2</f>
        <v>4</v>
      </c>
      <c r="T18" s="163">
        <f>1</f>
        <v>1</v>
      </c>
      <c r="U18" s="163">
        <f>3</f>
        <v>3</v>
      </c>
      <c r="V18" s="163">
        <f>5+1+3</f>
        <v>9</v>
      </c>
      <c r="W18" s="140"/>
      <c r="X18" s="140">
        <f>1</f>
        <v>1</v>
      </c>
      <c r="Y18" s="222">
        <f>SUM(C18:X18)</f>
        <v>206</v>
      </c>
    </row>
    <row r="19" spans="1:25" s="47" customFormat="1" ht="42.75" customHeight="1" thickBot="1">
      <c r="A19" s="423"/>
      <c r="B19" s="162" t="s">
        <v>105</v>
      </c>
      <c r="C19" s="161" t="e">
        <f t="shared" ref="C19:Y19" si="3">C18/C20</f>
        <v>#DIV/0!</v>
      </c>
      <c r="D19" s="161" t="e">
        <f t="shared" si="3"/>
        <v>#DIV/0!</v>
      </c>
      <c r="E19" s="161" t="e">
        <f>E18/E20</f>
        <v>#DIV/0!</v>
      </c>
      <c r="F19" s="161" t="e">
        <f t="shared" si="3"/>
        <v>#DIV/0!</v>
      </c>
      <c r="G19" s="161" t="e">
        <f t="shared" si="3"/>
        <v>#DIV/0!</v>
      </c>
      <c r="H19" s="161" t="e">
        <f t="shared" si="3"/>
        <v>#DIV/0!</v>
      </c>
      <c r="I19" s="161" t="e">
        <f t="shared" si="3"/>
        <v>#DIV/0!</v>
      </c>
      <c r="J19" s="161" t="e">
        <f t="shared" si="3"/>
        <v>#DIV/0!</v>
      </c>
      <c r="K19" s="161" t="e">
        <f t="shared" si="3"/>
        <v>#DIV/0!</v>
      </c>
      <c r="L19" s="161" t="e">
        <f t="shared" si="3"/>
        <v>#DIV/0!</v>
      </c>
      <c r="M19" s="161" t="e">
        <f t="shared" si="3"/>
        <v>#DIV/0!</v>
      </c>
      <c r="N19" s="161" t="e">
        <f t="shared" si="3"/>
        <v>#DIV/0!</v>
      </c>
      <c r="O19" s="161" t="e">
        <f t="shared" si="3"/>
        <v>#DIV/0!</v>
      </c>
      <c r="P19" s="161" t="e">
        <f t="shared" si="3"/>
        <v>#DIV/0!</v>
      </c>
      <c r="Q19" s="161" t="e">
        <f t="shared" si="3"/>
        <v>#DIV/0!</v>
      </c>
      <c r="R19" s="161" t="e">
        <f t="shared" si="3"/>
        <v>#DIV/0!</v>
      </c>
      <c r="S19" s="161" t="e">
        <f t="shared" si="3"/>
        <v>#DIV/0!</v>
      </c>
      <c r="T19" s="161" t="e">
        <f t="shared" si="3"/>
        <v>#DIV/0!</v>
      </c>
      <c r="U19" s="161" t="e">
        <f t="shared" si="3"/>
        <v>#DIV/0!</v>
      </c>
      <c r="V19" s="161" t="e">
        <f t="shared" si="3"/>
        <v>#DIV/0!</v>
      </c>
      <c r="W19" s="161" t="e">
        <f t="shared" si="3"/>
        <v>#DIV/0!</v>
      </c>
      <c r="X19" s="160" t="e">
        <f t="shared" si="3"/>
        <v>#DIV/0!</v>
      </c>
      <c r="Y19" s="159" t="e">
        <f t="shared" si="3"/>
        <v>#DIV/0!</v>
      </c>
    </row>
    <row r="20" spans="1:25" s="47" customFormat="1" ht="42.75" customHeight="1" thickTop="1" thickBot="1">
      <c r="A20" s="158" t="s">
        <v>104</v>
      </c>
      <c r="B20" s="157" t="s">
        <v>103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73"/>
      <c r="Y20" s="221">
        <f>SUM(C20:X20)</f>
        <v>0</v>
      </c>
    </row>
    <row r="21" spans="1:25" s="47" customFormat="1" ht="21.95" customHeight="1" thickTop="1">
      <c r="A21" s="155"/>
      <c r="B21" s="155"/>
      <c r="C21" s="154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2"/>
    </row>
    <row r="22" spans="1:25" s="47" customFormat="1" ht="42.75" customHeight="1">
      <c r="A22" s="155"/>
      <c r="B22" s="155"/>
      <c r="C22" s="154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2"/>
    </row>
    <row r="23" spans="1:25" s="47" customFormat="1" ht="42.75" customHeight="1">
      <c r="A23" s="155"/>
      <c r="B23" s="155"/>
      <c r="C23" s="154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2"/>
    </row>
    <row r="24" spans="1:25" s="47" customFormat="1" ht="42.75" hidden="1" customHeight="1">
      <c r="A24" s="155"/>
      <c r="B24" s="155"/>
      <c r="C24" s="154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2"/>
    </row>
    <row r="25" spans="1:25" ht="15.75" hidden="1" thickBot="1">
      <c r="U25" s="406">
        <f>SUM(U18:W18)</f>
        <v>12</v>
      </c>
      <c r="V25" s="406"/>
      <c r="W25" s="151">
        <f>SUM(U20:W20)</f>
        <v>0</v>
      </c>
      <c r="X25" s="150"/>
    </row>
    <row r="26" spans="1:25" ht="15.75" hidden="1" thickBot="1">
      <c r="A26" s="407" t="s">
        <v>102</v>
      </c>
      <c r="B26" s="408"/>
      <c r="C26" s="149">
        <v>60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8"/>
      <c r="Y26" s="147">
        <f>SUM(C26:X26)</f>
        <v>60</v>
      </c>
    </row>
    <row r="27" spans="1:25" s="144" customFormat="1" hidden="1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224"/>
      <c r="U27" s="409">
        <f>U25</f>
        <v>12</v>
      </c>
      <c r="V27" s="409"/>
      <c r="W27" s="146">
        <f>W25-U26-V26-W26</f>
        <v>0</v>
      </c>
      <c r="X27" s="145"/>
      <c r="Y27" s="145"/>
    </row>
    <row r="28" spans="1:25" hidden="1">
      <c r="U28" s="410"/>
      <c r="V28" s="410"/>
      <c r="W28" s="143" t="e">
        <f>U27/W27</f>
        <v>#DIV/0!</v>
      </c>
    </row>
    <row r="29" spans="1:25" hidden="1">
      <c r="W29" s="141">
        <f>SUM(U18:W18)</f>
        <v>12</v>
      </c>
    </row>
    <row r="30" spans="1:25" hidden="1">
      <c r="W30" s="141">
        <f>SUM(U20:W20)</f>
        <v>0</v>
      </c>
    </row>
    <row r="31" spans="1:25">
      <c r="W31" s="142" t="e">
        <f>W29/W30</f>
        <v>#DIV/0!</v>
      </c>
    </row>
  </sheetData>
  <mergeCells count="14">
    <mergeCell ref="U25:V25"/>
    <mergeCell ref="A26:B26"/>
    <mergeCell ref="U27:V27"/>
    <mergeCell ref="U28:V28"/>
    <mergeCell ref="A1:Y1"/>
    <mergeCell ref="C5:E5"/>
    <mergeCell ref="F5:K5"/>
    <mergeCell ref="L5:N5"/>
    <mergeCell ref="O5:R5"/>
    <mergeCell ref="U5:W5"/>
    <mergeCell ref="Y5:Y6"/>
    <mergeCell ref="A12:A13"/>
    <mergeCell ref="A18:A19"/>
    <mergeCell ref="S5:T5"/>
  </mergeCells>
  <phoneticPr fontId="3" type="noConversion"/>
  <printOptions horizontalCentered="1"/>
  <pageMargins left="0" right="0" top="0" bottom="0" header="0.51181102362204722" footer="0.51181102362204722"/>
  <pageSetup paperSize="9" scale="64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3"/>
  <sheetViews>
    <sheetView zoomScale="95" zoomScaleNormal="95" workbookViewId="0">
      <selection activeCell="E7" sqref="E7"/>
    </sheetView>
  </sheetViews>
  <sheetFormatPr defaultColWidth="8.77734375" defaultRowHeight="15"/>
  <cols>
    <col min="1" max="2" width="7.6640625" style="47" customWidth="1"/>
    <col min="3" max="3" width="7.44140625" style="141" customWidth="1"/>
    <col min="4" max="5" width="7.5546875" style="141" customWidth="1"/>
    <col min="6" max="7" width="7.44140625" style="141" customWidth="1"/>
    <col min="8" max="8" width="9.21875" style="141" customWidth="1"/>
    <col min="9" max="10" width="7.44140625" style="141" customWidth="1"/>
    <col min="11" max="11" width="8.33203125" style="141" customWidth="1"/>
    <col min="12" max="12" width="8.5546875" style="141" customWidth="1"/>
    <col min="13" max="13" width="7.44140625" style="141" customWidth="1"/>
    <col min="14" max="14" width="9.21875" style="141" customWidth="1"/>
    <col min="15" max="15" width="7.44140625" style="141" customWidth="1"/>
    <col min="16" max="16" width="8.44140625" style="141" customWidth="1"/>
    <col min="17" max="17" width="9" style="141" customWidth="1"/>
    <col min="18" max="18" width="8.33203125" style="141" bestFit="1" customWidth="1"/>
    <col min="19" max="19" width="8.5546875" style="141" customWidth="1"/>
    <col min="20" max="20" width="8.77734375" style="141" customWidth="1"/>
    <col min="21" max="21" width="8.33203125" style="141" bestFit="1" customWidth="1"/>
    <col min="22" max="22" width="7.44140625" style="141" customWidth="1"/>
    <col min="23" max="23" width="8" style="141" customWidth="1"/>
    <col min="24" max="24" width="9" style="141" customWidth="1"/>
    <col min="25" max="25" width="10.5546875" style="141" bestFit="1" customWidth="1"/>
    <col min="26" max="26" width="10.88671875" style="141" customWidth="1"/>
    <col min="27" max="16384" width="8.77734375" style="141"/>
  </cols>
  <sheetData>
    <row r="1" spans="1:26" ht="24.75" customHeight="1">
      <c r="A1" s="411" t="s">
        <v>177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</row>
    <row r="2" spans="1:26" ht="9" customHeight="1">
      <c r="A2" s="120"/>
      <c r="B2" s="120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1:26" s="167" customFormat="1" ht="18" customHeight="1">
      <c r="A3" s="172" t="s">
        <v>143</v>
      </c>
      <c r="B3" s="171" t="s">
        <v>260</v>
      </c>
      <c r="C3" s="170"/>
      <c r="D3" s="169"/>
      <c r="E3" s="169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</row>
    <row r="4" spans="1:26" ht="5.25" customHeight="1" thickBot="1">
      <c r="A4" s="120"/>
      <c r="B4" s="120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</row>
    <row r="5" spans="1:26" s="47" customFormat="1" ht="25.5" customHeight="1" thickTop="1">
      <c r="A5" s="194"/>
      <c r="B5" s="193" t="s">
        <v>171</v>
      </c>
      <c r="C5" s="412">
        <v>1</v>
      </c>
      <c r="D5" s="413"/>
      <c r="E5" s="414"/>
      <c r="F5" s="424">
        <v>3</v>
      </c>
      <c r="G5" s="424"/>
      <c r="H5" s="424"/>
      <c r="I5" s="424"/>
      <c r="J5" s="424"/>
      <c r="K5" s="424"/>
      <c r="L5" s="416">
        <v>5</v>
      </c>
      <c r="M5" s="416"/>
      <c r="N5" s="417"/>
      <c r="O5" s="415" t="s">
        <v>170</v>
      </c>
      <c r="P5" s="416"/>
      <c r="Q5" s="416"/>
      <c r="R5" s="417"/>
      <c r="S5" s="412">
        <v>6</v>
      </c>
      <c r="T5" s="414"/>
      <c r="U5" s="415">
        <v>7</v>
      </c>
      <c r="V5" s="416"/>
      <c r="W5" s="417"/>
      <c r="X5" s="220" t="s">
        <v>169</v>
      </c>
      <c r="Y5" s="425" t="s">
        <v>168</v>
      </c>
    </row>
    <row r="6" spans="1:26" s="47" customFormat="1" ht="25.5" customHeight="1">
      <c r="A6" s="191" t="s">
        <v>167</v>
      </c>
      <c r="B6" s="190"/>
      <c r="C6" s="186" t="s">
        <v>166</v>
      </c>
      <c r="D6" s="186" t="s">
        <v>165</v>
      </c>
      <c r="E6" s="186" t="s">
        <v>164</v>
      </c>
      <c r="F6" s="186" t="s">
        <v>163</v>
      </c>
      <c r="G6" s="186" t="s">
        <v>162</v>
      </c>
      <c r="H6" s="186" t="s">
        <v>161</v>
      </c>
      <c r="I6" s="186" t="s">
        <v>160</v>
      </c>
      <c r="J6" s="186" t="s">
        <v>159</v>
      </c>
      <c r="K6" s="186" t="s">
        <v>158</v>
      </c>
      <c r="L6" s="186" t="s">
        <v>157</v>
      </c>
      <c r="M6" s="186" t="s">
        <v>156</v>
      </c>
      <c r="N6" s="186" t="s">
        <v>155</v>
      </c>
      <c r="O6" s="186" t="s">
        <v>154</v>
      </c>
      <c r="P6" s="186" t="s">
        <v>153</v>
      </c>
      <c r="Q6" s="186" t="s">
        <v>152</v>
      </c>
      <c r="R6" s="186" t="s">
        <v>151</v>
      </c>
      <c r="S6" s="186" t="s">
        <v>178</v>
      </c>
      <c r="T6" s="186" t="s">
        <v>179</v>
      </c>
      <c r="U6" s="186" t="s">
        <v>150</v>
      </c>
      <c r="V6" s="186" t="s">
        <v>149</v>
      </c>
      <c r="W6" s="185" t="s">
        <v>148</v>
      </c>
      <c r="X6" s="185" t="s">
        <v>147</v>
      </c>
      <c r="Y6" s="426"/>
    </row>
    <row r="7" spans="1:26" s="47" customFormat="1" ht="34.5" customHeight="1">
      <c r="A7" s="427" t="s">
        <v>146</v>
      </c>
      <c r="B7" s="118" t="s">
        <v>143</v>
      </c>
      <c r="C7" s="186"/>
      <c r="D7" s="186"/>
      <c r="E7" s="186">
        <f>2+1</f>
        <v>3</v>
      </c>
      <c r="F7" s="186"/>
      <c r="G7" s="186">
        <f>7+8+7</f>
        <v>22</v>
      </c>
      <c r="H7" s="186">
        <f>1</f>
        <v>1</v>
      </c>
      <c r="I7" s="186"/>
      <c r="J7" s="186"/>
      <c r="K7" s="186"/>
      <c r="L7" s="186">
        <f>1</f>
        <v>1</v>
      </c>
      <c r="M7" s="186">
        <f>7+2+6</f>
        <v>15</v>
      </c>
      <c r="N7" s="186">
        <f>1+3</f>
        <v>4</v>
      </c>
      <c r="O7" s="186">
        <f>4+1+2</f>
        <v>7</v>
      </c>
      <c r="P7" s="186">
        <f>4+6+1</f>
        <v>11</v>
      </c>
      <c r="Q7" s="186">
        <f>1+2</f>
        <v>3</v>
      </c>
      <c r="R7" s="186">
        <f>5+3</f>
        <v>8</v>
      </c>
      <c r="S7" s="186">
        <f>1</f>
        <v>1</v>
      </c>
      <c r="T7" s="186">
        <f>1</f>
        <v>1</v>
      </c>
      <c r="U7" s="186">
        <f>1</f>
        <v>1</v>
      </c>
      <c r="V7" s="186">
        <f>2+2</f>
        <v>4</v>
      </c>
      <c r="W7" s="186"/>
      <c r="X7" s="186">
        <f>1</f>
        <v>1</v>
      </c>
      <c r="Y7" s="50">
        <f>SUM(C7:X7)</f>
        <v>83</v>
      </c>
    </row>
    <row r="8" spans="1:26" s="47" customFormat="1" ht="34.5" customHeight="1">
      <c r="A8" s="428"/>
      <c r="B8" s="118" t="s">
        <v>105</v>
      </c>
      <c r="C8" s="219" t="e">
        <f t="shared" ref="C8:K8" si="0">C7/C20</f>
        <v>#DIV/0!</v>
      </c>
      <c r="D8" s="219" t="e">
        <f t="shared" si="0"/>
        <v>#DIV/0!</v>
      </c>
      <c r="E8" s="219">
        <f t="shared" si="0"/>
        <v>0.3</v>
      </c>
      <c r="F8" s="216" t="e">
        <f t="shared" si="0"/>
        <v>#DIV/0!</v>
      </c>
      <c r="G8" s="216">
        <f t="shared" si="0"/>
        <v>0.46808510638297873</v>
      </c>
      <c r="H8" s="216">
        <f t="shared" si="0"/>
        <v>1</v>
      </c>
      <c r="I8" s="217" t="e">
        <f t="shared" si="0"/>
        <v>#DIV/0!</v>
      </c>
      <c r="J8" s="216" t="e">
        <f t="shared" si="0"/>
        <v>#DIV/0!</v>
      </c>
      <c r="K8" s="218">
        <f t="shared" si="0"/>
        <v>0</v>
      </c>
      <c r="L8" s="216">
        <f t="shared" ref="L8:T8" si="1">L7/L20</f>
        <v>0.5</v>
      </c>
      <c r="M8" s="216">
        <f t="shared" si="1"/>
        <v>0.26315789473684209</v>
      </c>
      <c r="N8" s="218">
        <f t="shared" si="1"/>
        <v>0.66666666666666663</v>
      </c>
      <c r="O8" s="216">
        <f>O7/O20</f>
        <v>0.36842105263157893</v>
      </c>
      <c r="P8" s="216">
        <f t="shared" si="1"/>
        <v>0.40740740740740738</v>
      </c>
      <c r="Q8" s="216">
        <f t="shared" si="1"/>
        <v>0.5</v>
      </c>
      <c r="R8" s="216">
        <f t="shared" si="1"/>
        <v>0.66666666666666663</v>
      </c>
      <c r="S8" s="216">
        <f t="shared" si="1"/>
        <v>0.25</v>
      </c>
      <c r="T8" s="216">
        <f t="shared" si="1"/>
        <v>1</v>
      </c>
      <c r="U8" s="216">
        <f>U7/U20</f>
        <v>0.33333333333333331</v>
      </c>
      <c r="V8" s="216">
        <f>V7/V20</f>
        <v>0.44444444444444442</v>
      </c>
      <c r="W8" s="217" t="e">
        <f>W7/W20</f>
        <v>#DIV/0!</v>
      </c>
      <c r="X8" s="216">
        <f>X7/X20</f>
        <v>1</v>
      </c>
      <c r="Y8" s="210">
        <f>Y7/Y20</f>
        <v>0.40291262135922329</v>
      </c>
    </row>
    <row r="9" spans="1:26" s="47" customFormat="1" ht="34.5" customHeight="1">
      <c r="A9" s="427" t="s">
        <v>145</v>
      </c>
      <c r="B9" s="118" t="s">
        <v>143</v>
      </c>
      <c r="C9" s="215"/>
      <c r="D9" s="215"/>
      <c r="E9" s="215">
        <f>2+1+1</f>
        <v>4</v>
      </c>
      <c r="F9" s="215"/>
      <c r="G9" s="215">
        <f>8+2+5</f>
        <v>15</v>
      </c>
      <c r="H9" s="215"/>
      <c r="I9" s="215"/>
      <c r="J9" s="215"/>
      <c r="K9" s="215"/>
      <c r="L9" s="215">
        <f>1</f>
        <v>1</v>
      </c>
      <c r="M9" s="215">
        <f>14+7+6</f>
        <v>27</v>
      </c>
      <c r="N9" s="215"/>
      <c r="O9" s="215">
        <f>4+3</f>
        <v>7</v>
      </c>
      <c r="P9" s="215">
        <f>2+7+1</f>
        <v>10</v>
      </c>
      <c r="Q9" s="215">
        <f>1</f>
        <v>1</v>
      </c>
      <c r="R9" s="215">
        <f>3</f>
        <v>3</v>
      </c>
      <c r="S9" s="215">
        <f>2+1</f>
        <v>3</v>
      </c>
      <c r="T9" s="215"/>
      <c r="U9" s="215">
        <f>1</f>
        <v>1</v>
      </c>
      <c r="V9" s="215">
        <f>1+1</f>
        <v>2</v>
      </c>
      <c r="W9" s="215"/>
      <c r="X9" s="215"/>
      <c r="Y9" s="50">
        <f>SUM(C9:X9)</f>
        <v>74</v>
      </c>
    </row>
    <row r="10" spans="1:26" s="47" customFormat="1" ht="34.5" customHeight="1">
      <c r="A10" s="428"/>
      <c r="B10" s="118" t="s">
        <v>105</v>
      </c>
      <c r="C10" s="211" t="e">
        <f>C8/C20</f>
        <v>#DIV/0!</v>
      </c>
      <c r="D10" s="211" t="e">
        <f t="shared" ref="D10:K10" si="2">D9/D20</f>
        <v>#DIV/0!</v>
      </c>
      <c r="E10" s="211">
        <f t="shared" si="2"/>
        <v>0.4</v>
      </c>
      <c r="F10" s="211" t="e">
        <f t="shared" si="2"/>
        <v>#DIV/0!</v>
      </c>
      <c r="G10" s="211">
        <f t="shared" si="2"/>
        <v>0.31914893617021278</v>
      </c>
      <c r="H10" s="211">
        <f t="shared" si="2"/>
        <v>0</v>
      </c>
      <c r="I10" s="211" t="e">
        <f t="shared" si="2"/>
        <v>#DIV/0!</v>
      </c>
      <c r="J10" s="213" t="e">
        <f t="shared" si="2"/>
        <v>#DIV/0!</v>
      </c>
      <c r="K10" s="211">
        <f t="shared" si="2"/>
        <v>0</v>
      </c>
      <c r="L10" s="211">
        <f t="shared" ref="L10:T10" si="3">L9/L20</f>
        <v>0.5</v>
      </c>
      <c r="M10" s="211">
        <f t="shared" si="3"/>
        <v>0.47368421052631576</v>
      </c>
      <c r="N10" s="211">
        <f t="shared" si="3"/>
        <v>0</v>
      </c>
      <c r="O10" s="214">
        <f t="shared" si="3"/>
        <v>0.36842105263157893</v>
      </c>
      <c r="P10" s="213">
        <f t="shared" si="3"/>
        <v>0.37037037037037035</v>
      </c>
      <c r="Q10" s="211">
        <f t="shared" si="3"/>
        <v>0.16666666666666666</v>
      </c>
      <c r="R10" s="211">
        <f t="shared" si="3"/>
        <v>0.25</v>
      </c>
      <c r="S10" s="211">
        <f t="shared" si="3"/>
        <v>0.75</v>
      </c>
      <c r="T10" s="211">
        <f t="shared" si="3"/>
        <v>0</v>
      </c>
      <c r="U10" s="211">
        <f>U9/U20</f>
        <v>0.33333333333333331</v>
      </c>
      <c r="V10" s="211">
        <f>V9/V20</f>
        <v>0.22222222222222221</v>
      </c>
      <c r="W10" s="213" t="e">
        <f>W9/W20</f>
        <v>#DIV/0!</v>
      </c>
      <c r="X10" s="211">
        <f>X9/X20</f>
        <v>0</v>
      </c>
      <c r="Y10" s="210">
        <f>Y9/Y20</f>
        <v>0.35922330097087379</v>
      </c>
    </row>
    <row r="11" spans="1:26" s="47" customFormat="1" ht="34.5" customHeight="1">
      <c r="A11" s="427" t="s">
        <v>144</v>
      </c>
      <c r="B11" s="118" t="s">
        <v>143</v>
      </c>
      <c r="C11" s="208"/>
      <c r="D11" s="208"/>
      <c r="E11" s="208">
        <f>1+2</f>
        <v>3</v>
      </c>
      <c r="F11" s="208"/>
      <c r="G11" s="208">
        <f>5+2</f>
        <v>7</v>
      </c>
      <c r="H11" s="208"/>
      <c r="I11" s="208"/>
      <c r="J11" s="208"/>
      <c r="K11" s="208">
        <f>1</f>
        <v>1</v>
      </c>
      <c r="L11" s="208"/>
      <c r="M11" s="208">
        <f>8+7</f>
        <v>15</v>
      </c>
      <c r="N11" s="208">
        <f>1</f>
        <v>1</v>
      </c>
      <c r="O11" s="208">
        <f>2+3</f>
        <v>5</v>
      </c>
      <c r="P11" s="208">
        <f>4+2</f>
        <v>6</v>
      </c>
      <c r="Q11" s="208">
        <f>1+1</f>
        <v>2</v>
      </c>
      <c r="R11" s="208">
        <f>1</f>
        <v>1</v>
      </c>
      <c r="S11" s="208"/>
      <c r="T11" s="208"/>
      <c r="U11" s="208">
        <f>1</f>
        <v>1</v>
      </c>
      <c r="V11" s="208">
        <f>2</f>
        <v>2</v>
      </c>
      <c r="W11" s="208"/>
      <c r="X11" s="212"/>
      <c r="Y11" s="50">
        <f>SUM(C11:X11)</f>
        <v>44</v>
      </c>
    </row>
    <row r="12" spans="1:26" s="47" customFormat="1" ht="34.5" customHeight="1">
      <c r="A12" s="428"/>
      <c r="B12" s="118" t="s">
        <v>105</v>
      </c>
      <c r="C12" s="211" t="e">
        <f>C10/C20</f>
        <v>#DIV/0!</v>
      </c>
      <c r="D12" s="211" t="e">
        <f t="shared" ref="D12:K12" si="4">D11/D20</f>
        <v>#DIV/0!</v>
      </c>
      <c r="E12" s="211">
        <f t="shared" si="4"/>
        <v>0.3</v>
      </c>
      <c r="F12" s="211" t="e">
        <f t="shared" si="4"/>
        <v>#DIV/0!</v>
      </c>
      <c r="G12" s="211">
        <f t="shared" si="4"/>
        <v>0.14893617021276595</v>
      </c>
      <c r="H12" s="211">
        <f t="shared" si="4"/>
        <v>0</v>
      </c>
      <c r="I12" s="211" t="e">
        <f t="shared" si="4"/>
        <v>#DIV/0!</v>
      </c>
      <c r="J12" s="211" t="e">
        <f t="shared" si="4"/>
        <v>#DIV/0!</v>
      </c>
      <c r="K12" s="211">
        <f t="shared" si="4"/>
        <v>1</v>
      </c>
      <c r="L12" s="211">
        <f t="shared" ref="L12:T12" si="5">L11/L20</f>
        <v>0</v>
      </c>
      <c r="M12" s="211">
        <f t="shared" si="5"/>
        <v>0.26315789473684209</v>
      </c>
      <c r="N12" s="211">
        <f t="shared" si="5"/>
        <v>0.16666666666666666</v>
      </c>
      <c r="O12" s="211">
        <f t="shared" si="5"/>
        <v>0.26315789473684209</v>
      </c>
      <c r="P12" s="211">
        <f t="shared" si="5"/>
        <v>0.22222222222222221</v>
      </c>
      <c r="Q12" s="211">
        <f t="shared" si="5"/>
        <v>0.33333333333333331</v>
      </c>
      <c r="R12" s="211">
        <f t="shared" si="5"/>
        <v>8.3333333333333329E-2</v>
      </c>
      <c r="S12" s="211">
        <f t="shared" si="5"/>
        <v>0</v>
      </c>
      <c r="T12" s="211">
        <f t="shared" si="5"/>
        <v>0</v>
      </c>
      <c r="U12" s="211">
        <f>U11/U20</f>
        <v>0.33333333333333331</v>
      </c>
      <c r="V12" s="211">
        <f>V11/V20</f>
        <v>0.22222222222222221</v>
      </c>
      <c r="W12" s="211" t="e">
        <f>W11/W20</f>
        <v>#DIV/0!</v>
      </c>
      <c r="X12" s="211">
        <f>X11/X20</f>
        <v>0</v>
      </c>
      <c r="Y12" s="210">
        <f>Y11/Y20</f>
        <v>0.21359223300970873</v>
      </c>
    </row>
    <row r="13" spans="1:26" s="47" customFormat="1" ht="34.5" customHeight="1">
      <c r="A13" s="427" t="s">
        <v>185</v>
      </c>
      <c r="B13" s="118" t="s">
        <v>143</v>
      </c>
      <c r="C13" s="208"/>
      <c r="D13" s="208"/>
      <c r="E13" s="208"/>
      <c r="F13" s="208"/>
      <c r="G13" s="208">
        <f>2</f>
        <v>2</v>
      </c>
      <c r="H13" s="208"/>
      <c r="I13" s="208"/>
      <c r="J13" s="208"/>
      <c r="K13" s="208"/>
      <c r="L13" s="208"/>
      <c r="M13" s="209"/>
      <c r="N13" s="209">
        <f>1</f>
        <v>1</v>
      </c>
      <c r="O13" s="209"/>
      <c r="P13" s="209"/>
      <c r="Q13" s="209"/>
      <c r="R13" s="208"/>
      <c r="S13" s="208"/>
      <c r="T13" s="208"/>
      <c r="U13" s="208"/>
      <c r="V13" s="208">
        <v>1</v>
      </c>
      <c r="W13" s="208"/>
      <c r="X13" s="208"/>
      <c r="Y13" s="50">
        <f>SUM(C13:X13)</f>
        <v>4</v>
      </c>
    </row>
    <row r="14" spans="1:26" s="47" customFormat="1" ht="34.5" customHeight="1">
      <c r="A14" s="428"/>
      <c r="B14" s="118" t="s">
        <v>105</v>
      </c>
      <c r="C14" s="207" t="e">
        <f t="shared" ref="C14:L14" si="6">C13/C20</f>
        <v>#DIV/0!</v>
      </c>
      <c r="D14" s="207" t="e">
        <f t="shared" si="6"/>
        <v>#DIV/0!</v>
      </c>
      <c r="E14" s="207">
        <f t="shared" si="6"/>
        <v>0</v>
      </c>
      <c r="F14" s="207" t="e">
        <f t="shared" si="6"/>
        <v>#DIV/0!</v>
      </c>
      <c r="G14" s="207">
        <f t="shared" si="6"/>
        <v>4.2553191489361701E-2</v>
      </c>
      <c r="H14" s="207">
        <f t="shared" si="6"/>
        <v>0</v>
      </c>
      <c r="I14" s="207" t="e">
        <f t="shared" si="6"/>
        <v>#DIV/0!</v>
      </c>
      <c r="J14" s="207" t="e">
        <f t="shared" si="6"/>
        <v>#DIV/0!</v>
      </c>
      <c r="K14" s="207">
        <f t="shared" si="6"/>
        <v>0</v>
      </c>
      <c r="L14" s="207">
        <f t="shared" si="6"/>
        <v>0</v>
      </c>
      <c r="M14" s="207">
        <f t="shared" ref="M14:T14" si="7">M13/M20</f>
        <v>0</v>
      </c>
      <c r="N14" s="207">
        <f t="shared" si="7"/>
        <v>0.16666666666666666</v>
      </c>
      <c r="O14" s="207">
        <f t="shared" si="7"/>
        <v>0</v>
      </c>
      <c r="P14" s="207">
        <f t="shared" si="7"/>
        <v>0</v>
      </c>
      <c r="Q14" s="207">
        <f t="shared" si="7"/>
        <v>0</v>
      </c>
      <c r="R14" s="207">
        <f t="shared" si="7"/>
        <v>0</v>
      </c>
      <c r="S14" s="207">
        <f t="shared" si="7"/>
        <v>0</v>
      </c>
      <c r="T14" s="207">
        <f t="shared" si="7"/>
        <v>0</v>
      </c>
      <c r="U14" s="207">
        <f>U13/U20</f>
        <v>0</v>
      </c>
      <c r="V14" s="207">
        <f>V13/V20</f>
        <v>0.1111111111111111</v>
      </c>
      <c r="W14" s="207" t="e">
        <f>W13/W20</f>
        <v>#DIV/0!</v>
      </c>
      <c r="X14" s="207">
        <f>X13/X20</f>
        <v>0</v>
      </c>
      <c r="Y14" s="206">
        <f>Y13/Y20</f>
        <v>1.9417475728155338E-2</v>
      </c>
    </row>
    <row r="15" spans="1:26" s="47" customFormat="1" ht="34.5" customHeight="1">
      <c r="A15" s="429" t="s">
        <v>184</v>
      </c>
      <c r="B15" s="205" t="s">
        <v>143</v>
      </c>
      <c r="C15" s="204"/>
      <c r="D15" s="204"/>
      <c r="E15" s="204"/>
      <c r="F15" s="204"/>
      <c r="G15" s="204">
        <f>1</f>
        <v>1</v>
      </c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3">
        <f>SUM(C15:X15)</f>
        <v>1</v>
      </c>
      <c r="Z15" s="202"/>
    </row>
    <row r="16" spans="1:26" s="197" customFormat="1" ht="34.5" customHeight="1" thickBot="1">
      <c r="A16" s="430"/>
      <c r="B16" s="201" t="s">
        <v>105</v>
      </c>
      <c r="C16" s="200" t="e">
        <f t="shared" ref="C16:L16" si="8">C15/C20</f>
        <v>#DIV/0!</v>
      </c>
      <c r="D16" s="200" t="e">
        <f t="shared" si="8"/>
        <v>#DIV/0!</v>
      </c>
      <c r="E16" s="200">
        <f t="shared" si="8"/>
        <v>0</v>
      </c>
      <c r="F16" s="200" t="e">
        <f t="shared" si="8"/>
        <v>#DIV/0!</v>
      </c>
      <c r="G16" s="200">
        <f t="shared" si="8"/>
        <v>2.1276595744680851E-2</v>
      </c>
      <c r="H16" s="200">
        <f t="shared" si="8"/>
        <v>0</v>
      </c>
      <c r="I16" s="200" t="e">
        <f t="shared" si="8"/>
        <v>#DIV/0!</v>
      </c>
      <c r="J16" s="200" t="e">
        <f t="shared" si="8"/>
        <v>#DIV/0!</v>
      </c>
      <c r="K16" s="200">
        <f t="shared" si="8"/>
        <v>0</v>
      </c>
      <c r="L16" s="200">
        <f t="shared" si="8"/>
        <v>0</v>
      </c>
      <c r="M16" s="200">
        <f t="shared" ref="M16:T16" si="9">M15/M20</f>
        <v>0</v>
      </c>
      <c r="N16" s="200">
        <f t="shared" si="9"/>
        <v>0</v>
      </c>
      <c r="O16" s="200">
        <f t="shared" si="9"/>
        <v>0</v>
      </c>
      <c r="P16" s="200">
        <f t="shared" si="9"/>
        <v>0</v>
      </c>
      <c r="Q16" s="200">
        <f t="shared" si="9"/>
        <v>0</v>
      </c>
      <c r="R16" s="200">
        <f t="shared" si="9"/>
        <v>0</v>
      </c>
      <c r="S16" s="200">
        <f t="shared" si="9"/>
        <v>0</v>
      </c>
      <c r="T16" s="200">
        <f t="shared" si="9"/>
        <v>0</v>
      </c>
      <c r="U16" s="200">
        <f>U15/U20</f>
        <v>0</v>
      </c>
      <c r="V16" s="200">
        <f>V15/V20</f>
        <v>0</v>
      </c>
      <c r="W16" s="200" t="e">
        <f>W15/W20</f>
        <v>#DIV/0!</v>
      </c>
      <c r="X16" s="199">
        <f>X15/X20</f>
        <v>0</v>
      </c>
      <c r="Y16" s="198">
        <f>Y15/Y20</f>
        <v>4.8543689320388345E-3</v>
      </c>
    </row>
    <row r="17" spans="1:26" ht="15.75" thickTop="1">
      <c r="A17" s="120"/>
      <c r="B17" s="120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</row>
    <row r="18" spans="1:26" s="167" customFormat="1" ht="18.75" customHeight="1">
      <c r="A18" s="172" t="s">
        <v>107</v>
      </c>
      <c r="B18" s="171" t="s">
        <v>142</v>
      </c>
      <c r="C18" s="170"/>
      <c r="D18" s="169"/>
      <c r="E18" s="169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</row>
    <row r="19" spans="1:26" ht="6" customHeight="1" thickBot="1">
      <c r="A19" s="166"/>
      <c r="B19" s="120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</row>
    <row r="20" spans="1:26" s="47" customFormat="1" ht="34.5" customHeight="1" thickTop="1">
      <c r="A20" s="422" t="s">
        <v>106</v>
      </c>
      <c r="B20" s="164" t="s">
        <v>103</v>
      </c>
      <c r="C20" s="163"/>
      <c r="D20" s="163"/>
      <c r="E20" s="163">
        <f>5+2+3</f>
        <v>10</v>
      </c>
      <c r="F20" s="163"/>
      <c r="G20" s="163">
        <f>22+12+13</f>
        <v>47</v>
      </c>
      <c r="H20" s="163">
        <f>1</f>
        <v>1</v>
      </c>
      <c r="I20" s="163"/>
      <c r="J20" s="163"/>
      <c r="K20" s="163">
        <f>1</f>
        <v>1</v>
      </c>
      <c r="L20" s="163">
        <f>1+1</f>
        <v>2</v>
      </c>
      <c r="M20" s="163">
        <f>29+9+19</f>
        <v>57</v>
      </c>
      <c r="N20" s="163">
        <f>1+1+4</f>
        <v>6</v>
      </c>
      <c r="O20" s="163">
        <f>10+1+8</f>
        <v>19</v>
      </c>
      <c r="P20" s="163">
        <f>6+17+4</f>
        <v>27</v>
      </c>
      <c r="Q20" s="163">
        <f>3+3</f>
        <v>6</v>
      </c>
      <c r="R20" s="163">
        <f>5+4+3</f>
        <v>12</v>
      </c>
      <c r="S20" s="163">
        <f>2+2</f>
        <v>4</v>
      </c>
      <c r="T20" s="163">
        <f>1</f>
        <v>1</v>
      </c>
      <c r="U20" s="163">
        <f>3</f>
        <v>3</v>
      </c>
      <c r="V20" s="163">
        <f>5+1+3</f>
        <v>9</v>
      </c>
      <c r="W20" s="140"/>
      <c r="X20" s="140">
        <f>1</f>
        <v>1</v>
      </c>
      <c r="Y20" s="222">
        <f>SUM(C20:X20)</f>
        <v>206</v>
      </c>
      <c r="Z20" s="47">
        <f>Y7+Y9+Y11+Y13+Y15</f>
        <v>206</v>
      </c>
    </row>
    <row r="21" spans="1:26" s="47" customFormat="1" ht="34.5" customHeight="1" thickBot="1">
      <c r="A21" s="423"/>
      <c r="B21" s="162" t="s">
        <v>105</v>
      </c>
      <c r="C21" s="161" t="e">
        <f>C20/C22</f>
        <v>#DIV/0!</v>
      </c>
      <c r="D21" s="161">
        <f t="shared" ref="D21:Y21" si="10">D20/D22</f>
        <v>0</v>
      </c>
      <c r="E21" s="161">
        <f>E20/E22</f>
        <v>7.575757575757576E-2</v>
      </c>
      <c r="F21" s="161" t="e">
        <f t="shared" si="10"/>
        <v>#DIV/0!</v>
      </c>
      <c r="G21" s="161">
        <f t="shared" si="10"/>
        <v>0.10329670329670329</v>
      </c>
      <c r="H21" s="161">
        <f t="shared" si="10"/>
        <v>2.8571428571428571E-2</v>
      </c>
      <c r="I21" s="161" t="e">
        <f t="shared" si="10"/>
        <v>#DIV/0!</v>
      </c>
      <c r="J21" s="161">
        <f t="shared" si="10"/>
        <v>0</v>
      </c>
      <c r="K21" s="161">
        <f t="shared" si="10"/>
        <v>0.25</v>
      </c>
      <c r="L21" s="161">
        <f t="shared" si="10"/>
        <v>0.13333333333333333</v>
      </c>
      <c r="M21" s="161">
        <f t="shared" si="10"/>
        <v>8.5972850678733032E-2</v>
      </c>
      <c r="N21" s="161">
        <f t="shared" si="10"/>
        <v>0.11764705882352941</v>
      </c>
      <c r="O21" s="161">
        <f t="shared" si="10"/>
        <v>9.5959595959595953E-2</v>
      </c>
      <c r="P21" s="161">
        <f t="shared" si="10"/>
        <v>0.10266159695817491</v>
      </c>
      <c r="Q21" s="161">
        <f t="shared" si="10"/>
        <v>5.2173913043478258E-2</v>
      </c>
      <c r="R21" s="161">
        <f t="shared" si="10"/>
        <v>0.11009174311926606</v>
      </c>
      <c r="S21" s="161">
        <f t="shared" si="10"/>
        <v>0.10526315789473684</v>
      </c>
      <c r="T21" s="161">
        <f t="shared" si="10"/>
        <v>9.0909090909090912E-2</v>
      </c>
      <c r="U21" s="161">
        <f t="shared" si="10"/>
        <v>3.4090909090909088E-2</v>
      </c>
      <c r="V21" s="161">
        <f t="shared" si="10"/>
        <v>8.5714285714285715E-2</v>
      </c>
      <c r="W21" s="161">
        <f t="shared" si="10"/>
        <v>0</v>
      </c>
      <c r="X21" s="160">
        <f t="shared" si="10"/>
        <v>5.8823529411764705E-2</v>
      </c>
      <c r="Y21" s="159">
        <f t="shared" si="10"/>
        <v>8.7734241908006813E-2</v>
      </c>
    </row>
    <row r="22" spans="1:26" s="47" customFormat="1" ht="34.5" customHeight="1" thickTop="1" thickBot="1">
      <c r="A22" s="158" t="s">
        <v>104</v>
      </c>
      <c r="B22" s="157" t="s">
        <v>103</v>
      </c>
      <c r="C22" s="156"/>
      <c r="D22" s="156">
        <f>1+7+1+2+5</f>
        <v>16</v>
      </c>
      <c r="E22" s="156">
        <f>7+44+13+68</f>
        <v>132</v>
      </c>
      <c r="F22" s="156"/>
      <c r="G22" s="156">
        <f>60+154+25+72+144</f>
        <v>455</v>
      </c>
      <c r="H22" s="156">
        <f>4+20+3+8</f>
        <v>35</v>
      </c>
      <c r="I22" s="156"/>
      <c r="J22" s="156">
        <f>1+7+1+5+7</f>
        <v>21</v>
      </c>
      <c r="K22" s="156">
        <f>1+1+2</f>
        <v>4</v>
      </c>
      <c r="L22" s="156">
        <f>1+9+5</f>
        <v>15</v>
      </c>
      <c r="M22" s="156">
        <f>63+277+19+111+193</f>
        <v>663</v>
      </c>
      <c r="N22" s="156">
        <f>3+12+3+10+23</f>
        <v>51</v>
      </c>
      <c r="O22" s="156">
        <f>22+64+13+35+64</f>
        <v>198</v>
      </c>
      <c r="P22" s="156">
        <f>6+69+17+110+61</f>
        <v>263</v>
      </c>
      <c r="Q22" s="156">
        <f>6+43+2+19+45</f>
        <v>115</v>
      </c>
      <c r="R22" s="156">
        <f>0+45+2+34+28</f>
        <v>109</v>
      </c>
      <c r="S22" s="156">
        <f>0+13+11+14</f>
        <v>38</v>
      </c>
      <c r="T22" s="156">
        <f>0+6+1+4</f>
        <v>11</v>
      </c>
      <c r="U22" s="156">
        <f>3+49+1+16+19</f>
        <v>88</v>
      </c>
      <c r="V22" s="156">
        <f>5+41+20+39</f>
        <v>105</v>
      </c>
      <c r="W22" s="156">
        <f>0+7+3+2</f>
        <v>12</v>
      </c>
      <c r="X22" s="173">
        <f>0+5+4+8</f>
        <v>17</v>
      </c>
      <c r="Y22" s="221">
        <f>SUM(C22:X22)</f>
        <v>2348</v>
      </c>
    </row>
    <row r="23" spans="1:26" s="47" customFormat="1" ht="30" customHeight="1" thickTop="1">
      <c r="A23" s="155"/>
      <c r="B23" s="155"/>
      <c r="C23" s="154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2"/>
    </row>
    <row r="24" spans="1:26" s="47" customFormat="1" ht="34.5" customHeight="1">
      <c r="A24" s="155"/>
      <c r="B24" s="155"/>
      <c r="C24" s="154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2"/>
    </row>
    <row r="25" spans="1:26" s="47" customFormat="1" ht="34.5" customHeight="1">
      <c r="A25" s="155"/>
      <c r="B25" s="155"/>
      <c r="C25" s="154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2"/>
    </row>
    <row r="26" spans="1:26" ht="15.75" hidden="1" thickBot="1">
      <c r="U26" s="406">
        <f>SUM(U20:W20)</f>
        <v>12</v>
      </c>
      <c r="V26" s="406"/>
      <c r="W26" s="151">
        <f>SUM(U22:W22)</f>
        <v>205</v>
      </c>
      <c r="X26" s="150"/>
    </row>
    <row r="27" spans="1:26" ht="15.75" hidden="1" thickBot="1">
      <c r="A27" s="407" t="s">
        <v>102</v>
      </c>
      <c r="B27" s="408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8"/>
      <c r="Y27" s="147">
        <f>SUM(C27:X27)</f>
        <v>0</v>
      </c>
    </row>
    <row r="28" spans="1:26" s="144" customFormat="1" hidden="1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224"/>
      <c r="U28" s="409">
        <f>U26</f>
        <v>12</v>
      </c>
      <c r="V28" s="409"/>
      <c r="W28" s="146">
        <f>W26-U27-V27-W27</f>
        <v>205</v>
      </c>
      <c r="X28" s="145"/>
      <c r="Y28" s="145"/>
    </row>
    <row r="29" spans="1:26" hidden="1">
      <c r="U29" s="410"/>
      <c r="V29" s="410"/>
      <c r="W29" s="143">
        <f>U28/W28</f>
        <v>5.8536585365853662E-2</v>
      </c>
    </row>
    <row r="30" spans="1:26" hidden="1">
      <c r="C30" s="142">
        <f t="shared" ref="C30:H30" si="11">C20/$Y20</f>
        <v>0</v>
      </c>
      <c r="D30" s="142">
        <f t="shared" si="11"/>
        <v>0</v>
      </c>
      <c r="E30" s="142">
        <f t="shared" si="11"/>
        <v>4.8543689320388349E-2</v>
      </c>
      <c r="F30" s="142">
        <f t="shared" si="11"/>
        <v>0</v>
      </c>
      <c r="G30" s="142">
        <f t="shared" si="11"/>
        <v>0.22815533980582525</v>
      </c>
      <c r="H30" s="142">
        <f t="shared" si="11"/>
        <v>4.8543689320388345E-3</v>
      </c>
      <c r="I30" s="142">
        <f t="shared" ref="I30:X30" si="12">I20/$Y20</f>
        <v>0</v>
      </c>
      <c r="J30" s="142">
        <f t="shared" si="12"/>
        <v>0</v>
      </c>
      <c r="K30" s="142">
        <f t="shared" si="12"/>
        <v>4.8543689320388345E-3</v>
      </c>
      <c r="L30" s="142">
        <f t="shared" si="12"/>
        <v>9.7087378640776691E-3</v>
      </c>
      <c r="M30" s="142">
        <f t="shared" si="12"/>
        <v>0.27669902912621358</v>
      </c>
      <c r="N30" s="142">
        <f t="shared" si="12"/>
        <v>2.9126213592233011E-2</v>
      </c>
      <c r="O30" s="142">
        <f t="shared" si="12"/>
        <v>9.2233009708737865E-2</v>
      </c>
      <c r="P30" s="142">
        <f t="shared" si="12"/>
        <v>0.13106796116504854</v>
      </c>
      <c r="Q30" s="142">
        <f t="shared" si="12"/>
        <v>2.9126213592233011E-2</v>
      </c>
      <c r="R30" s="142">
        <f t="shared" si="12"/>
        <v>5.8252427184466021E-2</v>
      </c>
      <c r="S30" s="142">
        <f t="shared" si="12"/>
        <v>1.9417475728155338E-2</v>
      </c>
      <c r="T30" s="142">
        <f t="shared" si="12"/>
        <v>4.8543689320388345E-3</v>
      </c>
      <c r="U30" s="142">
        <f t="shared" si="12"/>
        <v>1.4563106796116505E-2</v>
      </c>
      <c r="V30" s="142">
        <f t="shared" si="12"/>
        <v>4.3689320388349516E-2</v>
      </c>
      <c r="W30" s="142">
        <f t="shared" si="12"/>
        <v>0</v>
      </c>
      <c r="X30" s="142">
        <f t="shared" si="12"/>
        <v>4.8543689320388345E-3</v>
      </c>
    </row>
    <row r="31" spans="1:26" hidden="1"/>
    <row r="32" spans="1:26" hidden="1"/>
    <row r="33" hidden="1"/>
  </sheetData>
  <dataConsolidate>
    <dataRefs count="2">
      <dataRef ref="D15:V15" sheet="101.03-合計" r:id="rId1"/>
      <dataRef ref="D11:V11" sheet="101.04" r:id="rId2"/>
    </dataRefs>
  </dataConsolidate>
  <mergeCells count="18">
    <mergeCell ref="U26:V26"/>
    <mergeCell ref="A27:B27"/>
    <mergeCell ref="U28:V28"/>
    <mergeCell ref="U29:V29"/>
    <mergeCell ref="A7:A8"/>
    <mergeCell ref="A9:A10"/>
    <mergeCell ref="A11:A12"/>
    <mergeCell ref="A13:A14"/>
    <mergeCell ref="A15:A16"/>
    <mergeCell ref="A20:A21"/>
    <mergeCell ref="A1:Y1"/>
    <mergeCell ref="C5:E5"/>
    <mergeCell ref="F5:K5"/>
    <mergeCell ref="L5:N5"/>
    <mergeCell ref="O5:R5"/>
    <mergeCell ref="U5:W5"/>
    <mergeCell ref="Y5:Y6"/>
    <mergeCell ref="S5:T5"/>
  </mergeCells>
  <phoneticPr fontId="3" type="noConversion"/>
  <printOptions horizontalCentered="1"/>
  <pageMargins left="0" right="0" top="0" bottom="0" header="0.51181102362204722" footer="0.51181102362204722"/>
  <pageSetup paperSize="9" scale="59" orientation="landscape" r:id="rId3"/>
  <headerFooter alignWithMargins="0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22"/>
  <sheetViews>
    <sheetView workbookViewId="0">
      <pane xSplit="1" ySplit="4" topLeftCell="B14" activePane="bottomRight" state="frozen"/>
      <selection activeCell="H28" sqref="H28"/>
      <selection pane="topRight" activeCell="H28" sqref="H28"/>
      <selection pane="bottomLeft" activeCell="H28" sqref="H28"/>
      <selection pane="bottomRight" activeCell="S17" sqref="S17"/>
    </sheetView>
  </sheetViews>
  <sheetFormatPr defaultColWidth="8.77734375" defaultRowHeight="19.5" customHeight="1"/>
  <cols>
    <col min="1" max="1" width="5.33203125" style="47" customWidth="1"/>
    <col min="2" max="2" width="5.5546875" style="47" customWidth="1"/>
    <col min="3" max="3" width="5.88671875" style="47" customWidth="1"/>
    <col min="4" max="4" width="5.77734375" style="47" customWidth="1"/>
    <col min="5" max="5" width="5.88671875" style="47" customWidth="1"/>
    <col min="6" max="6" width="5.77734375" style="47" customWidth="1"/>
    <col min="7" max="7" width="6" style="47" customWidth="1"/>
    <col min="8" max="9" width="5.109375" style="47" hidden="1" customWidth="1"/>
    <col min="10" max="10" width="5.5546875" style="47" customWidth="1"/>
    <col min="11" max="11" width="5.33203125" style="47" customWidth="1"/>
    <col min="12" max="12" width="6.109375" style="47" hidden="1" customWidth="1"/>
    <col min="13" max="13" width="5.109375" style="47" hidden="1" customWidth="1"/>
    <col min="14" max="14" width="5.5546875" style="47" customWidth="1"/>
    <col min="15" max="15" width="5.33203125" style="47" customWidth="1"/>
    <col min="16" max="17" width="5.109375" style="47" hidden="1" customWidth="1"/>
    <col min="18" max="18" width="5.33203125" style="47" customWidth="1"/>
    <col min="19" max="19" width="5.5546875" style="47" customWidth="1"/>
    <col min="20" max="20" width="5.109375" style="47" hidden="1" customWidth="1"/>
    <col min="21" max="21" width="5.88671875" style="47" hidden="1" customWidth="1"/>
    <col min="22" max="23" width="5.44140625" style="47" customWidth="1"/>
    <col min="24" max="24" width="5.109375" style="47" hidden="1" customWidth="1"/>
    <col min="25" max="25" width="6.109375" style="47" hidden="1" customWidth="1"/>
    <col min="26" max="27" width="5.109375" style="47" customWidth="1"/>
    <col min="28" max="28" width="5.109375" style="47" hidden="1" customWidth="1"/>
    <col min="29" max="29" width="5.77734375" style="47" hidden="1" customWidth="1"/>
    <col min="30" max="31" width="5.109375" style="47" customWidth="1"/>
    <col min="32" max="32" width="5.109375" style="47" hidden="1" customWidth="1"/>
    <col min="33" max="33" width="5.77734375" style="47" hidden="1" customWidth="1"/>
    <col min="34" max="34" width="5.109375" style="47" customWidth="1"/>
    <col min="35" max="35" width="5.6640625" style="47" customWidth="1"/>
    <col min="36" max="36" width="5.109375" style="47" hidden="1" customWidth="1"/>
    <col min="37" max="37" width="5.33203125" style="47" hidden="1" customWidth="1"/>
    <col min="38" max="39" width="5.109375" style="47" customWidth="1"/>
    <col min="40" max="41" width="5.33203125" style="47" hidden="1" customWidth="1"/>
    <col min="42" max="43" width="5.109375" style="47" customWidth="1"/>
    <col min="44" max="45" width="6.77734375" style="47" hidden="1" customWidth="1"/>
    <col min="46" max="47" width="5.5546875" style="47" customWidth="1"/>
    <col min="48" max="48" width="6.33203125" style="47" customWidth="1"/>
    <col min="49" max="49" width="6.88671875" style="47" customWidth="1"/>
    <col min="50" max="16384" width="8.77734375" style="47"/>
  </cols>
  <sheetData>
    <row r="1" spans="1:49" s="120" customFormat="1" ht="32.25" customHeight="1">
      <c r="A1" s="436" t="s">
        <v>87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W1" s="437"/>
    </row>
    <row r="2" spans="1:49" s="120" customFormat="1" ht="19.5" customHeight="1" thickBot="1"/>
    <row r="3" spans="1:49" s="62" customFormat="1" ht="25.5" customHeight="1" thickTop="1">
      <c r="A3" s="438" t="s">
        <v>86</v>
      </c>
      <c r="B3" s="431" t="s">
        <v>85</v>
      </c>
      <c r="C3" s="431"/>
      <c r="D3" s="432" t="s">
        <v>74</v>
      </c>
      <c r="E3" s="433"/>
      <c r="F3" s="431" t="s">
        <v>84</v>
      </c>
      <c r="G3" s="431"/>
      <c r="H3" s="432" t="s">
        <v>74</v>
      </c>
      <c r="I3" s="433"/>
      <c r="J3" s="431" t="s">
        <v>83</v>
      </c>
      <c r="K3" s="431"/>
      <c r="L3" s="432" t="s">
        <v>74</v>
      </c>
      <c r="M3" s="433"/>
      <c r="N3" s="431" t="s">
        <v>82</v>
      </c>
      <c r="O3" s="431"/>
      <c r="P3" s="432" t="s">
        <v>74</v>
      </c>
      <c r="Q3" s="433"/>
      <c r="R3" s="431" t="s">
        <v>81</v>
      </c>
      <c r="S3" s="431"/>
      <c r="T3" s="432" t="s">
        <v>74</v>
      </c>
      <c r="U3" s="433"/>
      <c r="V3" s="431" t="s">
        <v>80</v>
      </c>
      <c r="W3" s="431"/>
      <c r="X3" s="432" t="s">
        <v>74</v>
      </c>
      <c r="Y3" s="433"/>
      <c r="Z3" s="431" t="s">
        <v>79</v>
      </c>
      <c r="AA3" s="431"/>
      <c r="AB3" s="432" t="s">
        <v>74</v>
      </c>
      <c r="AC3" s="433"/>
      <c r="AD3" s="431" t="s">
        <v>78</v>
      </c>
      <c r="AE3" s="431"/>
      <c r="AF3" s="432" t="s">
        <v>74</v>
      </c>
      <c r="AG3" s="433"/>
      <c r="AH3" s="431" t="s">
        <v>77</v>
      </c>
      <c r="AI3" s="431"/>
      <c r="AJ3" s="432" t="s">
        <v>74</v>
      </c>
      <c r="AK3" s="433"/>
      <c r="AL3" s="431" t="s">
        <v>76</v>
      </c>
      <c r="AM3" s="431"/>
      <c r="AN3" s="432" t="s">
        <v>74</v>
      </c>
      <c r="AO3" s="433"/>
      <c r="AP3" s="431" t="s">
        <v>75</v>
      </c>
      <c r="AQ3" s="431"/>
      <c r="AR3" s="432" t="s">
        <v>74</v>
      </c>
      <c r="AS3" s="433"/>
      <c r="AT3" s="431" t="s">
        <v>73</v>
      </c>
      <c r="AU3" s="431"/>
      <c r="AV3" s="434" t="s">
        <v>72</v>
      </c>
      <c r="AW3" s="435"/>
    </row>
    <row r="4" spans="1:49" ht="25.5" customHeight="1">
      <c r="A4" s="439"/>
      <c r="B4" s="118" t="s">
        <v>71</v>
      </c>
      <c r="C4" s="118" t="s">
        <v>70</v>
      </c>
      <c r="D4" s="119" t="s">
        <v>71</v>
      </c>
      <c r="E4" s="119" t="s">
        <v>70</v>
      </c>
      <c r="F4" s="118" t="s">
        <v>71</v>
      </c>
      <c r="G4" s="118" t="s">
        <v>70</v>
      </c>
      <c r="H4" s="119" t="s">
        <v>71</v>
      </c>
      <c r="I4" s="119" t="s">
        <v>70</v>
      </c>
      <c r="J4" s="118" t="s">
        <v>71</v>
      </c>
      <c r="K4" s="118" t="s">
        <v>70</v>
      </c>
      <c r="L4" s="119" t="s">
        <v>71</v>
      </c>
      <c r="M4" s="119" t="s">
        <v>70</v>
      </c>
      <c r="N4" s="118" t="s">
        <v>71</v>
      </c>
      <c r="O4" s="118" t="s">
        <v>70</v>
      </c>
      <c r="P4" s="119" t="s">
        <v>71</v>
      </c>
      <c r="Q4" s="119" t="s">
        <v>70</v>
      </c>
      <c r="R4" s="118" t="s">
        <v>71</v>
      </c>
      <c r="S4" s="118" t="s">
        <v>70</v>
      </c>
      <c r="T4" s="119" t="s">
        <v>71</v>
      </c>
      <c r="U4" s="119" t="s">
        <v>70</v>
      </c>
      <c r="V4" s="118" t="s">
        <v>71</v>
      </c>
      <c r="W4" s="118" t="s">
        <v>70</v>
      </c>
      <c r="X4" s="119" t="s">
        <v>71</v>
      </c>
      <c r="Y4" s="119" t="s">
        <v>70</v>
      </c>
      <c r="Z4" s="118" t="s">
        <v>71</v>
      </c>
      <c r="AA4" s="118" t="s">
        <v>70</v>
      </c>
      <c r="AB4" s="119" t="s">
        <v>71</v>
      </c>
      <c r="AC4" s="119" t="s">
        <v>70</v>
      </c>
      <c r="AD4" s="118" t="s">
        <v>71</v>
      </c>
      <c r="AE4" s="118" t="s">
        <v>70</v>
      </c>
      <c r="AF4" s="119" t="s">
        <v>71</v>
      </c>
      <c r="AG4" s="119" t="s">
        <v>70</v>
      </c>
      <c r="AH4" s="118" t="s">
        <v>71</v>
      </c>
      <c r="AI4" s="118" t="s">
        <v>70</v>
      </c>
      <c r="AJ4" s="119" t="s">
        <v>71</v>
      </c>
      <c r="AK4" s="119" t="s">
        <v>70</v>
      </c>
      <c r="AL4" s="118" t="s">
        <v>71</v>
      </c>
      <c r="AM4" s="118" t="s">
        <v>70</v>
      </c>
      <c r="AN4" s="119" t="s">
        <v>71</v>
      </c>
      <c r="AO4" s="119" t="s">
        <v>70</v>
      </c>
      <c r="AP4" s="118" t="s">
        <v>71</v>
      </c>
      <c r="AQ4" s="118" t="s">
        <v>70</v>
      </c>
      <c r="AR4" s="119" t="s">
        <v>71</v>
      </c>
      <c r="AS4" s="119" t="s">
        <v>70</v>
      </c>
      <c r="AT4" s="118" t="s">
        <v>71</v>
      </c>
      <c r="AU4" s="118" t="s">
        <v>70</v>
      </c>
      <c r="AV4" s="117" t="s">
        <v>71</v>
      </c>
      <c r="AW4" s="116" t="s">
        <v>70</v>
      </c>
    </row>
    <row r="5" spans="1:49" s="62" customFormat="1" ht="24.75" customHeight="1">
      <c r="A5" s="89">
        <v>2005</v>
      </c>
      <c r="B5" s="96">
        <v>46</v>
      </c>
      <c r="C5" s="96">
        <v>513</v>
      </c>
      <c r="D5" s="94">
        <f>B5</f>
        <v>46</v>
      </c>
      <c r="E5" s="94">
        <f>C5</f>
        <v>513</v>
      </c>
      <c r="F5" s="96">
        <v>16</v>
      </c>
      <c r="G5" s="96">
        <v>156</v>
      </c>
      <c r="H5" s="94">
        <f>F5+D5</f>
        <v>62</v>
      </c>
      <c r="I5" s="94">
        <f>G5+E5</f>
        <v>669</v>
      </c>
      <c r="J5" s="96">
        <v>44</v>
      </c>
      <c r="K5" s="96">
        <v>430</v>
      </c>
      <c r="L5" s="94">
        <f>J5+H5</f>
        <v>106</v>
      </c>
      <c r="M5" s="104">
        <f>K5+I5</f>
        <v>1099</v>
      </c>
      <c r="N5" s="96">
        <v>40</v>
      </c>
      <c r="O5" s="96">
        <v>464</v>
      </c>
      <c r="P5" s="94">
        <f>B5+F5+J5+N5</f>
        <v>146</v>
      </c>
      <c r="Q5" s="93">
        <f>C5+G5+K5+O5</f>
        <v>1563</v>
      </c>
      <c r="R5" s="96">
        <v>40</v>
      </c>
      <c r="S5" s="96">
        <v>392</v>
      </c>
      <c r="T5" s="94">
        <f>R5+P5</f>
        <v>186</v>
      </c>
      <c r="U5" s="93">
        <f>S5+Q5</f>
        <v>1955</v>
      </c>
      <c r="V5" s="96">
        <v>87</v>
      </c>
      <c r="W5" s="96">
        <v>630</v>
      </c>
      <c r="X5" s="94">
        <f>V5+T5</f>
        <v>273</v>
      </c>
      <c r="Y5" s="94">
        <f>W5+U5</f>
        <v>2585</v>
      </c>
      <c r="Z5" s="96">
        <v>47</v>
      </c>
      <c r="AA5" s="96">
        <v>490</v>
      </c>
      <c r="AB5" s="94">
        <f>Z5+X5</f>
        <v>320</v>
      </c>
      <c r="AC5" s="94">
        <f>Y5+AA5</f>
        <v>3075</v>
      </c>
      <c r="AD5" s="96">
        <v>30</v>
      </c>
      <c r="AE5" s="96">
        <v>258</v>
      </c>
      <c r="AF5" s="94">
        <f>AD5+AB5</f>
        <v>350</v>
      </c>
      <c r="AG5" s="94">
        <f>AE5+AC5</f>
        <v>3333</v>
      </c>
      <c r="AH5" s="96">
        <v>65</v>
      </c>
      <c r="AI5" s="96">
        <v>541</v>
      </c>
      <c r="AJ5" s="94">
        <f>AH5+AF5</f>
        <v>415</v>
      </c>
      <c r="AK5" s="93">
        <f>AG5+AI5</f>
        <v>3874</v>
      </c>
      <c r="AL5" s="96">
        <v>54</v>
      </c>
      <c r="AM5" s="96">
        <v>509</v>
      </c>
      <c r="AN5" s="94">
        <f>AL5+AJ5</f>
        <v>469</v>
      </c>
      <c r="AO5" s="94">
        <f>AM5+AK5</f>
        <v>4383</v>
      </c>
      <c r="AP5" s="96">
        <v>36</v>
      </c>
      <c r="AQ5" s="96">
        <v>390</v>
      </c>
      <c r="AR5" s="94">
        <f>AP5+AN5</f>
        <v>505</v>
      </c>
      <c r="AS5" s="93">
        <f>AQ5+AO5</f>
        <v>4773</v>
      </c>
      <c r="AT5" s="96">
        <v>100</v>
      </c>
      <c r="AU5" s="96">
        <v>735</v>
      </c>
      <c r="AV5" s="103">
        <f>AT5+AP5+AL5+AH5+AD5+Z5+V5+R5+N5+J5+F5+B5</f>
        <v>605</v>
      </c>
      <c r="AW5" s="102">
        <f>AU5+AQ5+AM5+AI5+AE5+AA5+W5+S5+O5+K5+G5+C5</f>
        <v>5508</v>
      </c>
    </row>
    <row r="6" spans="1:49" s="62" customFormat="1" ht="29.25" customHeight="1">
      <c r="A6" s="89">
        <v>2006</v>
      </c>
      <c r="B6" s="96">
        <v>54</v>
      </c>
      <c r="C6" s="96">
        <v>529</v>
      </c>
      <c r="D6" s="94">
        <f>B6</f>
        <v>54</v>
      </c>
      <c r="E6" s="94">
        <f>C6</f>
        <v>529</v>
      </c>
      <c r="F6" s="96">
        <v>20</v>
      </c>
      <c r="G6" s="96">
        <v>221</v>
      </c>
      <c r="H6" s="94">
        <f>F6+D6</f>
        <v>74</v>
      </c>
      <c r="I6" s="94">
        <f>G6+E6</f>
        <v>750</v>
      </c>
      <c r="J6" s="96">
        <v>45</v>
      </c>
      <c r="K6" s="96">
        <v>427</v>
      </c>
      <c r="L6" s="94">
        <f>J6+H6</f>
        <v>119</v>
      </c>
      <c r="M6" s="104">
        <f>K6+I6</f>
        <v>1177</v>
      </c>
      <c r="N6" s="96">
        <v>30</v>
      </c>
      <c r="O6" s="96">
        <v>344</v>
      </c>
      <c r="P6" s="94">
        <f>B6+F6+J6+N6</f>
        <v>149</v>
      </c>
      <c r="Q6" s="93">
        <f>C6+G6+K6+O6</f>
        <v>1521</v>
      </c>
      <c r="R6" s="96">
        <v>35</v>
      </c>
      <c r="S6" s="96">
        <v>372</v>
      </c>
      <c r="T6" s="94">
        <f>R6+P6</f>
        <v>184</v>
      </c>
      <c r="U6" s="93">
        <f>S6+Q6</f>
        <v>1893</v>
      </c>
      <c r="V6" s="96">
        <v>58</v>
      </c>
      <c r="W6" s="96">
        <v>486</v>
      </c>
      <c r="X6" s="94">
        <f>V6+T6</f>
        <v>242</v>
      </c>
      <c r="Y6" s="94">
        <f>W6+U6</f>
        <v>2379</v>
      </c>
      <c r="Z6" s="96">
        <v>48</v>
      </c>
      <c r="AA6" s="96">
        <v>434</v>
      </c>
      <c r="AB6" s="94">
        <f>Z6+X6</f>
        <v>290</v>
      </c>
      <c r="AC6" s="94">
        <f>Y6+AA6</f>
        <v>2813</v>
      </c>
      <c r="AD6" s="96">
        <v>26</v>
      </c>
      <c r="AE6" s="96">
        <v>220</v>
      </c>
      <c r="AF6" s="94">
        <f>AD6+AB6</f>
        <v>316</v>
      </c>
      <c r="AG6" s="94">
        <f>AE6+AC6</f>
        <v>3033</v>
      </c>
      <c r="AH6" s="96">
        <v>20</v>
      </c>
      <c r="AI6" s="96">
        <v>338</v>
      </c>
      <c r="AJ6" s="94">
        <f>AH6+AF6</f>
        <v>336</v>
      </c>
      <c r="AK6" s="93">
        <f>AG6+AI6</f>
        <v>3371</v>
      </c>
      <c r="AL6" s="96">
        <v>44</v>
      </c>
      <c r="AM6" s="96">
        <v>416</v>
      </c>
      <c r="AN6" s="94">
        <f>AL6+AJ6</f>
        <v>380</v>
      </c>
      <c r="AO6" s="94">
        <f>AM6+AK6</f>
        <v>3787</v>
      </c>
      <c r="AP6" s="96">
        <v>57</v>
      </c>
      <c r="AQ6" s="96">
        <v>510</v>
      </c>
      <c r="AR6" s="94">
        <f>AP6+AN6</f>
        <v>437</v>
      </c>
      <c r="AS6" s="93">
        <f>AQ6+AO6</f>
        <v>4297</v>
      </c>
      <c r="AT6" s="96">
        <v>89</v>
      </c>
      <c r="AU6" s="96">
        <v>791</v>
      </c>
      <c r="AV6" s="103">
        <f>AT6+AP6+AL6+AH6+AD6+Z6+V6+R6+N6+J6+F6+B6</f>
        <v>526</v>
      </c>
      <c r="AW6" s="102">
        <f>AU6+AQ6+AM6+AI6+AE6+AA6+W6+S6+O6+K6+G6+C6</f>
        <v>5088</v>
      </c>
    </row>
    <row r="7" spans="1:49" ht="29.25" customHeight="1">
      <c r="A7" s="101" t="s">
        <v>48</v>
      </c>
      <c r="B7" s="82">
        <f t="shared" ref="B7:AW7" si="0">B6/B5-1</f>
        <v>0.17391304347826098</v>
      </c>
      <c r="C7" s="82">
        <f t="shared" si="0"/>
        <v>3.1189083820662766E-2</v>
      </c>
      <c r="D7" s="77">
        <f t="shared" si="0"/>
        <v>0.17391304347826098</v>
      </c>
      <c r="E7" s="77">
        <f t="shared" si="0"/>
        <v>3.1189083820662766E-2</v>
      </c>
      <c r="F7" s="82">
        <f t="shared" si="0"/>
        <v>0.25</v>
      </c>
      <c r="G7" s="82">
        <f t="shared" si="0"/>
        <v>0.41666666666666674</v>
      </c>
      <c r="H7" s="77">
        <f t="shared" si="0"/>
        <v>0.19354838709677424</v>
      </c>
      <c r="I7" s="77">
        <f t="shared" si="0"/>
        <v>0.12107623318385641</v>
      </c>
      <c r="J7" s="82">
        <f t="shared" si="0"/>
        <v>2.2727272727272707E-2</v>
      </c>
      <c r="K7" s="115">
        <f t="shared" si="0"/>
        <v>-6.9767441860465462E-3</v>
      </c>
      <c r="L7" s="106">
        <f t="shared" si="0"/>
        <v>0.12264150943396235</v>
      </c>
      <c r="M7" s="106">
        <f t="shared" si="0"/>
        <v>7.0973612374886308E-2</v>
      </c>
      <c r="N7" s="115">
        <f t="shared" si="0"/>
        <v>-0.25</v>
      </c>
      <c r="O7" s="115">
        <f t="shared" si="0"/>
        <v>-0.25862068965517238</v>
      </c>
      <c r="P7" s="106">
        <f t="shared" si="0"/>
        <v>2.0547945205479534E-2</v>
      </c>
      <c r="Q7" s="106">
        <f t="shared" si="0"/>
        <v>-2.6871401151631447E-2</v>
      </c>
      <c r="R7" s="115">
        <f t="shared" si="0"/>
        <v>-0.125</v>
      </c>
      <c r="S7" s="115">
        <f t="shared" si="0"/>
        <v>-5.1020408163265252E-2</v>
      </c>
      <c r="T7" s="106">
        <f t="shared" si="0"/>
        <v>-1.0752688172043001E-2</v>
      </c>
      <c r="U7" s="106">
        <f t="shared" si="0"/>
        <v>-3.1713554987212289E-2</v>
      </c>
      <c r="V7" s="115">
        <f t="shared" si="0"/>
        <v>-0.33333333333333337</v>
      </c>
      <c r="W7" s="115">
        <f t="shared" si="0"/>
        <v>-0.22857142857142854</v>
      </c>
      <c r="X7" s="106">
        <f t="shared" si="0"/>
        <v>-0.11355311355311359</v>
      </c>
      <c r="Y7" s="106">
        <f t="shared" si="0"/>
        <v>-7.9690522243713757E-2</v>
      </c>
      <c r="Z7" s="82">
        <f t="shared" si="0"/>
        <v>2.1276595744680771E-2</v>
      </c>
      <c r="AA7" s="115">
        <f t="shared" si="0"/>
        <v>-0.11428571428571432</v>
      </c>
      <c r="AB7" s="106">
        <f t="shared" si="0"/>
        <v>-9.375E-2</v>
      </c>
      <c r="AC7" s="106">
        <f t="shared" si="0"/>
        <v>-8.5203252032520327E-2</v>
      </c>
      <c r="AD7" s="115">
        <f t="shared" si="0"/>
        <v>-0.1333333333333333</v>
      </c>
      <c r="AE7" s="115">
        <f t="shared" si="0"/>
        <v>-0.1472868217054264</v>
      </c>
      <c r="AF7" s="106">
        <f t="shared" si="0"/>
        <v>-9.7142857142857197E-2</v>
      </c>
      <c r="AG7" s="106">
        <f t="shared" si="0"/>
        <v>-9.0009000900090008E-2</v>
      </c>
      <c r="AH7" s="115">
        <f t="shared" si="0"/>
        <v>-0.69230769230769229</v>
      </c>
      <c r="AI7" s="115">
        <f t="shared" si="0"/>
        <v>-0.3752310536044362</v>
      </c>
      <c r="AJ7" s="106">
        <f t="shared" si="0"/>
        <v>-0.19036144578313252</v>
      </c>
      <c r="AK7" s="106">
        <f t="shared" si="0"/>
        <v>-0.1298399586990191</v>
      </c>
      <c r="AL7" s="115">
        <f t="shared" si="0"/>
        <v>-0.18518518518518523</v>
      </c>
      <c r="AM7" s="115">
        <f t="shared" si="0"/>
        <v>-0.18271119842829076</v>
      </c>
      <c r="AN7" s="106">
        <f t="shared" si="0"/>
        <v>-0.18976545842217485</v>
      </c>
      <c r="AO7" s="106">
        <f t="shared" si="0"/>
        <v>-0.13597992242756107</v>
      </c>
      <c r="AP7" s="82">
        <f t="shared" si="0"/>
        <v>0.58333333333333326</v>
      </c>
      <c r="AQ7" s="82">
        <f t="shared" si="0"/>
        <v>0.30769230769230771</v>
      </c>
      <c r="AR7" s="77">
        <f t="shared" si="0"/>
        <v>-0.13465346534653466</v>
      </c>
      <c r="AS7" s="77">
        <f t="shared" si="0"/>
        <v>-9.9727634611355587E-2</v>
      </c>
      <c r="AT7" s="115">
        <f t="shared" si="0"/>
        <v>-0.10999999999999999</v>
      </c>
      <c r="AU7" s="82">
        <f t="shared" si="0"/>
        <v>7.6190476190476142E-2</v>
      </c>
      <c r="AV7" s="114">
        <f t="shared" si="0"/>
        <v>-0.13057851239669427</v>
      </c>
      <c r="AW7" s="113">
        <f t="shared" si="0"/>
        <v>-7.6252723311546866E-2</v>
      </c>
    </row>
    <row r="8" spans="1:49" s="62" customFormat="1" ht="29.25" customHeight="1">
      <c r="A8" s="89">
        <v>2007</v>
      </c>
      <c r="B8" s="96">
        <v>58</v>
      </c>
      <c r="C8" s="96">
        <v>554</v>
      </c>
      <c r="D8" s="94">
        <f>B8</f>
        <v>58</v>
      </c>
      <c r="E8" s="94">
        <f>C8</f>
        <v>554</v>
      </c>
      <c r="F8" s="96">
        <v>48</v>
      </c>
      <c r="G8" s="96">
        <v>367</v>
      </c>
      <c r="H8" s="94">
        <f>F8+D8</f>
        <v>106</v>
      </c>
      <c r="I8" s="94">
        <f>G8+E8</f>
        <v>921</v>
      </c>
      <c r="J8" s="96">
        <v>31</v>
      </c>
      <c r="K8" s="96">
        <v>353</v>
      </c>
      <c r="L8" s="94">
        <f>J8+H8</f>
        <v>137</v>
      </c>
      <c r="M8" s="104">
        <f>K8+I8</f>
        <v>1274</v>
      </c>
      <c r="N8" s="96">
        <v>51</v>
      </c>
      <c r="O8" s="96">
        <v>399</v>
      </c>
      <c r="P8" s="94">
        <f>B8+F8+J8+N8</f>
        <v>188</v>
      </c>
      <c r="Q8" s="93">
        <f>C8+G8+K8+O8</f>
        <v>1673</v>
      </c>
      <c r="R8" s="96">
        <v>35</v>
      </c>
      <c r="S8" s="96">
        <v>388</v>
      </c>
      <c r="T8" s="94">
        <f>R8+P8</f>
        <v>223</v>
      </c>
      <c r="U8" s="93">
        <f>S8+Q8</f>
        <v>2061</v>
      </c>
      <c r="V8" s="96">
        <v>52</v>
      </c>
      <c r="W8" s="96">
        <v>550</v>
      </c>
      <c r="X8" s="94">
        <f>V8+T8</f>
        <v>275</v>
      </c>
      <c r="Y8" s="94">
        <f>W8+U8</f>
        <v>2611</v>
      </c>
      <c r="Z8" s="96">
        <v>69</v>
      </c>
      <c r="AA8" s="96">
        <v>596</v>
      </c>
      <c r="AB8" s="94">
        <f>Z8+X8</f>
        <v>344</v>
      </c>
      <c r="AC8" s="94">
        <f>Y8+AA8</f>
        <v>3207</v>
      </c>
      <c r="AD8" s="96">
        <v>35</v>
      </c>
      <c r="AE8" s="96">
        <v>378</v>
      </c>
      <c r="AF8" s="94">
        <f>AD8+AB8</f>
        <v>379</v>
      </c>
      <c r="AG8" s="94">
        <f>AE8+AC8</f>
        <v>3585</v>
      </c>
      <c r="AH8" s="96">
        <v>77</v>
      </c>
      <c r="AI8" s="96">
        <v>537</v>
      </c>
      <c r="AJ8" s="94">
        <f>AH8+AF8</f>
        <v>456</v>
      </c>
      <c r="AK8" s="93">
        <f>AG8+AI8</f>
        <v>4122</v>
      </c>
      <c r="AL8" s="96">
        <v>50</v>
      </c>
      <c r="AM8" s="96">
        <v>451</v>
      </c>
      <c r="AN8" s="94">
        <f>AL8+AJ8</f>
        <v>506</v>
      </c>
      <c r="AO8" s="94">
        <f>AM8+AK8</f>
        <v>4573</v>
      </c>
      <c r="AP8" s="96">
        <v>40</v>
      </c>
      <c r="AQ8" s="96">
        <v>352</v>
      </c>
      <c r="AR8" s="94">
        <f>AP8+AN8</f>
        <v>546</v>
      </c>
      <c r="AS8" s="93">
        <f>AQ8+AO8</f>
        <v>4925</v>
      </c>
      <c r="AT8" s="96">
        <v>91</v>
      </c>
      <c r="AU8" s="96">
        <v>849</v>
      </c>
      <c r="AV8" s="103">
        <f>AT8+AP8+AL8+AH8+AD8+Z8+V8+R8+N8+J8+F8+B8</f>
        <v>637</v>
      </c>
      <c r="AW8" s="102">
        <f>AU8+AQ8+AM8+AI8+AE8+AA8+W8+S8+O8+K8+G8+C8</f>
        <v>5774</v>
      </c>
    </row>
    <row r="9" spans="1:49" ht="29.25" customHeight="1">
      <c r="A9" s="101" t="s">
        <v>48</v>
      </c>
      <c r="B9" s="109">
        <f t="shared" ref="B9:AW9" si="1">B8/B6-1</f>
        <v>7.4074074074074181E-2</v>
      </c>
      <c r="C9" s="109">
        <f t="shared" si="1"/>
        <v>4.7258979206049156E-2</v>
      </c>
      <c r="D9" s="110">
        <f t="shared" si="1"/>
        <v>7.4074074074074181E-2</v>
      </c>
      <c r="E9" s="110">
        <f t="shared" si="1"/>
        <v>4.7258979206049156E-2</v>
      </c>
      <c r="F9" s="109">
        <f t="shared" si="1"/>
        <v>1.4</v>
      </c>
      <c r="G9" s="109">
        <f t="shared" si="1"/>
        <v>0.66063348416289602</v>
      </c>
      <c r="H9" s="110">
        <f t="shared" si="1"/>
        <v>0.43243243243243246</v>
      </c>
      <c r="I9" s="110">
        <f t="shared" si="1"/>
        <v>0.22799999999999998</v>
      </c>
      <c r="J9" s="111">
        <f t="shared" si="1"/>
        <v>-0.31111111111111112</v>
      </c>
      <c r="K9" s="111">
        <f t="shared" si="1"/>
        <v>-0.17330210772833721</v>
      </c>
      <c r="L9" s="112">
        <f t="shared" si="1"/>
        <v>0.15126050420168058</v>
      </c>
      <c r="M9" s="112">
        <f t="shared" si="1"/>
        <v>8.2412914188615183E-2</v>
      </c>
      <c r="N9" s="109">
        <f t="shared" si="1"/>
        <v>0.7</v>
      </c>
      <c r="O9" s="109">
        <f t="shared" si="1"/>
        <v>0.15988372093023262</v>
      </c>
      <c r="P9" s="110">
        <f t="shared" si="1"/>
        <v>0.26174496644295298</v>
      </c>
      <c r="Q9" s="110">
        <f t="shared" si="1"/>
        <v>9.9934253780407545E-2</v>
      </c>
      <c r="R9" s="109">
        <f t="shared" si="1"/>
        <v>0</v>
      </c>
      <c r="S9" s="109">
        <f t="shared" si="1"/>
        <v>4.3010752688172005E-2</v>
      </c>
      <c r="T9" s="110">
        <f t="shared" si="1"/>
        <v>0.21195652173913038</v>
      </c>
      <c r="U9" s="110">
        <f t="shared" si="1"/>
        <v>8.8748019017432567E-2</v>
      </c>
      <c r="V9" s="111">
        <f t="shared" si="1"/>
        <v>-0.10344827586206895</v>
      </c>
      <c r="W9" s="109">
        <f t="shared" si="1"/>
        <v>0.13168724279835398</v>
      </c>
      <c r="X9" s="110">
        <f t="shared" si="1"/>
        <v>0.13636363636363646</v>
      </c>
      <c r="Y9" s="110">
        <f t="shared" si="1"/>
        <v>9.7519966372425326E-2</v>
      </c>
      <c r="Z9" s="109">
        <f t="shared" si="1"/>
        <v>0.4375</v>
      </c>
      <c r="AA9" s="109">
        <f t="shared" si="1"/>
        <v>0.37327188940092171</v>
      </c>
      <c r="AB9" s="110">
        <f t="shared" si="1"/>
        <v>0.18620689655172407</v>
      </c>
      <c r="AC9" s="110">
        <f t="shared" si="1"/>
        <v>0.14006398862424452</v>
      </c>
      <c r="AD9" s="109">
        <f t="shared" si="1"/>
        <v>0.34615384615384626</v>
      </c>
      <c r="AE9" s="109">
        <f t="shared" si="1"/>
        <v>0.71818181818181825</v>
      </c>
      <c r="AF9" s="110">
        <f t="shared" si="1"/>
        <v>0.19936708860759489</v>
      </c>
      <c r="AG9" s="110">
        <f t="shared" si="1"/>
        <v>0.18199802176063296</v>
      </c>
      <c r="AH9" s="109">
        <f t="shared" si="1"/>
        <v>2.85</v>
      </c>
      <c r="AI9" s="109">
        <f t="shared" si="1"/>
        <v>0.58875739644970415</v>
      </c>
      <c r="AJ9" s="110">
        <f t="shared" si="1"/>
        <v>0.35714285714285721</v>
      </c>
      <c r="AK9" s="110">
        <f t="shared" si="1"/>
        <v>0.22278255710471662</v>
      </c>
      <c r="AL9" s="109">
        <f t="shared" si="1"/>
        <v>0.13636363636363646</v>
      </c>
      <c r="AM9" s="109">
        <f t="shared" si="1"/>
        <v>8.4134615384615419E-2</v>
      </c>
      <c r="AN9" s="110">
        <f t="shared" si="1"/>
        <v>0.33157894736842097</v>
      </c>
      <c r="AO9" s="110">
        <f t="shared" si="1"/>
        <v>0.20755215209928712</v>
      </c>
      <c r="AP9" s="111">
        <f t="shared" si="1"/>
        <v>-0.29824561403508776</v>
      </c>
      <c r="AQ9" s="111">
        <f t="shared" si="1"/>
        <v>-0.30980392156862746</v>
      </c>
      <c r="AR9" s="110">
        <f t="shared" si="1"/>
        <v>0.24942791762013727</v>
      </c>
      <c r="AS9" s="110">
        <f t="shared" si="1"/>
        <v>0.14614847568070743</v>
      </c>
      <c r="AT9" s="109">
        <f t="shared" si="1"/>
        <v>2.2471910112359605E-2</v>
      </c>
      <c r="AU9" s="109">
        <f t="shared" si="1"/>
        <v>7.332490518331225E-2</v>
      </c>
      <c r="AV9" s="108">
        <f t="shared" si="1"/>
        <v>0.21102661596958172</v>
      </c>
      <c r="AW9" s="107">
        <f t="shared" si="1"/>
        <v>0.13482704402515733</v>
      </c>
    </row>
    <row r="10" spans="1:49" s="62" customFormat="1" ht="29.25" customHeight="1">
      <c r="A10" s="89">
        <v>2008</v>
      </c>
      <c r="B10" s="96">
        <v>64</v>
      </c>
      <c r="C10" s="96">
        <v>575</v>
      </c>
      <c r="D10" s="94">
        <f>B10</f>
        <v>64</v>
      </c>
      <c r="E10" s="94">
        <f>C10</f>
        <v>575</v>
      </c>
      <c r="F10" s="96">
        <v>17</v>
      </c>
      <c r="G10" s="96">
        <v>158</v>
      </c>
      <c r="H10" s="94">
        <f>F10+D10</f>
        <v>81</v>
      </c>
      <c r="I10" s="94">
        <f>G10+E10</f>
        <v>733</v>
      </c>
      <c r="J10" s="96">
        <v>31</v>
      </c>
      <c r="K10" s="96">
        <v>365</v>
      </c>
      <c r="L10" s="94">
        <f>J10+H10</f>
        <v>112</v>
      </c>
      <c r="M10" s="104">
        <f>K10+I10</f>
        <v>1098</v>
      </c>
      <c r="N10" s="96">
        <v>38</v>
      </c>
      <c r="O10" s="96">
        <v>406</v>
      </c>
      <c r="P10" s="94">
        <f>B10+F10+J10+N10</f>
        <v>150</v>
      </c>
      <c r="Q10" s="93">
        <f>C10+G10+K10+O10</f>
        <v>1504</v>
      </c>
      <c r="R10" s="96">
        <v>32</v>
      </c>
      <c r="S10" s="96">
        <v>316</v>
      </c>
      <c r="T10" s="94">
        <f>R10+P10</f>
        <v>182</v>
      </c>
      <c r="U10" s="93">
        <f>S10+Q10</f>
        <v>1820</v>
      </c>
      <c r="V10" s="96">
        <v>50</v>
      </c>
      <c r="W10" s="96">
        <v>465</v>
      </c>
      <c r="X10" s="94">
        <f>V10+T10</f>
        <v>232</v>
      </c>
      <c r="Y10" s="94">
        <f>W10+U10</f>
        <v>2285</v>
      </c>
      <c r="Z10" s="96">
        <v>32</v>
      </c>
      <c r="AA10" s="96">
        <v>315</v>
      </c>
      <c r="AB10" s="94">
        <f>Z10+X10</f>
        <v>264</v>
      </c>
      <c r="AC10" s="94">
        <f>Y10+AA10</f>
        <v>2600</v>
      </c>
      <c r="AD10" s="96">
        <v>25</v>
      </c>
      <c r="AE10" s="96">
        <v>202</v>
      </c>
      <c r="AF10" s="94">
        <f>AD10+AB10</f>
        <v>289</v>
      </c>
      <c r="AG10" s="94">
        <f>AE10+AC10</f>
        <v>2802</v>
      </c>
      <c r="AH10" s="96">
        <v>27</v>
      </c>
      <c r="AI10" s="96">
        <v>292</v>
      </c>
      <c r="AJ10" s="94">
        <f>AH10+AF10</f>
        <v>316</v>
      </c>
      <c r="AK10" s="93">
        <f>AG10+AI10</f>
        <v>3094</v>
      </c>
      <c r="AL10" s="96">
        <v>38</v>
      </c>
      <c r="AM10" s="96">
        <v>294</v>
      </c>
      <c r="AN10" s="94">
        <f>AL10+AJ10</f>
        <v>354</v>
      </c>
      <c r="AO10" s="94">
        <f>AM10+AK10</f>
        <v>3388</v>
      </c>
      <c r="AP10" s="96">
        <v>20</v>
      </c>
      <c r="AQ10" s="96">
        <v>208</v>
      </c>
      <c r="AR10" s="94">
        <f>AP10+AN10</f>
        <v>374</v>
      </c>
      <c r="AS10" s="93">
        <f>AQ10+AO10</f>
        <v>3596</v>
      </c>
      <c r="AT10" s="96">
        <v>43</v>
      </c>
      <c r="AU10" s="96">
        <v>400</v>
      </c>
      <c r="AV10" s="103">
        <f>AT10+AP10+AL10+AH10+AD10+Z10+V10+R10+N10+J10+F10+B10</f>
        <v>417</v>
      </c>
      <c r="AW10" s="102">
        <f>AU10+AQ10+AM10+AI10+AE10+AA10+W10+S10+O10+K10+G10+C10</f>
        <v>3996</v>
      </c>
    </row>
    <row r="11" spans="1:49" ht="29.25" customHeight="1">
      <c r="A11" s="101" t="s">
        <v>48</v>
      </c>
      <c r="B11" s="82">
        <f t="shared" ref="B11:O11" si="2">B10/B8-1</f>
        <v>0.10344827586206895</v>
      </c>
      <c r="C11" s="82">
        <f t="shared" si="2"/>
        <v>3.7906137184115618E-2</v>
      </c>
      <c r="D11" s="77">
        <f t="shared" si="2"/>
        <v>0.10344827586206895</v>
      </c>
      <c r="E11" s="77">
        <f t="shared" si="2"/>
        <v>3.7906137184115618E-2</v>
      </c>
      <c r="F11" s="99">
        <f t="shared" si="2"/>
        <v>-0.64583333333333326</v>
      </c>
      <c r="G11" s="99">
        <f t="shared" si="2"/>
        <v>-0.56948228882833796</v>
      </c>
      <c r="H11" s="100">
        <f t="shared" si="2"/>
        <v>-0.23584905660377353</v>
      </c>
      <c r="I11" s="100">
        <f t="shared" si="2"/>
        <v>-0.2041259500542888</v>
      </c>
      <c r="J11" s="82">
        <f t="shared" si="2"/>
        <v>0</v>
      </c>
      <c r="K11" s="82">
        <f t="shared" si="2"/>
        <v>3.3994334277620331E-2</v>
      </c>
      <c r="L11" s="100">
        <f t="shared" si="2"/>
        <v>-0.18248175182481752</v>
      </c>
      <c r="M11" s="100">
        <f t="shared" si="2"/>
        <v>-0.13814756671899531</v>
      </c>
      <c r="N11" s="99">
        <f t="shared" si="2"/>
        <v>-0.25490196078431371</v>
      </c>
      <c r="O11" s="82">
        <f t="shared" si="2"/>
        <v>1.7543859649122862E-2</v>
      </c>
      <c r="P11" s="106">
        <f>P10/P6-1</f>
        <v>6.7114093959732557E-3</v>
      </c>
      <c r="Q11" s="106">
        <f>Q10/Q6-1</f>
        <v>-1.1176857330703505E-2</v>
      </c>
      <c r="R11" s="99">
        <f t="shared" ref="R11:W11" si="3">R10/R8-1</f>
        <v>-8.5714285714285743E-2</v>
      </c>
      <c r="S11" s="99">
        <f t="shared" si="3"/>
        <v>-0.18556701030927836</v>
      </c>
      <c r="T11" s="100">
        <f t="shared" si="3"/>
        <v>-0.18385650224215244</v>
      </c>
      <c r="U11" s="100">
        <f t="shared" si="3"/>
        <v>-0.11693352741387675</v>
      </c>
      <c r="V11" s="99">
        <f t="shared" si="3"/>
        <v>-3.8461538461538436E-2</v>
      </c>
      <c r="W11" s="99">
        <f t="shared" si="3"/>
        <v>-0.15454545454545454</v>
      </c>
      <c r="X11" s="100">
        <f>X10/X6-1</f>
        <v>-4.132231404958675E-2</v>
      </c>
      <c r="Y11" s="100">
        <f>Y10/Y6-1</f>
        <v>-3.951240016813784E-2</v>
      </c>
      <c r="Z11" s="99">
        <f>Z10/Z8-1</f>
        <v>-0.53623188405797095</v>
      </c>
      <c r="AA11" s="99">
        <f>AA10/AA8-1</f>
        <v>-0.47147651006711411</v>
      </c>
      <c r="AB11" s="100">
        <f>AB10/AB6-1</f>
        <v>-8.9655172413793061E-2</v>
      </c>
      <c r="AC11" s="100">
        <f>AC10/AC6-1</f>
        <v>-7.5719872022751544E-2</v>
      </c>
      <c r="AD11" s="99">
        <f>AD10/AD8-1</f>
        <v>-0.2857142857142857</v>
      </c>
      <c r="AE11" s="99">
        <f>AE10/AE8-1</f>
        <v>-0.46560846560846558</v>
      </c>
      <c r="AF11" s="100">
        <f>AF10/AF6-1</f>
        <v>-8.5443037974683556E-2</v>
      </c>
      <c r="AG11" s="100">
        <f>AG10/AG6-1</f>
        <v>-7.6162215628091001E-2</v>
      </c>
      <c r="AH11" s="99">
        <f>AH10/AH8-1</f>
        <v>-0.64935064935064934</v>
      </c>
      <c r="AI11" s="99">
        <f>AI10/AI8-1</f>
        <v>-0.45623836126629425</v>
      </c>
      <c r="AJ11" s="100">
        <f>AJ10/AJ6-1</f>
        <v>-5.9523809523809534E-2</v>
      </c>
      <c r="AK11" s="100">
        <f>AK10/AK6-1</f>
        <v>-8.2171462474043278E-2</v>
      </c>
      <c r="AL11" s="99">
        <f>AL10/AL8-1</f>
        <v>-0.24</v>
      </c>
      <c r="AM11" s="99">
        <f>AM10/AM8-1</f>
        <v>-0.34811529933481156</v>
      </c>
      <c r="AN11" s="100">
        <f>AN10/AN6-1</f>
        <v>-6.8421052631578938E-2</v>
      </c>
      <c r="AO11" s="100">
        <f>AO10/AO6-1</f>
        <v>-0.10536044362292052</v>
      </c>
      <c r="AP11" s="99">
        <f t="shared" ref="AP11:AW11" si="4">AP10/AP8-1</f>
        <v>-0.5</v>
      </c>
      <c r="AQ11" s="99">
        <f t="shared" si="4"/>
        <v>-0.40909090909090906</v>
      </c>
      <c r="AR11" s="100">
        <f t="shared" si="4"/>
        <v>-0.31501831501831501</v>
      </c>
      <c r="AS11" s="100">
        <f t="shared" si="4"/>
        <v>-0.26984771573604061</v>
      </c>
      <c r="AT11" s="99">
        <f t="shared" si="4"/>
        <v>-0.52747252747252749</v>
      </c>
      <c r="AU11" s="99">
        <f t="shared" si="4"/>
        <v>-0.52885747938751471</v>
      </c>
      <c r="AV11" s="100">
        <f t="shared" si="4"/>
        <v>-0.34536891679748827</v>
      </c>
      <c r="AW11" s="105">
        <f t="shared" si="4"/>
        <v>-0.30793210945618288</v>
      </c>
    </row>
    <row r="12" spans="1:49" s="62" customFormat="1" ht="29.25" customHeight="1">
      <c r="A12" s="89">
        <v>2009</v>
      </c>
      <c r="B12" s="96">
        <v>32</v>
      </c>
      <c r="C12" s="96">
        <v>292</v>
      </c>
      <c r="D12" s="94">
        <f>B12</f>
        <v>32</v>
      </c>
      <c r="E12" s="94">
        <f>C12</f>
        <v>292</v>
      </c>
      <c r="F12" s="96">
        <v>18</v>
      </c>
      <c r="G12" s="96">
        <v>250</v>
      </c>
      <c r="H12" s="94">
        <f>F12+D12</f>
        <v>50</v>
      </c>
      <c r="I12" s="94">
        <f>G12+E12</f>
        <v>542</v>
      </c>
      <c r="J12" s="96">
        <v>56</v>
      </c>
      <c r="K12" s="96">
        <v>488</v>
      </c>
      <c r="L12" s="94">
        <f>J12+H12</f>
        <v>106</v>
      </c>
      <c r="M12" s="104">
        <f>K12+I12</f>
        <v>1030</v>
      </c>
      <c r="N12" s="96">
        <v>50</v>
      </c>
      <c r="O12" s="96">
        <v>456</v>
      </c>
      <c r="P12" s="94">
        <f>L12+N12</f>
        <v>156</v>
      </c>
      <c r="Q12" s="93">
        <f>M12+O12</f>
        <v>1486</v>
      </c>
      <c r="R12" s="96">
        <v>43</v>
      </c>
      <c r="S12" s="96">
        <v>400</v>
      </c>
      <c r="T12" s="94">
        <f>R12+P12</f>
        <v>199</v>
      </c>
      <c r="U12" s="93">
        <f>S12+Q12</f>
        <v>1886</v>
      </c>
      <c r="V12" s="96">
        <v>65</v>
      </c>
      <c r="W12" s="96">
        <v>446</v>
      </c>
      <c r="X12" s="94">
        <f>V12+T12</f>
        <v>264</v>
      </c>
      <c r="Y12" s="93">
        <f>W12+U12</f>
        <v>2332</v>
      </c>
      <c r="Z12" s="96">
        <v>37</v>
      </c>
      <c r="AA12" s="96">
        <v>378</v>
      </c>
      <c r="AB12" s="94">
        <f>Z12+X12</f>
        <v>301</v>
      </c>
      <c r="AC12" s="94">
        <f>AA12+Y12</f>
        <v>2710</v>
      </c>
      <c r="AD12" s="96">
        <v>33</v>
      </c>
      <c r="AE12" s="96">
        <v>355</v>
      </c>
      <c r="AF12" s="94">
        <f>AD12+AB12</f>
        <v>334</v>
      </c>
      <c r="AG12" s="94">
        <f>AE12+AC12</f>
        <v>3065</v>
      </c>
      <c r="AH12" s="96">
        <v>52</v>
      </c>
      <c r="AI12" s="96">
        <v>393</v>
      </c>
      <c r="AJ12" s="94">
        <f>AH12+AF12</f>
        <v>386</v>
      </c>
      <c r="AK12" s="93">
        <f>AI12+AG12</f>
        <v>3458</v>
      </c>
      <c r="AL12" s="96">
        <v>25</v>
      </c>
      <c r="AM12" s="96">
        <v>359</v>
      </c>
      <c r="AN12" s="94">
        <f>AL12+AJ12</f>
        <v>411</v>
      </c>
      <c r="AO12" s="94">
        <f>AM12+AK12</f>
        <v>3817</v>
      </c>
      <c r="AP12" s="96">
        <v>49</v>
      </c>
      <c r="AQ12" s="96">
        <v>441</v>
      </c>
      <c r="AR12" s="94">
        <f>AP12+AN12</f>
        <v>460</v>
      </c>
      <c r="AS12" s="93">
        <f>AQ12+AO12</f>
        <v>4258</v>
      </c>
      <c r="AT12" s="96">
        <v>94</v>
      </c>
      <c r="AU12" s="96">
        <v>866</v>
      </c>
      <c r="AV12" s="103">
        <f>AT12+AP12+AL12+AH12+AD12+Z12+V12+R12+N12+J12+F12+B12</f>
        <v>554</v>
      </c>
      <c r="AW12" s="102">
        <f>AU12+AQ12+AM12+AI12+AE12+AA12+W12+S12+O12+K12+G12+C12</f>
        <v>5124</v>
      </c>
    </row>
    <row r="13" spans="1:49" ht="29.25" customHeight="1">
      <c r="A13" s="101" t="s">
        <v>48</v>
      </c>
      <c r="B13" s="99">
        <f t="shared" ref="B13:AW13" si="5">B12/B10-1</f>
        <v>-0.5</v>
      </c>
      <c r="C13" s="99">
        <f t="shared" si="5"/>
        <v>-0.49217391304347824</v>
      </c>
      <c r="D13" s="100">
        <f t="shared" si="5"/>
        <v>-0.5</v>
      </c>
      <c r="E13" s="100">
        <f t="shared" si="5"/>
        <v>-0.49217391304347824</v>
      </c>
      <c r="F13" s="82">
        <f t="shared" si="5"/>
        <v>5.8823529411764719E-2</v>
      </c>
      <c r="G13" s="82">
        <f t="shared" si="5"/>
        <v>0.58227848101265822</v>
      </c>
      <c r="H13" s="77">
        <f t="shared" si="5"/>
        <v>-0.38271604938271608</v>
      </c>
      <c r="I13" s="77">
        <f t="shared" si="5"/>
        <v>-0.26057298772169168</v>
      </c>
      <c r="J13" s="82">
        <f t="shared" si="5"/>
        <v>0.80645161290322576</v>
      </c>
      <c r="K13" s="82">
        <f t="shared" si="5"/>
        <v>0.33698630136986307</v>
      </c>
      <c r="L13" s="100">
        <f t="shared" si="5"/>
        <v>-5.3571428571428603E-2</v>
      </c>
      <c r="M13" s="100">
        <f t="shared" si="5"/>
        <v>-6.1930783242258647E-2</v>
      </c>
      <c r="N13" s="82">
        <f t="shared" si="5"/>
        <v>0.31578947368421062</v>
      </c>
      <c r="O13" s="82">
        <f t="shared" si="5"/>
        <v>0.12315270935960587</v>
      </c>
      <c r="P13" s="77">
        <f t="shared" si="5"/>
        <v>4.0000000000000036E-2</v>
      </c>
      <c r="Q13" s="77">
        <f t="shared" si="5"/>
        <v>-1.1968085106383031E-2</v>
      </c>
      <c r="R13" s="82">
        <f t="shared" si="5"/>
        <v>0.34375</v>
      </c>
      <c r="S13" s="82">
        <f t="shared" si="5"/>
        <v>0.26582278481012667</v>
      </c>
      <c r="T13" s="77">
        <f t="shared" si="5"/>
        <v>9.3406593406593297E-2</v>
      </c>
      <c r="U13" s="77">
        <f t="shared" si="5"/>
        <v>3.6263736263736357E-2</v>
      </c>
      <c r="V13" s="82">
        <f t="shared" si="5"/>
        <v>0.30000000000000004</v>
      </c>
      <c r="W13" s="99">
        <f t="shared" si="5"/>
        <v>-4.0860215053763471E-2</v>
      </c>
      <c r="X13" s="77">
        <f t="shared" si="5"/>
        <v>0.13793103448275867</v>
      </c>
      <c r="Y13" s="77">
        <f t="shared" si="5"/>
        <v>2.0568927789934355E-2</v>
      </c>
      <c r="Z13" s="78">
        <f t="shared" si="5"/>
        <v>0.15625</v>
      </c>
      <c r="AA13" s="78">
        <f t="shared" si="5"/>
        <v>0.19999999999999996</v>
      </c>
      <c r="AB13" s="77">
        <f t="shared" si="5"/>
        <v>0.14015151515151514</v>
      </c>
      <c r="AC13" s="77">
        <f t="shared" si="5"/>
        <v>4.2307692307692379E-2</v>
      </c>
      <c r="AD13" s="78">
        <f t="shared" si="5"/>
        <v>0.32000000000000006</v>
      </c>
      <c r="AE13" s="78">
        <f t="shared" si="5"/>
        <v>0.75742574257425743</v>
      </c>
      <c r="AF13" s="77">
        <f t="shared" si="5"/>
        <v>0.15570934256055358</v>
      </c>
      <c r="AG13" s="77">
        <f t="shared" si="5"/>
        <v>9.3861527480371132E-2</v>
      </c>
      <c r="AH13" s="78">
        <f t="shared" si="5"/>
        <v>0.92592592592592582</v>
      </c>
      <c r="AI13" s="78">
        <f t="shared" si="5"/>
        <v>0.34589041095890405</v>
      </c>
      <c r="AJ13" s="77">
        <f t="shared" si="5"/>
        <v>0.22151898734177222</v>
      </c>
      <c r="AK13" s="77">
        <f t="shared" si="5"/>
        <v>0.11764705882352944</v>
      </c>
      <c r="AL13" s="80">
        <f t="shared" si="5"/>
        <v>-0.34210526315789469</v>
      </c>
      <c r="AM13" s="78">
        <f t="shared" si="5"/>
        <v>0.22108843537414957</v>
      </c>
      <c r="AN13" s="77">
        <f t="shared" si="5"/>
        <v>0.16101694915254239</v>
      </c>
      <c r="AO13" s="77">
        <f t="shared" si="5"/>
        <v>0.12662337662337664</v>
      </c>
      <c r="AP13" s="78">
        <f t="shared" si="5"/>
        <v>1.4500000000000002</v>
      </c>
      <c r="AQ13" s="78">
        <f t="shared" si="5"/>
        <v>1.1201923076923075</v>
      </c>
      <c r="AR13" s="77">
        <f t="shared" si="5"/>
        <v>0.22994652406417115</v>
      </c>
      <c r="AS13" s="77">
        <f t="shared" si="5"/>
        <v>0.18409343715239146</v>
      </c>
      <c r="AT13" s="78">
        <f t="shared" si="5"/>
        <v>1.1860465116279069</v>
      </c>
      <c r="AU13" s="78">
        <f t="shared" si="5"/>
        <v>1.165</v>
      </c>
      <c r="AV13" s="98">
        <f t="shared" si="5"/>
        <v>0.32853717026378892</v>
      </c>
      <c r="AW13" s="97">
        <f t="shared" si="5"/>
        <v>0.28228228228228236</v>
      </c>
    </row>
    <row r="14" spans="1:49" ht="29.25" customHeight="1">
      <c r="A14" s="89">
        <v>2010</v>
      </c>
      <c r="B14" s="96">
        <v>47</v>
      </c>
      <c r="C14" s="96">
        <v>422</v>
      </c>
      <c r="D14" s="94">
        <f>B14</f>
        <v>47</v>
      </c>
      <c r="E14" s="94">
        <f>C14</f>
        <v>422</v>
      </c>
      <c r="F14" s="92">
        <v>54</v>
      </c>
      <c r="G14" s="92">
        <v>325</v>
      </c>
      <c r="H14" s="94">
        <f>F14+D14</f>
        <v>101</v>
      </c>
      <c r="I14" s="94">
        <f>G14+E14</f>
        <v>747</v>
      </c>
      <c r="J14" s="92">
        <v>65</v>
      </c>
      <c r="K14" s="92">
        <v>576</v>
      </c>
      <c r="L14" s="94">
        <f>J14+H14</f>
        <v>166</v>
      </c>
      <c r="M14" s="95">
        <f>K14+I14</f>
        <v>1323</v>
      </c>
      <c r="N14" s="92">
        <v>68</v>
      </c>
      <c r="O14" s="92">
        <v>556</v>
      </c>
      <c r="P14" s="94">
        <f>N14+L14</f>
        <v>234</v>
      </c>
      <c r="Q14" s="93">
        <f>O14+M14</f>
        <v>1879</v>
      </c>
      <c r="R14" s="92">
        <v>75</v>
      </c>
      <c r="S14" s="92">
        <v>758</v>
      </c>
      <c r="T14" s="94">
        <f>R14+P14</f>
        <v>309</v>
      </c>
      <c r="U14" s="93">
        <f>S14+Q14</f>
        <v>2637</v>
      </c>
      <c r="V14" s="92">
        <v>82</v>
      </c>
      <c r="W14" s="92">
        <v>749</v>
      </c>
      <c r="X14" s="94">
        <f>V14+T14</f>
        <v>391</v>
      </c>
      <c r="Y14" s="93">
        <f>W14+U14</f>
        <v>3386</v>
      </c>
      <c r="Z14" s="92">
        <v>77</v>
      </c>
      <c r="AA14" s="92">
        <v>694</v>
      </c>
      <c r="AB14" s="94">
        <f>Z14+X14</f>
        <v>468</v>
      </c>
      <c r="AC14" s="94">
        <f>AA14+Y14</f>
        <v>4080</v>
      </c>
      <c r="AD14" s="92">
        <v>59</v>
      </c>
      <c r="AE14" s="92">
        <v>599</v>
      </c>
      <c r="AF14" s="94">
        <f>AB14+AD14</f>
        <v>527</v>
      </c>
      <c r="AG14" s="94">
        <f>AC14+AE14</f>
        <v>4679</v>
      </c>
      <c r="AH14" s="92">
        <v>84</v>
      </c>
      <c r="AI14" s="92">
        <v>745</v>
      </c>
      <c r="AJ14" s="94">
        <f>AH14+AF14</f>
        <v>611</v>
      </c>
      <c r="AK14" s="93">
        <f>AI14+AG14</f>
        <v>5424</v>
      </c>
      <c r="AL14" s="92">
        <v>71</v>
      </c>
      <c r="AM14" s="92">
        <v>642</v>
      </c>
      <c r="AN14" s="94">
        <f>AL14+AJ14</f>
        <v>682</v>
      </c>
      <c r="AO14" s="94">
        <f>AM14+AK14</f>
        <v>6066</v>
      </c>
      <c r="AP14" s="92">
        <v>63</v>
      </c>
      <c r="AQ14" s="92">
        <v>493</v>
      </c>
      <c r="AR14" s="94">
        <f>AP14+AN14</f>
        <v>745</v>
      </c>
      <c r="AS14" s="93">
        <f>AQ14+AO14</f>
        <v>6559</v>
      </c>
      <c r="AT14" s="92">
        <v>119</v>
      </c>
      <c r="AU14" s="92">
        <v>1176</v>
      </c>
      <c r="AV14" s="91">
        <f>AT14+AP14+AL14+AH14+AD14+Z14+V14+R14+N14+J14+F14+B14</f>
        <v>864</v>
      </c>
      <c r="AW14" s="90">
        <f>AU14+AQ14+AM14+AI14+AE14+AA14+W14+S14+O14+K14+G14+C14</f>
        <v>7735</v>
      </c>
    </row>
    <row r="15" spans="1:49" ht="29.25" customHeight="1">
      <c r="A15" s="49" t="s">
        <v>48</v>
      </c>
      <c r="B15" s="82">
        <f t="shared" ref="B15:AW15" si="6">B14/B12-1</f>
        <v>0.46875</v>
      </c>
      <c r="C15" s="82">
        <f t="shared" si="6"/>
        <v>0.4452054794520548</v>
      </c>
      <c r="D15" s="77">
        <f t="shared" si="6"/>
        <v>0.46875</v>
      </c>
      <c r="E15" s="77">
        <f t="shared" si="6"/>
        <v>0.4452054794520548</v>
      </c>
      <c r="F15" s="79">
        <f t="shared" si="6"/>
        <v>2</v>
      </c>
      <c r="G15" s="79">
        <f t="shared" si="6"/>
        <v>0.30000000000000004</v>
      </c>
      <c r="H15" s="77">
        <f t="shared" si="6"/>
        <v>1.02</v>
      </c>
      <c r="I15" s="77">
        <f t="shared" si="6"/>
        <v>0.37822878228782297</v>
      </c>
      <c r="J15" s="78">
        <f t="shared" si="6"/>
        <v>0.16071428571428581</v>
      </c>
      <c r="K15" s="78">
        <f t="shared" si="6"/>
        <v>0.18032786885245899</v>
      </c>
      <c r="L15" s="77">
        <f t="shared" si="6"/>
        <v>0.5660377358490567</v>
      </c>
      <c r="M15" s="77">
        <f t="shared" si="6"/>
        <v>0.28446601941747574</v>
      </c>
      <c r="N15" s="78">
        <f t="shared" si="6"/>
        <v>0.3600000000000001</v>
      </c>
      <c r="O15" s="78">
        <f t="shared" si="6"/>
        <v>0.2192982456140351</v>
      </c>
      <c r="P15" s="77">
        <f t="shared" si="6"/>
        <v>0.5</v>
      </c>
      <c r="Q15" s="77">
        <f t="shared" si="6"/>
        <v>0.26446837146702551</v>
      </c>
      <c r="R15" s="78">
        <f t="shared" si="6"/>
        <v>0.7441860465116279</v>
      </c>
      <c r="S15" s="78">
        <f t="shared" si="6"/>
        <v>0.89500000000000002</v>
      </c>
      <c r="T15" s="77">
        <f t="shared" si="6"/>
        <v>0.55276381909547734</v>
      </c>
      <c r="U15" s="77">
        <f t="shared" si="6"/>
        <v>0.39819724284199354</v>
      </c>
      <c r="V15" s="78">
        <f t="shared" si="6"/>
        <v>0.2615384615384615</v>
      </c>
      <c r="W15" s="78">
        <f t="shared" si="6"/>
        <v>0.67937219730941711</v>
      </c>
      <c r="X15" s="77">
        <f t="shared" si="6"/>
        <v>0.48106060606060597</v>
      </c>
      <c r="Y15" s="77">
        <f t="shared" si="6"/>
        <v>0.4519725557461407</v>
      </c>
      <c r="Z15" s="78">
        <f t="shared" si="6"/>
        <v>1.0810810810810811</v>
      </c>
      <c r="AA15" s="78">
        <f t="shared" si="6"/>
        <v>0.83597883597883604</v>
      </c>
      <c r="AB15" s="77">
        <f t="shared" si="6"/>
        <v>0.55481727574750828</v>
      </c>
      <c r="AC15" s="77">
        <f t="shared" si="6"/>
        <v>0.50553505535055354</v>
      </c>
      <c r="AD15" s="78">
        <f t="shared" si="6"/>
        <v>0.78787878787878785</v>
      </c>
      <c r="AE15" s="78">
        <f t="shared" si="6"/>
        <v>0.6873239436619718</v>
      </c>
      <c r="AF15" s="77">
        <f t="shared" si="6"/>
        <v>0.57784431137724557</v>
      </c>
      <c r="AG15" s="77">
        <f t="shared" si="6"/>
        <v>0.52659053833605229</v>
      </c>
      <c r="AH15" s="78">
        <f t="shared" si="6"/>
        <v>0.61538461538461542</v>
      </c>
      <c r="AI15" s="78">
        <f t="shared" si="6"/>
        <v>0.89567430025445294</v>
      </c>
      <c r="AJ15" s="77">
        <f t="shared" si="6"/>
        <v>0.58290155440414515</v>
      </c>
      <c r="AK15" s="77">
        <f t="shared" si="6"/>
        <v>0.56853672643146336</v>
      </c>
      <c r="AL15" s="79">
        <f t="shared" si="6"/>
        <v>1.8399999999999999</v>
      </c>
      <c r="AM15" s="79">
        <f t="shared" si="6"/>
        <v>0.78830083565459619</v>
      </c>
      <c r="AN15" s="77">
        <f t="shared" si="6"/>
        <v>0.65936739659367394</v>
      </c>
      <c r="AO15" s="77">
        <f t="shared" si="6"/>
        <v>0.58920618286612525</v>
      </c>
      <c r="AP15" s="79">
        <f t="shared" si="6"/>
        <v>0.28571428571428581</v>
      </c>
      <c r="AQ15" s="79">
        <f t="shared" si="6"/>
        <v>0.11791383219954654</v>
      </c>
      <c r="AR15" s="77">
        <f t="shared" si="6"/>
        <v>0.61956521739130443</v>
      </c>
      <c r="AS15" s="77">
        <f t="shared" si="6"/>
        <v>0.5403945514325974</v>
      </c>
      <c r="AT15" s="79">
        <f t="shared" si="6"/>
        <v>0.26595744680851063</v>
      </c>
      <c r="AU15" s="79">
        <f t="shared" si="6"/>
        <v>0.35796766743648956</v>
      </c>
      <c r="AV15" s="77">
        <f t="shared" si="6"/>
        <v>0.55956678700361007</v>
      </c>
      <c r="AW15" s="76">
        <f t="shared" si="6"/>
        <v>0.5095628415300546</v>
      </c>
    </row>
    <row r="16" spans="1:49" ht="29.25" customHeight="1">
      <c r="A16" s="89">
        <v>2011</v>
      </c>
      <c r="B16" s="88">
        <v>92</v>
      </c>
      <c r="C16" s="88">
        <v>892</v>
      </c>
      <c r="D16" s="351">
        <f>SUM(B16)</f>
        <v>92</v>
      </c>
      <c r="E16" s="351">
        <f>SUM(C16)</f>
        <v>892</v>
      </c>
      <c r="F16" s="84" t="s">
        <v>69</v>
      </c>
      <c r="G16" s="84" t="s">
        <v>68</v>
      </c>
      <c r="H16" s="85">
        <f>F16+D16</f>
        <v>110</v>
      </c>
      <c r="I16" s="87">
        <f>G16+E16</f>
        <v>1125</v>
      </c>
      <c r="J16" s="86" t="s">
        <v>67</v>
      </c>
      <c r="K16" s="86" t="s">
        <v>66</v>
      </c>
      <c r="L16" s="85">
        <f>J16+H16</f>
        <v>236</v>
      </c>
      <c r="M16" s="87">
        <f>K16+I16</f>
        <v>2230</v>
      </c>
      <c r="N16" s="86" t="s">
        <v>65</v>
      </c>
      <c r="O16" s="86" t="s">
        <v>64</v>
      </c>
      <c r="P16" s="85">
        <f>N16+L16</f>
        <v>373</v>
      </c>
      <c r="Q16" s="87">
        <f>O16+M16</f>
        <v>3343</v>
      </c>
      <c r="R16" s="86" t="s">
        <v>63</v>
      </c>
      <c r="S16" s="86" t="s">
        <v>62</v>
      </c>
      <c r="T16" s="85">
        <f>R16+P16</f>
        <v>512</v>
      </c>
      <c r="U16" s="87">
        <f>S16+Q16</f>
        <v>4545</v>
      </c>
      <c r="V16" s="86" t="s">
        <v>61</v>
      </c>
      <c r="W16" s="86" t="s">
        <v>60</v>
      </c>
      <c r="X16" s="85">
        <f>V16+T16</f>
        <v>633</v>
      </c>
      <c r="Y16" s="69">
        <f>W16+U16</f>
        <v>5524</v>
      </c>
      <c r="Z16" s="86" t="s">
        <v>56</v>
      </c>
      <c r="AA16" s="86" t="s">
        <v>59</v>
      </c>
      <c r="AB16" s="68">
        <f>X16+Z16</f>
        <v>728</v>
      </c>
      <c r="AC16" s="68">
        <f>Y16+AA16</f>
        <v>6428</v>
      </c>
      <c r="AD16" s="86" t="s">
        <v>58</v>
      </c>
      <c r="AE16" s="86" t="s">
        <v>57</v>
      </c>
      <c r="AF16" s="68">
        <f>AB16+AD16</f>
        <v>790</v>
      </c>
      <c r="AG16" s="68">
        <f>AC16+AE16</f>
        <v>6985</v>
      </c>
      <c r="AH16" s="86" t="s">
        <v>56</v>
      </c>
      <c r="AI16" s="86" t="s">
        <v>55</v>
      </c>
      <c r="AJ16" s="69">
        <f>AH16+AF16</f>
        <v>885</v>
      </c>
      <c r="AK16" s="69">
        <f>AI16+AG16</f>
        <v>7952</v>
      </c>
      <c r="AL16" s="84" t="s">
        <v>54</v>
      </c>
      <c r="AM16" s="84" t="s">
        <v>53</v>
      </c>
      <c r="AN16" s="85">
        <f>AL16+AJ16</f>
        <v>950</v>
      </c>
      <c r="AO16" s="69">
        <f>AM16+AK16</f>
        <v>8628</v>
      </c>
      <c r="AP16" s="84" t="s">
        <v>52</v>
      </c>
      <c r="AQ16" s="84" t="s">
        <v>51</v>
      </c>
      <c r="AR16" s="69">
        <f>AP16+AN16</f>
        <v>1040</v>
      </c>
      <c r="AS16" s="69">
        <f>AQ16+AO16</f>
        <v>9483</v>
      </c>
      <c r="AT16" s="84" t="s">
        <v>50</v>
      </c>
      <c r="AU16" s="84" t="s">
        <v>49</v>
      </c>
      <c r="AV16" s="64">
        <f>AT16+AP16+AL16+AH16+AD16+Z16+V16+R16+N16+J16+F16+B16</f>
        <v>1151</v>
      </c>
      <c r="AW16" s="63">
        <f>AU16+AQ16+AM16+AI16+AE16+AA16+W16+S16+O16+K16+G16+C16</f>
        <v>10482</v>
      </c>
    </row>
    <row r="17" spans="1:49" s="75" customFormat="1" ht="29.25" customHeight="1">
      <c r="A17" s="83" t="s">
        <v>48</v>
      </c>
      <c r="B17" s="82">
        <f t="shared" ref="B17:AW17" si="7">B16/B14-1</f>
        <v>0.95744680851063824</v>
      </c>
      <c r="C17" s="82">
        <f t="shared" si="7"/>
        <v>1.1137440758293837</v>
      </c>
      <c r="D17" s="350">
        <f t="shared" si="7"/>
        <v>0.95744680851063824</v>
      </c>
      <c r="E17" s="350">
        <f t="shared" si="7"/>
        <v>1.1137440758293837</v>
      </c>
      <c r="F17" s="81">
        <f t="shared" si="7"/>
        <v>-0.66666666666666674</v>
      </c>
      <c r="G17" s="81">
        <f t="shared" si="7"/>
        <v>-0.28307692307692311</v>
      </c>
      <c r="H17" s="77">
        <f t="shared" si="7"/>
        <v>8.9108910891089188E-2</v>
      </c>
      <c r="I17" s="77">
        <f t="shared" si="7"/>
        <v>0.50602409638554224</v>
      </c>
      <c r="J17" s="79">
        <f t="shared" si="7"/>
        <v>0.93846153846153846</v>
      </c>
      <c r="K17" s="79">
        <f t="shared" si="7"/>
        <v>0.91840277777777768</v>
      </c>
      <c r="L17" s="77">
        <f t="shared" si="7"/>
        <v>0.42168674698795172</v>
      </c>
      <c r="M17" s="77">
        <f t="shared" si="7"/>
        <v>0.68556311413454263</v>
      </c>
      <c r="N17" s="79">
        <f t="shared" si="7"/>
        <v>1.0147058823529411</v>
      </c>
      <c r="O17" s="79">
        <f t="shared" si="7"/>
        <v>1.0017985611510793</v>
      </c>
      <c r="P17" s="77">
        <f t="shared" si="7"/>
        <v>0.59401709401709413</v>
      </c>
      <c r="Q17" s="77">
        <f t="shared" si="7"/>
        <v>0.77913783927621072</v>
      </c>
      <c r="R17" s="79">
        <f t="shared" si="7"/>
        <v>0.85333333333333328</v>
      </c>
      <c r="S17" s="79">
        <f t="shared" si="7"/>
        <v>0.58575197889182062</v>
      </c>
      <c r="T17" s="77">
        <f t="shared" si="7"/>
        <v>0.65695792880258908</v>
      </c>
      <c r="U17" s="77">
        <f t="shared" si="7"/>
        <v>0.72354948805460761</v>
      </c>
      <c r="V17" s="79">
        <f t="shared" si="7"/>
        <v>0.47560975609756095</v>
      </c>
      <c r="W17" s="79">
        <f t="shared" si="7"/>
        <v>0.30707610146862474</v>
      </c>
      <c r="X17" s="77">
        <f t="shared" si="7"/>
        <v>0.61892583120204603</v>
      </c>
      <c r="Y17" s="77">
        <f t="shared" si="7"/>
        <v>0.63142350856467799</v>
      </c>
      <c r="Z17" s="78">
        <f t="shared" si="7"/>
        <v>0.23376623376623384</v>
      </c>
      <c r="AA17" s="78">
        <f t="shared" si="7"/>
        <v>0.30259365994236309</v>
      </c>
      <c r="AB17" s="77">
        <f t="shared" si="7"/>
        <v>0.55555555555555558</v>
      </c>
      <c r="AC17" s="77">
        <f t="shared" si="7"/>
        <v>0.57549019607843133</v>
      </c>
      <c r="AD17" s="78">
        <f t="shared" si="7"/>
        <v>5.0847457627118731E-2</v>
      </c>
      <c r="AE17" s="80">
        <f t="shared" si="7"/>
        <v>-7.0116861435726263E-2</v>
      </c>
      <c r="AF17" s="77">
        <f t="shared" si="7"/>
        <v>0.49905123339658441</v>
      </c>
      <c r="AG17" s="77">
        <f t="shared" si="7"/>
        <v>0.49284035050224406</v>
      </c>
      <c r="AH17" s="79">
        <f t="shared" si="7"/>
        <v>0.13095238095238093</v>
      </c>
      <c r="AI17" s="79">
        <f t="shared" si="7"/>
        <v>0.29798657718120802</v>
      </c>
      <c r="AJ17" s="77">
        <f t="shared" si="7"/>
        <v>0.44844517184942712</v>
      </c>
      <c r="AK17" s="77">
        <f t="shared" si="7"/>
        <v>0.46607669616519165</v>
      </c>
      <c r="AL17" s="79">
        <f t="shared" si="7"/>
        <v>-8.4507042253521125E-2</v>
      </c>
      <c r="AM17" s="79">
        <f t="shared" si="7"/>
        <v>5.2959501557632294E-2</v>
      </c>
      <c r="AN17" s="77">
        <f t="shared" si="7"/>
        <v>0.39296187683284467</v>
      </c>
      <c r="AO17" s="77">
        <f t="shared" si="7"/>
        <v>0.42235410484668634</v>
      </c>
      <c r="AP17" s="79">
        <f t="shared" si="7"/>
        <v>0.4285714285714286</v>
      </c>
      <c r="AQ17" s="79">
        <f t="shared" si="7"/>
        <v>0.73427991886409738</v>
      </c>
      <c r="AR17" s="77">
        <f t="shared" si="7"/>
        <v>0.39597315436241609</v>
      </c>
      <c r="AS17" s="77">
        <f t="shared" si="7"/>
        <v>0.44579966458301579</v>
      </c>
      <c r="AT17" s="78">
        <f t="shared" si="7"/>
        <v>-6.7226890756302504E-2</v>
      </c>
      <c r="AU17" s="78">
        <f t="shared" si="7"/>
        <v>-0.15051020408163263</v>
      </c>
      <c r="AV17" s="77">
        <f t="shared" si="7"/>
        <v>0.33217592592592582</v>
      </c>
      <c r="AW17" s="76">
        <f t="shared" si="7"/>
        <v>0.3551389786683905</v>
      </c>
    </row>
    <row r="18" spans="1:49" s="62" customFormat="1" ht="29.25" customHeight="1">
      <c r="A18" s="74">
        <v>2012</v>
      </c>
      <c r="B18" s="66">
        <v>81</v>
      </c>
      <c r="C18" s="66">
        <v>728</v>
      </c>
      <c r="D18" s="67">
        <v>81</v>
      </c>
      <c r="E18" s="67">
        <v>728</v>
      </c>
      <c r="F18" s="66">
        <v>54</v>
      </c>
      <c r="G18" s="66">
        <v>556</v>
      </c>
      <c r="H18" s="67">
        <f>F18+D18</f>
        <v>135</v>
      </c>
      <c r="I18" s="71">
        <f>G18+E18</f>
        <v>1284</v>
      </c>
      <c r="J18" s="66">
        <v>106</v>
      </c>
      <c r="K18" s="73">
        <v>1011</v>
      </c>
      <c r="L18" s="67">
        <f>J18+H18</f>
        <v>241</v>
      </c>
      <c r="M18" s="72">
        <f>K18+I18</f>
        <v>2295</v>
      </c>
      <c r="N18" s="66">
        <v>80</v>
      </c>
      <c r="O18" s="66">
        <v>707</v>
      </c>
      <c r="P18" s="67">
        <f>N18+L18</f>
        <v>321</v>
      </c>
      <c r="Q18" s="71">
        <f>O18+M18</f>
        <v>3002</v>
      </c>
      <c r="R18" s="66">
        <v>102</v>
      </c>
      <c r="S18" s="70">
        <v>1030</v>
      </c>
      <c r="T18" s="67">
        <f>P18+R18</f>
        <v>423</v>
      </c>
      <c r="U18" s="67">
        <f>Q18+S18</f>
        <v>4032</v>
      </c>
      <c r="V18" s="66">
        <v>83</v>
      </c>
      <c r="W18" s="66">
        <v>831</v>
      </c>
      <c r="X18" s="69">
        <f>V18+T18</f>
        <v>506</v>
      </c>
      <c r="Y18" s="69">
        <f>W18+U18</f>
        <v>4863</v>
      </c>
      <c r="Z18" s="66">
        <v>107</v>
      </c>
      <c r="AA18" s="66">
        <v>911</v>
      </c>
      <c r="AB18" s="69">
        <f>Z18+X18</f>
        <v>613</v>
      </c>
      <c r="AC18" s="69">
        <f>AA18+Y18</f>
        <v>5774</v>
      </c>
      <c r="AD18" s="66">
        <v>108</v>
      </c>
      <c r="AE18" s="65">
        <v>928</v>
      </c>
      <c r="AF18" s="68">
        <f>AB18+AD18</f>
        <v>721</v>
      </c>
      <c r="AG18" s="68">
        <f>AC18+AE18</f>
        <v>6702</v>
      </c>
      <c r="AH18" s="66">
        <v>97</v>
      </c>
      <c r="AI18" s="66">
        <v>1006</v>
      </c>
      <c r="AJ18" s="68">
        <f>AF18+AH18</f>
        <v>818</v>
      </c>
      <c r="AK18" s="68">
        <f>AG18+AI18</f>
        <v>7708</v>
      </c>
      <c r="AL18" s="66">
        <v>109</v>
      </c>
      <c r="AM18" s="66">
        <v>948</v>
      </c>
      <c r="AN18" s="67">
        <v>927</v>
      </c>
      <c r="AO18" s="68">
        <f>AK18+AM18</f>
        <v>8656</v>
      </c>
      <c r="AP18" s="66">
        <v>109</v>
      </c>
      <c r="AQ18" s="66">
        <v>995</v>
      </c>
      <c r="AR18" s="67">
        <v>1036</v>
      </c>
      <c r="AS18" s="67">
        <v>9651</v>
      </c>
      <c r="AT18" s="66">
        <v>167</v>
      </c>
      <c r="AU18" s="65">
        <v>1445</v>
      </c>
      <c r="AV18" s="64">
        <f>AT18+AP18+AL18+AH18+AD18+Z18+V18+R18+N18+J18+F18+B18</f>
        <v>1203</v>
      </c>
      <c r="AW18" s="63">
        <f>AU18+AQ18+AM18+AI18+AE18+AA18+W18+S18+O18+K18+G18+C18</f>
        <v>11096</v>
      </c>
    </row>
    <row r="19" spans="1:49" ht="29.25" customHeight="1" thickBot="1">
      <c r="A19" s="61" t="s">
        <v>48</v>
      </c>
      <c r="B19" s="60">
        <f t="shared" ref="B19:AW21" si="8">B18/B16-1</f>
        <v>-0.11956521739130432</v>
      </c>
      <c r="C19" s="60">
        <f>C18/C16-1</f>
        <v>-0.18385650224215244</v>
      </c>
      <c r="D19" s="244">
        <f t="shared" si="8"/>
        <v>-0.11956521739130432</v>
      </c>
      <c r="E19" s="244">
        <f t="shared" si="8"/>
        <v>-0.18385650224215244</v>
      </c>
      <c r="F19" s="59">
        <f>F18/F16-1</f>
        <v>2</v>
      </c>
      <c r="G19" s="59">
        <f t="shared" si="8"/>
        <v>1.3862660944206007</v>
      </c>
      <c r="H19" s="58">
        <f t="shared" si="8"/>
        <v>0.22727272727272729</v>
      </c>
      <c r="I19" s="58">
        <f t="shared" si="8"/>
        <v>0.14133333333333331</v>
      </c>
      <c r="J19" s="56">
        <f t="shared" si="8"/>
        <v>-0.15873015873015872</v>
      </c>
      <c r="K19" s="56">
        <f t="shared" si="8"/>
        <v>-8.5067873303167452E-2</v>
      </c>
      <c r="L19" s="57">
        <f t="shared" si="8"/>
        <v>2.1186440677966045E-2</v>
      </c>
      <c r="M19" s="57">
        <f t="shared" si="8"/>
        <v>2.9147982062780242E-2</v>
      </c>
      <c r="N19" s="56">
        <f t="shared" si="8"/>
        <v>-0.41605839416058399</v>
      </c>
      <c r="O19" s="56">
        <f t="shared" si="8"/>
        <v>-0.36477987421383651</v>
      </c>
      <c r="P19" s="52">
        <f t="shared" si="8"/>
        <v>-0.1394101876675603</v>
      </c>
      <c r="Q19" s="52">
        <f t="shared" si="8"/>
        <v>-0.10200418785521981</v>
      </c>
      <c r="R19" s="55">
        <f t="shared" si="8"/>
        <v>-0.26618705035971224</v>
      </c>
      <c r="S19" s="55">
        <f t="shared" si="8"/>
        <v>-0.14309484193011646</v>
      </c>
      <c r="T19" s="52">
        <f t="shared" si="8"/>
        <v>-0.173828125</v>
      </c>
      <c r="U19" s="52">
        <f t="shared" si="8"/>
        <v>-0.11287128712871286</v>
      </c>
      <c r="V19" s="55">
        <f t="shared" si="8"/>
        <v>-0.31404958677685946</v>
      </c>
      <c r="W19" s="55">
        <f t="shared" si="8"/>
        <v>-0.15117466802860058</v>
      </c>
      <c r="X19" s="52">
        <f t="shared" si="8"/>
        <v>-0.20063191153238547</v>
      </c>
      <c r="Y19" s="52">
        <f t="shared" si="8"/>
        <v>-0.11965966690803764</v>
      </c>
      <c r="Z19" s="53">
        <f t="shared" si="8"/>
        <v>0.12631578947368416</v>
      </c>
      <c r="AA19" s="53">
        <f t="shared" si="8"/>
        <v>7.7433628318583914E-3</v>
      </c>
      <c r="AB19" s="52">
        <f t="shared" si="8"/>
        <v>-0.15796703296703296</v>
      </c>
      <c r="AC19" s="52">
        <f t="shared" si="8"/>
        <v>-0.10174237710018663</v>
      </c>
      <c r="AD19" s="53">
        <f t="shared" si="8"/>
        <v>0.74193548387096775</v>
      </c>
      <c r="AE19" s="53">
        <f t="shared" si="8"/>
        <v>0.66606822262118492</v>
      </c>
      <c r="AF19" s="52">
        <f t="shared" si="8"/>
        <v>-8.7341772151898756E-2</v>
      </c>
      <c r="AG19" s="52">
        <f t="shared" si="8"/>
        <v>-4.0515390121689365E-2</v>
      </c>
      <c r="AH19" s="53">
        <f t="shared" si="8"/>
        <v>2.1052631578947434E-2</v>
      </c>
      <c r="AI19" s="53">
        <f t="shared" si="8"/>
        <v>4.0330920372285473E-2</v>
      </c>
      <c r="AJ19" s="52">
        <f t="shared" si="8"/>
        <v>-7.5706214689265527E-2</v>
      </c>
      <c r="AK19" s="52">
        <f t="shared" si="8"/>
        <v>-3.0684104627766606E-2</v>
      </c>
      <c r="AL19" s="53">
        <f t="shared" si="8"/>
        <v>0.67692307692307696</v>
      </c>
      <c r="AM19" s="53">
        <f t="shared" si="8"/>
        <v>0.4023668639053255</v>
      </c>
      <c r="AN19" s="52">
        <f t="shared" si="8"/>
        <v>-2.421052631578946E-2</v>
      </c>
      <c r="AO19" s="54">
        <f t="shared" si="8"/>
        <v>3.2452480296707442E-3</v>
      </c>
      <c r="AP19" s="53">
        <f t="shared" si="8"/>
        <v>0.21111111111111103</v>
      </c>
      <c r="AQ19" s="53">
        <f t="shared" si="8"/>
        <v>0.16374269005847952</v>
      </c>
      <c r="AR19" s="54">
        <f t="shared" si="8"/>
        <v>-3.8461538461538325E-3</v>
      </c>
      <c r="AS19" s="54">
        <f t="shared" si="8"/>
        <v>1.7715912685858815E-2</v>
      </c>
      <c r="AT19" s="53">
        <f t="shared" si="8"/>
        <v>0.50450450450450446</v>
      </c>
      <c r="AU19" s="53">
        <f t="shared" si="8"/>
        <v>0.44644644644644638</v>
      </c>
      <c r="AV19" s="52">
        <f t="shared" si="8"/>
        <v>4.517810599478711E-2</v>
      </c>
      <c r="AW19" s="51">
        <f t="shared" si="8"/>
        <v>5.857660751764926E-2</v>
      </c>
    </row>
    <row r="20" spans="1:49" s="62" customFormat="1" ht="29.25" customHeight="1" thickTop="1">
      <c r="A20" s="74">
        <v>2013</v>
      </c>
      <c r="B20" s="66">
        <v>94</v>
      </c>
      <c r="C20" s="66">
        <v>1056</v>
      </c>
      <c r="D20" s="67">
        <v>94</v>
      </c>
      <c r="E20" s="67">
        <v>1056</v>
      </c>
      <c r="F20" s="66"/>
      <c r="G20" s="66"/>
      <c r="H20" s="67"/>
      <c r="I20" s="71"/>
      <c r="J20" s="66"/>
      <c r="K20" s="73"/>
      <c r="L20" s="67">
        <f>J20+H20</f>
        <v>0</v>
      </c>
      <c r="M20" s="72">
        <f>K20+I20</f>
        <v>0</v>
      </c>
      <c r="N20" s="66"/>
      <c r="O20" s="66"/>
      <c r="P20" s="67"/>
      <c r="Q20" s="71"/>
      <c r="R20" s="66"/>
      <c r="S20" s="70"/>
      <c r="T20" s="67"/>
      <c r="U20" s="67"/>
      <c r="V20" s="66"/>
      <c r="W20" s="66"/>
      <c r="X20" s="69"/>
      <c r="Y20" s="69"/>
      <c r="Z20" s="66"/>
      <c r="AA20" s="66"/>
      <c r="AB20" s="69"/>
      <c r="AC20" s="69"/>
      <c r="AD20" s="66"/>
      <c r="AE20" s="65"/>
      <c r="AF20" s="68"/>
      <c r="AG20" s="68"/>
      <c r="AH20" s="66"/>
      <c r="AI20" s="66"/>
      <c r="AJ20" s="68"/>
      <c r="AK20" s="68"/>
      <c r="AL20" s="66"/>
      <c r="AM20" s="66"/>
      <c r="AN20" s="67"/>
      <c r="AO20" s="68"/>
      <c r="AP20" s="66"/>
      <c r="AQ20" s="66"/>
      <c r="AR20" s="67"/>
      <c r="AS20" s="67"/>
      <c r="AT20" s="66"/>
      <c r="AU20" s="65"/>
      <c r="AV20" s="64">
        <f>AT20+AP20+AL20+AH20+AD20+Z20+V20+R20+N20+J20+F20+B20</f>
        <v>94</v>
      </c>
      <c r="AW20" s="63">
        <f>AU20+AQ20+AM20+AI20+AE20+AA20+W20+S20+O20+K20+G20+C20</f>
        <v>1056</v>
      </c>
    </row>
    <row r="21" spans="1:49" ht="29.25" customHeight="1" thickBot="1">
      <c r="A21" s="61" t="s">
        <v>48</v>
      </c>
      <c r="B21" s="243">
        <f t="shared" ref="B21:F21" si="9">B20/B18-1</f>
        <v>0.16049382716049387</v>
      </c>
      <c r="C21" s="243">
        <f t="shared" si="9"/>
        <v>0.4505494505494505</v>
      </c>
      <c r="D21" s="245">
        <f t="shared" si="9"/>
        <v>0.16049382716049387</v>
      </c>
      <c r="E21" s="245">
        <f t="shared" si="9"/>
        <v>0.4505494505494505</v>
      </c>
      <c r="F21" s="268"/>
      <c r="G21" s="268"/>
      <c r="H21" s="268"/>
      <c r="I21" s="268"/>
      <c r="J21" s="268"/>
      <c r="K21" s="268"/>
      <c r="L21" s="57">
        <f>L20/L18-1</f>
        <v>-1</v>
      </c>
      <c r="M21" s="57">
        <f t="shared" si="8"/>
        <v>-1</v>
      </c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/>
      <c r="AU21" s="268"/>
      <c r="AV21" s="52"/>
      <c r="AW21" s="51"/>
    </row>
    <row r="22" spans="1:49" ht="19.5" customHeight="1" thickTop="1"/>
  </sheetData>
  <mergeCells count="26">
    <mergeCell ref="AV3:AW3"/>
    <mergeCell ref="A1:AW1"/>
    <mergeCell ref="A3:A4"/>
    <mergeCell ref="P3:Q3"/>
    <mergeCell ref="AT3:AU3"/>
    <mergeCell ref="T3:U3"/>
    <mergeCell ref="AR3:AS3"/>
    <mergeCell ref="AN3:AO3"/>
    <mergeCell ref="AJ3:AK3"/>
    <mergeCell ref="AF3:AG3"/>
    <mergeCell ref="AL3:AM3"/>
    <mergeCell ref="D3:E3"/>
    <mergeCell ref="H3:I3"/>
    <mergeCell ref="L3:M3"/>
    <mergeCell ref="AP3:AQ3"/>
    <mergeCell ref="R3:S3"/>
    <mergeCell ref="B3:C3"/>
    <mergeCell ref="F3:G3"/>
    <mergeCell ref="J3:K3"/>
    <mergeCell ref="N3:O3"/>
    <mergeCell ref="AH3:AI3"/>
    <mergeCell ref="V3:W3"/>
    <mergeCell ref="Z3:AA3"/>
    <mergeCell ref="AD3:AE3"/>
    <mergeCell ref="AB3:AC3"/>
    <mergeCell ref="X3:Y3"/>
  </mergeCells>
  <phoneticPr fontId="3" type="noConversion"/>
  <printOptions horizontalCentered="1"/>
  <pageMargins left="3.937007874015748E-2" right="3.937007874015748E-2" top="0.98425196850393704" bottom="0.98425196850393704" header="0.51181102362204722" footer="0.51181102362204722"/>
  <pageSetup paperSize="9" scale="7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8</vt:i4>
      </vt:variant>
    </vt:vector>
  </HeadingPairs>
  <TitlesOfParts>
    <vt:vector size="17" baseType="lpstr">
      <vt:lpstr>報表畫面</vt:lpstr>
      <vt:lpstr>業代產能</vt:lpstr>
      <vt:lpstr>課平均產能</vt:lpstr>
      <vt:lpstr>財盟</vt:lpstr>
      <vt:lpstr>非財盟</vt:lpstr>
      <vt:lpstr>地區銷售</vt:lpstr>
      <vt:lpstr>單月銷售</vt:lpstr>
      <vt:lpstr>累計銷售</vt:lpstr>
      <vt:lpstr>市場分析</vt:lpstr>
      <vt:lpstr>市場分析!Print_Area</vt:lpstr>
      <vt:lpstr>地區銷售!Print_Area</vt:lpstr>
      <vt:lpstr>非財盟!Print_Area</vt:lpstr>
      <vt:lpstr>財盟!Print_Area</vt:lpstr>
      <vt:lpstr>累計銷售!Print_Area</vt:lpstr>
      <vt:lpstr>單月銷售!Print_Area</vt:lpstr>
      <vt:lpstr>業代產能!Print_Area</vt:lpstr>
      <vt:lpstr>課平均產能!Print_Area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陳碧瀛</dc:creator>
  <cp:lastModifiedBy>Your User Name</cp:lastModifiedBy>
  <cp:lastPrinted>2013-04-22T08:31:18Z</cp:lastPrinted>
  <dcterms:created xsi:type="dcterms:W3CDTF">2008-02-20T06:26:04Z</dcterms:created>
  <dcterms:modified xsi:type="dcterms:W3CDTF">2013-04-29T05:05:49Z</dcterms:modified>
</cp:coreProperties>
</file>